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filterPrivacy="1" codeName="EstaPastaDeTrabalho" defaultThemeVersion="166925"/>
  <xr:revisionPtr revIDLastSave="0" documentId="13_ncr:1_{6C97FBCB-16C7-4B28-8635-8F7BB816AFC2}" xr6:coauthVersionLast="47" xr6:coauthVersionMax="47" xr10:uidLastSave="{00000000-0000-0000-0000-000000000000}"/>
  <bookViews>
    <workbookView xWindow="-120" yWindow="-120" windowWidth="29040" windowHeight="15720" tabRatio="814" activeTab="4" xr2:uid="{00000000-000D-0000-FFFF-FFFF00000000}"/>
  </bookViews>
  <sheets>
    <sheet name="PLANILHA ORÇA - CORREGEDORIA" sheetId="1" r:id="rId1"/>
    <sheet name="PLANILHA ORÇA - EJUD" sheetId="15" r:id="rId2"/>
    <sheet name="COMP MEDIDOS" sheetId="21" r:id="rId3"/>
    <sheet name="COMPOSIÇÃO AB" sheetId="20" r:id="rId4"/>
    <sheet name="CRONOGRAMA" sheetId="9" r:id="rId5"/>
    <sheet name="BDI" sheetId="18" r:id="rId6"/>
    <sheet name="ENCARGOS SOCIAIS" sheetId="19" r:id="rId7"/>
    <sheet name="COMPOSIÇÃO DE CUSTO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acl2" localSheetId="5">[1]Insumos!$H$196</definedName>
    <definedName name="__acl2">[1]Insumos!$H$196</definedName>
    <definedName name="__ara20" localSheetId="5">[1]Insumos!$H$609</definedName>
    <definedName name="__ara20">[1]Insumos!$H$609</definedName>
    <definedName name="__bli10" localSheetId="5">[1]Insumos!$H$1154</definedName>
    <definedName name="__bli10">[1]Insumos!$H$1154</definedName>
    <definedName name="__coz75" localSheetId="5">[1]Insumos!$H$991</definedName>
    <definedName name="__coz75">[1]Insumos!$H$991</definedName>
    <definedName name="__cpl6" localSheetId="5">[1]Insumos!$H$759</definedName>
    <definedName name="__cpl6">[1]Insumos!$H$759</definedName>
    <definedName name="__cpz32">NA()</definedName>
    <definedName name="__dge8" localSheetId="2">[1]Insumos!#REF!</definedName>
    <definedName name="__dge8" localSheetId="3">[1]Insumos!#REF!</definedName>
    <definedName name="__dge8" localSheetId="1">[1]Insumos!#REF!</definedName>
    <definedName name="__dge8">[1]Insumos!#REF!</definedName>
    <definedName name="__flp32" localSheetId="5">[1]Insumos!$H$883</definedName>
    <definedName name="__flp32">[1]Insumos!$H$883</definedName>
    <definedName name="__frp1" localSheetId="5">[1]Insumos!$H$263</definedName>
    <definedName name="__frp1">[1]Insumos!$H$263</definedName>
    <definedName name="__imp3" localSheetId="5">[1]Insumos!$H$1194</definedName>
    <definedName name="__imp3">[1]Insumos!$H$1194</definedName>
    <definedName name="__lrc250" localSheetId="5">[1]Insumos!$H$602</definedName>
    <definedName name="__lrc250">[1]Insumos!$H$602</definedName>
    <definedName name="__mfi5" localSheetId="5">[1]Insumos!$H$1133</definedName>
    <definedName name="__mfi5">[1]Insumos!$H$1133</definedName>
    <definedName name="__mud7" localSheetId="5">[1]Insumos!$H$1221</definedName>
    <definedName name="__mud7">[1]Insumos!$H$1221</definedName>
    <definedName name="__pbv40">NA()</definedName>
    <definedName name="__pgt260" localSheetId="5">[1]Insumos!$H$403</definedName>
    <definedName name="__pgt260">[1]Insumos!$H$403</definedName>
    <definedName name="__pgt320" localSheetId="5">[1]Insumos!$H$404</definedName>
    <definedName name="__pgt320">[1]Insumos!$H$404</definedName>
    <definedName name="__qdt60" localSheetId="5">[1]Insumos!$H$570</definedName>
    <definedName name="__qdt60">[1]Insumos!$H$570</definedName>
    <definedName name="__rac24" localSheetId="5">[1]Insumos!$H$767</definedName>
    <definedName name="__rac24">[1]Insumos!$H$767</definedName>
    <definedName name="__rfv310" localSheetId="5">[1]Insumos!$H$877</definedName>
    <definedName name="__rfv310">[1]Insumos!$H$877</definedName>
    <definedName name="__rfz30" localSheetId="5">[1]Insumos!$H$994</definedName>
    <definedName name="__rfz30">[1]Insumos!$H$994</definedName>
    <definedName name="__sfg48" localSheetId="5">[1]Insumos!$H$765</definedName>
    <definedName name="__sfg48">[1]Insumos!$H$765</definedName>
    <definedName name="__spl24" localSheetId="5">[1]Insumos!$H$741</definedName>
    <definedName name="__spl24">[1]Insumos!$H$741</definedName>
    <definedName name="__spl9" localSheetId="5">[1]Insumos!$H$737</definedName>
    <definedName name="__spl9">[1]Insumos!$H$737</definedName>
    <definedName name="__tjc14">NA()</definedName>
    <definedName name="__tjv1" localSheetId="5">[1]Insumos!$H$67</definedName>
    <definedName name="__tjv1">[1]Insumos!$H$67</definedName>
    <definedName name="__xlfn_COUNTIFS">NA()</definedName>
    <definedName name="__xlfn_CUBESETCOUNT">NA()</definedName>
    <definedName name="__xlnm_Print_Area_1" localSheetId="5">#REF!</definedName>
    <definedName name="__xlnm_Print_Area_1" localSheetId="2">#REF!</definedName>
    <definedName name="__xlnm_Print_Area_1" localSheetId="3">#REF!</definedName>
    <definedName name="__xlnm_Print_Area_1" localSheetId="1">#REF!</definedName>
    <definedName name="__xlnm_Print_Area_1">#REF!</definedName>
    <definedName name="__xlnm_Print_Titles_1" localSheetId="5">#REF!</definedName>
    <definedName name="__xlnm_Print_Titles_1" localSheetId="2">#REF!</definedName>
    <definedName name="__xlnm_Print_Titles_1" localSheetId="3">#REF!</definedName>
    <definedName name="__xlnm_Print_Titles_1" localSheetId="1">#REF!</definedName>
    <definedName name="__xlnm_Print_Titles_1">#REF!</definedName>
    <definedName name="_769_59" localSheetId="5">#REF!</definedName>
    <definedName name="_769_59" localSheetId="2">#REF!</definedName>
    <definedName name="_769_59" localSheetId="3">#REF!</definedName>
    <definedName name="_769_59" localSheetId="1">#REF!</definedName>
    <definedName name="_769_59">#REF!</definedName>
    <definedName name="_aar1" localSheetId="5">[1]Insumos!$H$48</definedName>
    <definedName name="_aar1">[1]Insumos!$H$48</definedName>
    <definedName name="_acd88" localSheetId="5">[1]Insumos!$H$1007</definedName>
    <definedName name="_acd88">[1]Insumos!$H$1007</definedName>
    <definedName name="_acl1" localSheetId="5">[1]Insumos!$H$195</definedName>
    <definedName name="_acl1">[1]Insumos!$H$195</definedName>
    <definedName name="_acl2" localSheetId="5">[1]Insumos!$H$196</definedName>
    <definedName name="_acl2">[1]Insumos!$H$196</definedName>
    <definedName name="_aff50" localSheetId="5">[1]Insumos!$H$128</definedName>
    <definedName name="_aff50">[1]Insumos!$H$128</definedName>
    <definedName name="_aga10">[2]Insumos!$E$55</definedName>
    <definedName name="_aga14">[2]Insumos!$E$56</definedName>
    <definedName name="_ali1">[2]Insumos!$E$147</definedName>
    <definedName name="_ali2">[2]Insumos!$E$148</definedName>
    <definedName name="_ali3">[2]Insumos!$E$149</definedName>
    <definedName name="_ali4">[2]Insumos!$E$150</definedName>
    <definedName name="_ali5">[2]Insumos!$E$151</definedName>
    <definedName name="_ali6">[2]Insumos!$E$152</definedName>
    <definedName name="_ali7">[2]Insumos!$E$153</definedName>
    <definedName name="_amc1">[2]Insumos!$E$117</definedName>
    <definedName name="_amf1">[2]Insumos!$E$115</definedName>
    <definedName name="_amf2">[2]Insumos!$E$116</definedName>
    <definedName name="_ape1" localSheetId="5">[1]Insumos!$H$1052</definedName>
    <definedName name="_ape1">[1]Insumos!$H$1052</definedName>
    <definedName name="_ape2" localSheetId="5">[1]Insumos!$H$1053</definedName>
    <definedName name="_ape2">[1]Insumos!$H$1053</definedName>
    <definedName name="_ara18">[2]Insumos!$E$302</definedName>
    <definedName name="_ara20" localSheetId="5">[1]Insumos!$H$609</definedName>
    <definedName name="_ara20">[1]Insumos!$H$609</definedName>
    <definedName name="_arc12">[2]Insumos!$E$374</definedName>
    <definedName name="_arc15">[2]Insumos!$E$375</definedName>
    <definedName name="_arc18">[2]Insumos!$E$376</definedName>
    <definedName name="_arc21">[2]Insumos!$E$377</definedName>
    <definedName name="_art1">[2]Insumos!$E$651</definedName>
    <definedName name="_art10">[2]Insumos!$E$660</definedName>
    <definedName name="_art11">[2]Insumos!$E$661</definedName>
    <definedName name="_art12">[2]Insumos!$E$662</definedName>
    <definedName name="_art13">[2]Insumos!$E$663</definedName>
    <definedName name="_art14">[2]Insumos!$E$664</definedName>
    <definedName name="_art15">[2]Insumos!$E$665</definedName>
    <definedName name="_art16">[2]Insumos!$E$666</definedName>
    <definedName name="_art17">[2]Insumos!$E$667</definedName>
    <definedName name="_art18">[2]Insumos!$E$668</definedName>
    <definedName name="_art19">[2]Insumos!$E$669</definedName>
    <definedName name="_art2">[2]Insumos!$E$652</definedName>
    <definedName name="_art20">[2]Insumos!$E$670</definedName>
    <definedName name="_art21">[2]Insumos!$E$671</definedName>
    <definedName name="_art22">[2]Insumos!$E$672</definedName>
    <definedName name="_art23">[2]Insumos!$E$673</definedName>
    <definedName name="_art24">[2]Insumos!$E$674</definedName>
    <definedName name="_art25">[2]Insumos!$E$675</definedName>
    <definedName name="_art26">[2]Insumos!$E$676</definedName>
    <definedName name="_art27">[2]Insumos!$E$677</definedName>
    <definedName name="_art28">[2]Insumos!$E$678</definedName>
    <definedName name="_art29">[2]Insumos!$E$679</definedName>
    <definedName name="_art3">[2]Insumos!$E$653</definedName>
    <definedName name="_art30">[2]Insumos!$E$680</definedName>
    <definedName name="_art31">[2]Insumos!$E$681</definedName>
    <definedName name="_art32">[2]Insumos!$E$682</definedName>
    <definedName name="_art4">[2]Insumos!$E$654</definedName>
    <definedName name="_art5">[2]Insumos!$E$655</definedName>
    <definedName name="_art6">[2]Insumos!$E$656</definedName>
    <definedName name="_art7">[2]Insumos!$E$657</definedName>
    <definedName name="_art8">[2]Insumos!$E$658</definedName>
    <definedName name="_art9">[2]Insumos!$E$659</definedName>
    <definedName name="_bbs3" localSheetId="5">[1]Insumos!$H$901</definedName>
    <definedName name="_bbs3">[1]Insumos!$H$901</definedName>
    <definedName name="_bca1">[2]Insumos!$E$366</definedName>
    <definedName name="_bcd88" localSheetId="5">[1]Insumos!$H$1009</definedName>
    <definedName name="_bcd88">[1]Insumos!$H$1009</definedName>
    <definedName name="_bcm1" localSheetId="5">[1]Insumos!$H$1313</definedName>
    <definedName name="_bcm1">[1]Insumos!$H$1313</definedName>
    <definedName name="_bcm2" localSheetId="5">[1]Insumos!$H$1314</definedName>
    <definedName name="_bcm2">[1]Insumos!$H$1314</definedName>
    <definedName name="_bcm3" localSheetId="5">[1]Insumos!$H$1315</definedName>
    <definedName name="_bcm3">[1]Insumos!$H$1315</definedName>
    <definedName name="_bee40" localSheetId="5">[1]Insumos!$H$753</definedName>
    <definedName name="_bee40">[1]Insumos!$H$753</definedName>
    <definedName name="_bee80">[2]Insumos!$E$378</definedName>
    <definedName name="_bli10" localSheetId="5">[1]Insumos!$H$1154</definedName>
    <definedName name="_bli10">[1]Insumos!$H$1154</definedName>
    <definedName name="_bli6" localSheetId="5">[1]Insumos!$H$1152</definedName>
    <definedName name="_bli6">[1]Insumos!$H$1152</definedName>
    <definedName name="_bli8" localSheetId="5">[1]Insumos!$H$1153</definedName>
    <definedName name="_bli8">[1]Insumos!$H$1153</definedName>
    <definedName name="_blq10">[2]Insumos!$E$525</definedName>
    <definedName name="_blq6" localSheetId="5">[1]Insumos!$H$1150</definedName>
    <definedName name="_blq6">[1]Insumos!$H$1150</definedName>
    <definedName name="_bmm1" localSheetId="5">[1]Insumos!$H$1316</definedName>
    <definedName name="_bmm1">[1]Insumos!$H$1316</definedName>
    <definedName name="_bnb1" localSheetId="5">[1]Insumos!$H$1171</definedName>
    <definedName name="_bnb1">[1]Insumos!$H$1171</definedName>
    <definedName name="_bns4" localSheetId="5">[1]Insumos!$H$355</definedName>
    <definedName name="_bns4">[1]Insumos!$H$355</definedName>
    <definedName name="_bns5" localSheetId="5">[1]Insumos!$H$356</definedName>
    <definedName name="_bns5">[1]Insumos!$H$356</definedName>
    <definedName name="_bns6" localSheetId="5">[1]Insumos!$H$357</definedName>
    <definedName name="_bns6">[1]Insumos!$H$357</definedName>
    <definedName name="_bns8" localSheetId="5">[1]Insumos!$H$358</definedName>
    <definedName name="_bns8">[1]Insumos!$H$358</definedName>
    <definedName name="_bop1">[2]Insumos!$E$440</definedName>
    <definedName name="_bop2" localSheetId="5">[1]Insumos!$H$891</definedName>
    <definedName name="_bop2">[1]Insumos!$H$891</definedName>
    <definedName name="_bot1">[2]Insumos!$E$613</definedName>
    <definedName name="_box1">[2]Insumos!$E$610</definedName>
    <definedName name="_bre5040">[2]Insumos!$E$454</definedName>
    <definedName name="_bre7550" localSheetId="5">[1]Insumos!$H$962</definedName>
    <definedName name="_bre7550">[1]Insumos!$H$962</definedName>
    <definedName name="_brt1" localSheetId="5">[1]Insumos!$H$44</definedName>
    <definedName name="_brt1">[1]Insumos!$H$44</definedName>
    <definedName name="_brt2" localSheetId="5">[1]Insumos!$H$45</definedName>
    <definedName name="_brt2">[1]Insumos!$H$45</definedName>
    <definedName name="_bte320" localSheetId="5">[3]Insumos!$F$1407</definedName>
    <definedName name="_bte320">[3]Insumos!$F$1407</definedName>
    <definedName name="_bte580" localSheetId="5">[3]Insumos!$F$1410</definedName>
    <definedName name="_bte580">[3]Insumos!$F$1410</definedName>
    <definedName name="_cab10" localSheetId="5">[1]Insumos!$H$677</definedName>
    <definedName name="_cab10">[1]Insumos!$H$677</definedName>
    <definedName name="_cab16" localSheetId="5">[1]Insumos!$H$678</definedName>
    <definedName name="_cab16">[1]Insumos!$H$678</definedName>
    <definedName name="_cab4">[2]Insumos!$E$345</definedName>
    <definedName name="_cab6" localSheetId="5">[1]Insumos!$H$675</definedName>
    <definedName name="_cab6">[1]Insumos!$H$675</definedName>
    <definedName name="_cab8" localSheetId="5">[1]Insumos!$H$676</definedName>
    <definedName name="_cab8">[1]Insumos!$H$676</definedName>
    <definedName name="_cac10">[2]Insumos!$E$508</definedName>
    <definedName name="_cac12">[2]Insumos!$E$507</definedName>
    <definedName name="_cac15">[2]Insumos!$E$509</definedName>
    <definedName name="_cac18">[2]Insumos!$E$510</definedName>
    <definedName name="_cac21">[2]Insumos!$E$511</definedName>
    <definedName name="_cac24" localSheetId="5">[1]Insumos!$H$1114</definedName>
    <definedName name="_cac24">[1]Insumos!$H$1114</definedName>
    <definedName name="_cac9" localSheetId="5">[1]Insumos!$H$1108</definedName>
    <definedName name="_cac9">[1]Insumos!$H$1108</definedName>
    <definedName name="_caf14" localSheetId="5">[1]Insumos!$H$151</definedName>
    <definedName name="_caf14">[1]Insumos!$H$151</definedName>
    <definedName name="_cag06" localSheetId="5">[1]Insumos!$H$156</definedName>
    <definedName name="_cag06">[1]Insumos!$H$156</definedName>
    <definedName name="_cag11" localSheetId="5">[1]Insumos!$H$155</definedName>
    <definedName name="_cag11">[1]Insumos!$H$155</definedName>
    <definedName name="_cag12" localSheetId="5">[1]Insumos!$H$154</definedName>
    <definedName name="_cag12">[1]Insumos!$H$154</definedName>
    <definedName name="_cag13" localSheetId="5">[1]Insumos!$H$153</definedName>
    <definedName name="_cag13">[1]Insumos!$H$153</definedName>
    <definedName name="_cag14" localSheetId="5">[1]Insumos!$H$152</definedName>
    <definedName name="_cag14">[1]Insumos!$H$152</definedName>
    <definedName name="_cap17" localSheetId="5">[1]Insumos!$H$873</definedName>
    <definedName name="_cap17">[1]Insumos!$H$873</definedName>
    <definedName name="_cap20">[2]Insumos!$E$432</definedName>
    <definedName name="_cap50">[2]Insumos!$E$433</definedName>
    <definedName name="_cap75" localSheetId="5">[1]Insumos!$H$874</definedName>
    <definedName name="_cap75">[1]Insumos!$H$874</definedName>
    <definedName name="_cce50_4_" localSheetId="5">[1]Insumos!$H$669</definedName>
    <definedName name="_cce50_4_">[1]Insumos!$H$669</definedName>
    <definedName name="_cce50_6_" localSheetId="5">[1]Insumos!$H$670</definedName>
    <definedName name="_cce50_6_">[1]Insumos!$H$670</definedName>
    <definedName name="_cci50_2_" localSheetId="5">[1]Insumos!$H$673</definedName>
    <definedName name="_cci50_2_">[1]Insumos!$H$673</definedName>
    <definedName name="_ccn16" localSheetId="5">[1]Insumos!$H$681</definedName>
    <definedName name="_ccn16">[1]Insumos!$H$681</definedName>
    <definedName name="_ccn25" localSheetId="5">[1]Insumos!$H$682</definedName>
    <definedName name="_ccn25">[1]Insumos!$H$682</definedName>
    <definedName name="_ccn35" localSheetId="5">[1]Insumos!$H$683</definedName>
    <definedName name="_ccn35">[1]Insumos!$H$683</definedName>
    <definedName name="_ccn50" localSheetId="5">[1]Insumos!$H$684</definedName>
    <definedName name="_ccn50">[1]Insumos!$H$684</definedName>
    <definedName name="_ccp18" localSheetId="5">[1]Insumos!$H$282</definedName>
    <definedName name="_ccp18">[1]Insumos!$H$282</definedName>
    <definedName name="_ccr12" localSheetId="5">[1]Insumos!$H$283</definedName>
    <definedName name="_ccr12">[1]Insumos!$H$283</definedName>
    <definedName name="_cdd125" localSheetId="5">[1]Insumos!$H$1011</definedName>
    <definedName name="_cdd125">[1]Insumos!$H$1011</definedName>
    <definedName name="_cde125" localSheetId="5">[1]Insumos!$H$1012</definedName>
    <definedName name="_cde125">[1]Insumos!$H$1012</definedName>
    <definedName name="_cer1" localSheetId="5">[1]Insumos!$H$708</definedName>
    <definedName name="_cer1">[1]Insumos!$H$708</definedName>
    <definedName name="_cfl20">[2]Insumos!$E$296</definedName>
    <definedName name="_cfl40">[2]Insumos!$E$294</definedName>
    <definedName name="_clp100">[2]Insumos!$E$463</definedName>
    <definedName name="_clp125" localSheetId="5">[1]Insumos!$H$976</definedName>
    <definedName name="_clp125">[1]Insumos!$H$976</definedName>
    <definedName name="_cls2">[2]Insumos!$E$357</definedName>
    <definedName name="_cls5">[2]Insumos!$E$358</definedName>
    <definedName name="_cmb6" localSheetId="5">[1]Insumos!$H$1421</definedName>
    <definedName name="_cmb6">[1]Insumos!$H$1421</definedName>
    <definedName name="_cmb8" localSheetId="5">[1]Insumos!$H$1422</definedName>
    <definedName name="_cmb8">[1]Insumos!$H$1422</definedName>
    <definedName name="_cme1">[2]Insumos!$E$65</definedName>
    <definedName name="_con1">[2]Insumos!$E$631</definedName>
    <definedName name="_con2">[2]Insumos!$E$632</definedName>
    <definedName name="_coz100">[2]Insumos!$E$466</definedName>
    <definedName name="_coz50" localSheetId="5">[1]Insumos!$H$992</definedName>
    <definedName name="_coz50">[1]Insumos!$H$992</definedName>
    <definedName name="_coz75" localSheetId="5">[1]Insumos!$H$991</definedName>
    <definedName name="_coz75">[1]Insumos!$H$991</definedName>
    <definedName name="_cpe15" localSheetId="5">[1]Insumos!$H$571</definedName>
    <definedName name="_cpe15">[1]Insumos!$H$571</definedName>
    <definedName name="_cpe25" localSheetId="5">[1]Insumos!$H$572</definedName>
    <definedName name="_cpe25">[1]Insumos!$H$572</definedName>
    <definedName name="_cpe35" localSheetId="5">[1]Insumos!$H$573</definedName>
    <definedName name="_cpe35">[1]Insumos!$H$573</definedName>
    <definedName name="_cpj1" localSheetId="5">[1]Insumos!$H$52</definedName>
    <definedName name="_cpj1">[1]Insumos!$H$52</definedName>
    <definedName name="_cpl4" localSheetId="5">[1]Insumos!$H$1243</definedName>
    <definedName name="_cpl4">[1]Insumos!$H$1243</definedName>
    <definedName name="_cpl6" localSheetId="5">[1]Insumos!$H$759</definedName>
    <definedName name="_cpl6">[1]Insumos!$H$759</definedName>
    <definedName name="_cpz32">[4]Insumos!$C$33</definedName>
    <definedName name="_cpz32_1">NA()</definedName>
    <definedName name="_cpz32_5">NA()</definedName>
    <definedName name="_cpz32_6">NA()</definedName>
    <definedName name="_crj45">[2]Insumos!$E$332</definedName>
    <definedName name="_csb16" localSheetId="5">[1]Insumos!$H$727</definedName>
    <definedName name="_csb16">[1]Insumos!$H$727</definedName>
    <definedName name="_csb25" localSheetId="5">[1]Insumos!$H$728</definedName>
    <definedName name="_csb25">[1]Insumos!$H$728</definedName>
    <definedName name="_csb35" localSheetId="5">[1]Insumos!$H$729</definedName>
    <definedName name="_csb35">[1]Insumos!$H$729</definedName>
    <definedName name="_ctf6">[2]Insumos!$E$47</definedName>
    <definedName name="_ctl10" localSheetId="5">[1]Insumos!$H$575</definedName>
    <definedName name="_ctl10">[1]Insumos!$H$575</definedName>
    <definedName name="_ctl6">[2]Insumos!$E$278</definedName>
    <definedName name="_cvd100" localSheetId="5">[1]Insumos!$H$1000</definedName>
    <definedName name="_cvd100">[1]Insumos!$H$1000</definedName>
    <definedName name="_cvd50" localSheetId="5">[1]Insumos!$H$1003</definedName>
    <definedName name="_cvd50">[1]Insumos!$H$1003</definedName>
    <definedName name="_cvd88" localSheetId="5">[1]Insumos!$H$1001</definedName>
    <definedName name="_cvd88">[1]Insumos!$H$1001</definedName>
    <definedName name="_cve90100">[2]Insumos!$E$446</definedName>
    <definedName name="_cve90150" localSheetId="5">[1]Insumos!$H$934</definedName>
    <definedName name="_cve90150">[1]Insumos!$H$934</definedName>
    <definedName name="_cve9040">[2]Insumos!$E$448</definedName>
    <definedName name="_cve9050">[2]Insumos!$E$447</definedName>
    <definedName name="_cve9075" localSheetId="5">[1]Insumos!$H$936</definedName>
    <definedName name="_cve9075">[1]Insumos!$H$936</definedName>
    <definedName name="_cvs2">[2]Insumos!$E$359</definedName>
    <definedName name="_cvs5">[2]Insumos!$E$360</definedName>
    <definedName name="_cxg40">[2]Insumos!$E$514</definedName>
    <definedName name="_cxg50" localSheetId="5">[1]Insumos!$H$1120</definedName>
    <definedName name="_cxg50">[1]Insumos!$H$1120</definedName>
    <definedName name="_cxg60" localSheetId="5">[1]Insumos!$H$1121</definedName>
    <definedName name="_cxg60">[1]Insumos!$H$1121</definedName>
    <definedName name="_cxi40">[2]Insumos!$E$513</definedName>
    <definedName name="_cxp30" localSheetId="5">[1]Insumos!$H$1115</definedName>
    <definedName name="_cxp30">[1]Insumos!$H$1115</definedName>
    <definedName name="_cxp40">[2]Insumos!$E$512</definedName>
    <definedName name="_cxp60" localSheetId="5">[1]Insumos!$H$1117</definedName>
    <definedName name="_cxp60">[1]Insumos!$H$1117</definedName>
    <definedName name="_cxs100100">[2]Insumos!$E$456</definedName>
    <definedName name="_daz3" localSheetId="5">[1]Insumos!$H$530</definedName>
    <definedName name="_daz3">[1]Insumos!$H$530</definedName>
    <definedName name="_dcr1" localSheetId="5">[1]Insumos!$H$529</definedName>
    <definedName name="_dcr1">[1]Insumos!$H$529</definedName>
    <definedName name="_dcr2" localSheetId="5">[1]Insumos!$H$528</definedName>
    <definedName name="_dcr2">[1]Insumos!$H$528</definedName>
    <definedName name="_dcr3" localSheetId="5">[1]Insumos!$H$527</definedName>
    <definedName name="_dcr3">[1]Insumos!$H$527</definedName>
    <definedName name="_dgc10">[2]Insumos!$E$107</definedName>
    <definedName name="_dgc7">[2]Insumos!$E$105</definedName>
    <definedName name="_dgc8">[2]Insumos!$E$106</definedName>
    <definedName name="_dgd1" localSheetId="5">[1]Insumos!$H$244</definedName>
    <definedName name="_dgd1">[1]Insumos!$H$244</definedName>
    <definedName name="_dge7">[2]Insumos!$E$108</definedName>
    <definedName name="_dge8" localSheetId="5">[1]Insumos!#REF!</definedName>
    <definedName name="_dge8" localSheetId="2">[1]Insumos!#REF!</definedName>
    <definedName name="_dge8" localSheetId="3">[1]Insumos!#REF!</definedName>
    <definedName name="_dge8">[1]Insumos!#REF!</definedName>
    <definedName name="_djm10">[2]Insumos!$E$343</definedName>
    <definedName name="_djm15">[2]Insumos!$E$342</definedName>
    <definedName name="_djm20">[2]Insumos!$E$341</definedName>
    <definedName name="_djm25">[2]Insumos!$E$340</definedName>
    <definedName name="_djm30">[2]Insumos!$E$339</definedName>
    <definedName name="_djt20" localSheetId="5">[1]Insumos!$H$663</definedName>
    <definedName name="_djt20">[1]Insumos!$H$663</definedName>
    <definedName name="_djt25" localSheetId="5">[1]Insumos!$H$662</definedName>
    <definedName name="_djt25">[1]Insumos!$H$662</definedName>
    <definedName name="_djt30" localSheetId="5">[1]Insumos!$H$661</definedName>
    <definedName name="_djt30">[1]Insumos!$H$661</definedName>
    <definedName name="_djt35" localSheetId="5">[1]Insumos!$H$660</definedName>
    <definedName name="_djt35">[1]Insumos!$H$660</definedName>
    <definedName name="_djt40" localSheetId="5">[1]Insumos!$H$659</definedName>
    <definedName name="_djt40">[1]Insumos!$H$659</definedName>
    <definedName name="_djt50">[2]Insumos!$E$338</definedName>
    <definedName name="_djt60" localSheetId="5">[1]Insumos!$H$657</definedName>
    <definedName name="_djt60">[1]Insumos!$H$657</definedName>
    <definedName name="_djt70" localSheetId="5">[1]Insumos!$H$656</definedName>
    <definedName name="_djt70">[1]Insumos!$H$656</definedName>
    <definedName name="_drp25">[2]Insumos!$E$415</definedName>
    <definedName name="_dtp100">[2]Insumos!$E$467</definedName>
    <definedName name="_dtp125" localSheetId="5">[1]Insumos!$H$996</definedName>
    <definedName name="_dtp125">[1]Insumos!$H$996</definedName>
    <definedName name="_dtp150" localSheetId="5">[1]Insumos!$H$995</definedName>
    <definedName name="_dtp150">[1]Insumos!$H$995</definedName>
    <definedName name="_dtp50" localSheetId="5">[1]Insumos!$H$999</definedName>
    <definedName name="_dtp50">[1]Insumos!$H$999</definedName>
    <definedName name="_dtp88" localSheetId="5">[1]Insumos!$H$998</definedName>
    <definedName name="_dtp88">[1]Insumos!$H$998</definedName>
    <definedName name="_edd125" localSheetId="5">[1]Insumos!$H$1013</definedName>
    <definedName name="_edd125">[1]Insumos!$H$1013</definedName>
    <definedName name="_elf1" localSheetId="5">[1]Insumos!$H$699</definedName>
    <definedName name="_elf1">[1]Insumos!$H$699</definedName>
    <definedName name="_elr1" localSheetId="5">[1]Insumos!$H$703</definedName>
    <definedName name="_elr1">[1]Insumos!$H$703</definedName>
    <definedName name="_emc1" localSheetId="5">[1]Insumos!$H$1250</definedName>
    <definedName name="_emc1">[1]Insumos!$H$1250</definedName>
    <definedName name="_epc3040" localSheetId="5">[1]Insumos!$H$1048</definedName>
    <definedName name="_epc3040">[1]Insumos!$H$1048</definedName>
    <definedName name="_epc5070">[2]Insumos!$E$476</definedName>
    <definedName name="_epc8790" localSheetId="5">[1]Insumos!$H$1050</definedName>
    <definedName name="_epc8790">[1]Insumos!$H$1050</definedName>
    <definedName name="_epl10" localSheetId="5">[1]Insumos!$H$1322</definedName>
    <definedName name="_epl10">[1]Insumos!$H$1322</definedName>
    <definedName name="_epl2">[2]Insumos!$E$604</definedName>
    <definedName name="_epl3">[2]Insumos!$E$603</definedName>
    <definedName name="_epl5">[2]Insumos!$E$602</definedName>
    <definedName name="_esc1">[2]Insumos!$E$635</definedName>
    <definedName name="_esp1">[2]Insumos!$E$629</definedName>
    <definedName name="_esp2">[2]Insumos!$E$630</definedName>
    <definedName name="_fad5">[2]Insumos!$E$605</definedName>
    <definedName name="_faf1" localSheetId="5">[1]Insumos!$H$721</definedName>
    <definedName name="_faf1">[1]Insumos!$H$721</definedName>
    <definedName name="_fcm1" localSheetId="5">[1]Insumos!$H$290</definedName>
    <definedName name="_fcm1">[1]Insumos!$H$290</definedName>
    <definedName name="_fcm2" localSheetId="5">[1]Insumos!$H$292</definedName>
    <definedName name="_fcm2">[1]Insumos!$H$292</definedName>
    <definedName name="_fcm3" localSheetId="5">[1]Insumos!$H$287</definedName>
    <definedName name="_fcm3">[1]Insumos!$H$287</definedName>
    <definedName name="_fcm4" localSheetId="5">[1]Insumos!$H$294</definedName>
    <definedName name="_fcm4">[1]Insumos!$H$294</definedName>
    <definedName name="_fcm5" localSheetId="5">[1]Insumos!$H$289</definedName>
    <definedName name="_fcm5">[1]Insumos!$H$289</definedName>
    <definedName name="_fcm6" localSheetId="5">[1]Insumos!$H$293</definedName>
    <definedName name="_fcm6">[1]Insumos!$H$293</definedName>
    <definedName name="_fcm7" localSheetId="5">[1]Insumos!$H$288</definedName>
    <definedName name="_fcm7">[1]Insumos!$H$288</definedName>
    <definedName name="_fcn4" localSheetId="5">[1]Insumos!$H$679</definedName>
    <definedName name="_fcn4">[1]Insumos!$H$679</definedName>
    <definedName name="_fcn6" localSheetId="5">[1]Insumos!$H$680</definedName>
    <definedName name="_fcn6">[1]Insumos!$H$680</definedName>
    <definedName name="_fec1" localSheetId="5">[1]Insumos!$H$521</definedName>
    <definedName name="_fec1">[1]Insumos!$H$521</definedName>
    <definedName name="_fic1">[2]Insumos!$E$250</definedName>
    <definedName name="_fic2" localSheetId="5">[3]Insumos!$F$522</definedName>
    <definedName name="_fic2">[3]Insumos!$F$522</definedName>
    <definedName name="_fil1">[2]Insumos!$E$575</definedName>
    <definedName name="_fil2">[2]Insumos!$E$578</definedName>
    <definedName name="_fil3" localSheetId="5">[1]Insumos!$H$1238</definedName>
    <definedName name="_fil3">[1]Insumos!$H$1238</definedName>
    <definedName name="_xlnm._FilterDatabase" localSheetId="2" hidden="1">'COMP MEDIDOS'!$A$1:$I$5</definedName>
    <definedName name="_xlnm._FilterDatabase" localSheetId="3" hidden="1">'COMPOSIÇÃO AB'!$A$1:$I$5</definedName>
    <definedName name="_xlnm._FilterDatabase" localSheetId="7" hidden="1">'COMPOSIÇÃO DE CUSTOS'!$A$1:$G$5</definedName>
    <definedName name="_fio10">[2]Insumos!$E$348</definedName>
    <definedName name="_fio12">[2]Insumos!$E$347</definedName>
    <definedName name="_fio14" localSheetId="5">[1]Insumos!$H$687</definedName>
    <definedName name="_fio14">[1]Insumos!$H$687</definedName>
    <definedName name="_fio8">[2]Insumos!$E$349</definedName>
    <definedName name="_fip1">[2]Insumos!$E$251</definedName>
    <definedName name="_fis10">[2]Insumos!$E$365</definedName>
    <definedName name="_fis5">[2]Insumos!$E$364</definedName>
    <definedName name="_flp20" localSheetId="5">[1]Insumos!$H$881</definedName>
    <definedName name="_flp20">[1]Insumos!$H$881</definedName>
    <definedName name="_flp25" localSheetId="5">[1]Insumos!$H$882</definedName>
    <definedName name="_flp25">[1]Insumos!$H$882</definedName>
    <definedName name="_flp32">[2]Insumos!$E$437</definedName>
    <definedName name="_flp40">[2]Insumos!$E$438</definedName>
    <definedName name="_flp50" localSheetId="5">[1]Insumos!$H$885</definedName>
    <definedName name="_flp50">[1]Insumos!$H$885</definedName>
    <definedName name="_flp60" localSheetId="5">[1]Insumos!$H$886</definedName>
    <definedName name="_flp60">[1]Insumos!$H$886</definedName>
    <definedName name="_for1">[2]Insumos!$E$154</definedName>
    <definedName name="_for10" localSheetId="5">[1]Insumos!$H$323</definedName>
    <definedName name="_for10">[1]Insumos!$H$323</definedName>
    <definedName name="_for2">[2]Insumos!$E$155</definedName>
    <definedName name="_for3">[2]Insumos!$E$156</definedName>
    <definedName name="_for4">[2]Insumos!$E$157</definedName>
    <definedName name="_for5">[2]Insumos!$E$158</definedName>
    <definedName name="_for6">[2]Insumos!$E$159</definedName>
    <definedName name="_for7">[2]Insumos!$E$160</definedName>
    <definedName name="_for8" localSheetId="5">[1]Insumos!$H$321</definedName>
    <definedName name="_for8">[1]Insumos!$H$321</definedName>
    <definedName name="_for9" localSheetId="5">[1]Insumos!$H$322</definedName>
    <definedName name="_for9">[1]Insumos!$H$322</definedName>
    <definedName name="_fpd12">[2]Insumos!$E$346</definedName>
    <definedName name="_fpd14" localSheetId="5">[1]Insumos!$H$685</definedName>
    <definedName name="_fpd14">[1]Insumos!$H$685</definedName>
    <definedName name="_frp1" localSheetId="5">[1]Insumos!$H$263</definedName>
    <definedName name="_frp1">[1]Insumos!$H$263</definedName>
    <definedName name="_fvr10">[2]Insumos!$E$429</definedName>
    <definedName name="_fvr50">[2]Insumos!$E$430</definedName>
    <definedName name="_gas1" localSheetId="5">[1]Insumos!$H$1234</definedName>
    <definedName name="_gas1">[1]Insumos!$H$1234</definedName>
    <definedName name="_gas2" localSheetId="5">[1]Insumos!$H$1235</definedName>
    <definedName name="_gas2">[1]Insumos!$H$1235</definedName>
    <definedName name="_gfp88" localSheetId="5">[1]Insumos!$H$1021</definedName>
    <definedName name="_gfp88">[1]Insumos!$H$1021</definedName>
    <definedName name="_gl3_" localSheetId="5">[1]Insumos!$H$199</definedName>
    <definedName name="_gl3_">[1]Insumos!$H$199</definedName>
    <definedName name="_grm160">[2]Insumos!$E$183</definedName>
    <definedName name="_hab1">[2]Insumos!$E$715</definedName>
    <definedName name="_hab2">[2]Insumos!$E$718</definedName>
    <definedName name="_hab3" localSheetId="5">[1]Insumos!$H$1458</definedName>
    <definedName name="_hab3">[1]Insumos!$H$1458</definedName>
    <definedName name="_hmd125" localSheetId="5">[1]Insumos!$H$1016</definedName>
    <definedName name="_hmd125">[1]Insumos!$H$1016</definedName>
    <definedName name="_imp1">[2]Insumos!$E$550</definedName>
    <definedName name="_imp2" localSheetId="5">[1]Insumos!$H$1196</definedName>
    <definedName name="_imp2">[1]Insumos!$H$1196</definedName>
    <definedName name="_imp3" localSheetId="5">[1]Insumos!$H$1194</definedName>
    <definedName name="_imp3">[1]Insumos!$H$1194</definedName>
    <definedName name="_itt1">[2]Insumos!$E$311</definedName>
    <definedName name="_itu1">[2]Insumos!$E$304</definedName>
    <definedName name="_itu2">[2]Insumos!$E$306</definedName>
    <definedName name="_itu3">[2]Insumos!$E$307</definedName>
    <definedName name="_jcd88" localSheetId="5">[1]Insumos!$H$1008</definedName>
    <definedName name="_jcd88">[1]Insumos!$H$1008</definedName>
    <definedName name="_jce100" localSheetId="5">[1]Insumos!$H$958</definedName>
    <definedName name="_jce100">[1]Insumos!$H$958</definedName>
    <definedName name="_jce150" localSheetId="5">[1]Insumos!$H$957</definedName>
    <definedName name="_jce150">[1]Insumos!$H$957</definedName>
    <definedName name="_jce40" localSheetId="5">[1]Insumos!$H$961</definedName>
    <definedName name="_jce40">[1]Insumos!$H$961</definedName>
    <definedName name="_jce50" localSheetId="5">[1]Insumos!$H$960</definedName>
    <definedName name="_jce50">[1]Insumos!$H$960</definedName>
    <definedName name="_jce75" localSheetId="5">[1]Insumos!$H$959</definedName>
    <definedName name="_jce75">[1]Insumos!$H$959</definedName>
    <definedName name="_jdp25">[2]Insumos!$E$416</definedName>
    <definedName name="_jla20">[2]Insumos!$E$403</definedName>
    <definedName name="_jla25" localSheetId="5">[1]Insumos!$H$799</definedName>
    <definedName name="_jla25">[1]Insumos!$H$799</definedName>
    <definedName name="_jla32" localSheetId="5">[1]Insumos!$H$800</definedName>
    <definedName name="_jla32">[1]Insumos!$H$800</definedName>
    <definedName name="_jla40" localSheetId="5">[1]Insumos!$H$801</definedName>
    <definedName name="_jla40">[1]Insumos!$H$801</definedName>
    <definedName name="_jla50" localSheetId="5">[1]Insumos!$H$802</definedName>
    <definedName name="_jla50">[1]Insumos!$H$802</definedName>
    <definedName name="_jve45100" localSheetId="5">[1]Insumos!$H$945</definedName>
    <definedName name="_jve45100">[1]Insumos!$H$945</definedName>
    <definedName name="_jve45150" localSheetId="5">[1]Insumos!$H$944</definedName>
    <definedName name="_jve45150">[1]Insumos!$H$944</definedName>
    <definedName name="_jve4540" localSheetId="5">[1]Insumos!$H$948</definedName>
    <definedName name="_jve4540">[1]Insumos!$H$948</definedName>
    <definedName name="_jve4550" localSheetId="5">[1]Insumos!$H$947</definedName>
    <definedName name="_jve4550">[1]Insumos!$H$947</definedName>
    <definedName name="_jve4575" localSheetId="5">[1]Insumos!$H$946</definedName>
    <definedName name="_jve4575">[1]Insumos!$H$946</definedName>
    <definedName name="_jve90100" localSheetId="5">[1]Insumos!$H$940</definedName>
    <definedName name="_jve90100">[1]Insumos!$H$940</definedName>
    <definedName name="_jve90150" localSheetId="5">[1]Insumos!$H$939</definedName>
    <definedName name="_jve90150">[1]Insumos!$H$939</definedName>
    <definedName name="_jve9040" localSheetId="5">[1]Insumos!$H$943</definedName>
    <definedName name="_jve9040">[1]Insumos!$H$943</definedName>
    <definedName name="_jve9050" localSheetId="5">[1]Insumos!$H$942</definedName>
    <definedName name="_jve9050">[1]Insumos!$H$942</definedName>
    <definedName name="_jve9075" localSheetId="5">[1]Insumos!$H$941</definedName>
    <definedName name="_jve9075">[1]Insumos!$H$941</definedName>
    <definedName name="_lai15">[2]Insumos!$E$68</definedName>
    <definedName name="_lai20">[2]Insumos!$E$67</definedName>
    <definedName name="_ldr10">[2]Insumos!$E$698</definedName>
    <definedName name="_lfl20" localSheetId="5">[1]Insumos!$H$594</definedName>
    <definedName name="_lfl20">[1]Insumos!$H$594</definedName>
    <definedName name="_lfl40">[2]Insumos!$E$292</definedName>
    <definedName name="_lnm1" localSheetId="5">[1]Insumos!$H$298</definedName>
    <definedName name="_lnm1">[1]Insumos!$H$298</definedName>
    <definedName name="_lpf250">[2]Insumos!$E$287</definedName>
    <definedName name="_lpi100">[2]Insumos!$E$283</definedName>
    <definedName name="_lpi60" localSheetId="5">[3]Insumos!$F$578</definedName>
    <definedName name="_lpi60">[3]Insumos!$F$578</definedName>
    <definedName name="_lpl15">[2]Insumos!$E$291</definedName>
    <definedName name="_lpl18">[2]Insumos!$E$290</definedName>
    <definedName name="_lpl20" localSheetId="5">[1]Insumos!$H$587</definedName>
    <definedName name="_lpl20">[1]Insumos!$H$587</definedName>
    <definedName name="_lpl45" localSheetId="5">[1]Insumos!$H$586</definedName>
    <definedName name="_lpl45">[1]Insumos!$H$586</definedName>
    <definedName name="_lrc250" localSheetId="5">[1]Insumos!$H$602</definedName>
    <definedName name="_lrc250">[1]Insumos!$H$602</definedName>
    <definedName name="_lvg12050">[2]Insumos!$E$497</definedName>
    <definedName name="_lvg15050">[2]Insumos!$E$498</definedName>
    <definedName name="_lxa1" localSheetId="5">[1]Insumos!$H$1182</definedName>
    <definedName name="_lxa1">[1]Insumos!$H$1182</definedName>
    <definedName name="_lxf40" localSheetId="5">[1]Insumos!$H$1319</definedName>
    <definedName name="_lxf40">[1]Insumos!$H$1319</definedName>
    <definedName name="_lxg14" localSheetId="5">[1]Insumos!$H$1317</definedName>
    <definedName name="_lxg14">[1]Insumos!$H$1317</definedName>
    <definedName name="_lxg28" localSheetId="5">[1]Insumos!$H$1318</definedName>
    <definedName name="_lxg28">[1]Insumos!$H$1318</definedName>
    <definedName name="_mad1" localSheetId="5">[1]Insumos!$H$296</definedName>
    <definedName name="_mad1">[1]Insumos!$H$296</definedName>
    <definedName name="_mad2" localSheetId="5">[1]Insumos!$H$297</definedName>
    <definedName name="_mad2">[1]Insumos!$H$297</definedName>
    <definedName name="_man100">[2]Insumos!$E$515</definedName>
    <definedName name="_man120" localSheetId="5">[1]Insumos!$H$1127</definedName>
    <definedName name="_man120">[1]Insumos!$H$1127</definedName>
    <definedName name="_man60" localSheetId="5">[1]Insumos!$H$1123</definedName>
    <definedName name="_man60">[1]Insumos!$H$1123</definedName>
    <definedName name="_man80" localSheetId="5">[1]Insumos!$H$1124</definedName>
    <definedName name="_man80">[1]Insumos!$H$1124</definedName>
    <definedName name="_man90" localSheetId="5">[1]Insumos!$H$1125</definedName>
    <definedName name="_man90">[1]Insumos!$H$1125</definedName>
    <definedName name="_mch50" localSheetId="5">[1]Insumos!$H$905</definedName>
    <definedName name="_mch50">[1]Insumos!$H$905</definedName>
    <definedName name="_mfi1">[2]Insumos!$E$517</definedName>
    <definedName name="_mfi2">[2]Insumos!$E$518</definedName>
    <definedName name="_mfi3" localSheetId="5">[1]Insumos!$H$1132</definedName>
    <definedName name="_mfi3">[1]Insumos!$H$1132</definedName>
    <definedName name="_mfi4" localSheetId="5">[1]Insumos!$H$1134</definedName>
    <definedName name="_mfi4">[1]Insumos!$H$1134</definedName>
    <definedName name="_mfi5" localSheetId="5">[1]Insumos!$H$1133</definedName>
    <definedName name="_mfi5">[1]Insumos!$H$1133</definedName>
    <definedName name="_mob1">[2]Insumos!$E$695</definedName>
    <definedName name="_mob2">[2]Insumos!$E$696</definedName>
    <definedName name="_mon1" localSheetId="5">[1]Insumos!$H$29</definedName>
    <definedName name="_mon1">[1]Insumos!$H$29</definedName>
    <definedName name="_mot140" localSheetId="5">[1]Insumos!$H$1434</definedName>
    <definedName name="_mot140">[1]Insumos!$H$1434</definedName>
    <definedName name="_mot173" localSheetId="5">[1]Insumos!$H$1242</definedName>
    <definedName name="_mot173">[1]Insumos!$H$1242</definedName>
    <definedName name="_mrc1" localSheetId="5">[1]Insumos!$H$327</definedName>
    <definedName name="_mrc1">[1]Insumos!$H$327</definedName>
    <definedName name="_mrc2" localSheetId="5">[1]Insumos!$H$328</definedName>
    <definedName name="_mrc2">[1]Insumos!$H$328</definedName>
    <definedName name="_mud1" localSheetId="5">[1]Insumos!$H$1223</definedName>
    <definedName name="_mud1">[1]Insumos!$H$1223</definedName>
    <definedName name="_mud2" localSheetId="5">[1]Insumos!$H$1224</definedName>
    <definedName name="_mud2">[1]Insumos!$H$1224</definedName>
    <definedName name="_mud3" localSheetId="5">[1]Insumos!$H$1225</definedName>
    <definedName name="_mud3">[1]Insumos!$H$1225</definedName>
    <definedName name="_mud4" localSheetId="5">[1]Insumos!$H$1219</definedName>
    <definedName name="_mud4">[1]Insumos!$H$1219</definedName>
    <definedName name="_mud5" localSheetId="5">[1]Insumos!$H$1218</definedName>
    <definedName name="_mud5">[1]Insumos!$H$1218</definedName>
    <definedName name="_mud6" localSheetId="5">[1]Insumos!$H$1222</definedName>
    <definedName name="_mud6">[1]Insumos!$H$1222</definedName>
    <definedName name="_mud7" localSheetId="5">[1]Insumos!$H$1221</definedName>
    <definedName name="_mud7">[1]Insumos!$H$1221</definedName>
    <definedName name="_nfg40" localSheetId="5">[1]Insumos!$H$125</definedName>
    <definedName name="_nfg40">[1]Insumos!$H$125</definedName>
    <definedName name="_ope1">[2]Insumos!$E$13</definedName>
    <definedName name="_ope2">[2]Insumos!$E$14</definedName>
    <definedName name="_ope3">[2]Insumos!$E$15</definedName>
    <definedName name="_ope4" localSheetId="5">[1]Insumos!$H$24</definedName>
    <definedName name="_ope4">[1]Insumos!$H$24</definedName>
    <definedName name="_ope5" localSheetId="5">[1]Insumos!$H$25</definedName>
    <definedName name="_ope5">[1]Insumos!$H$25</definedName>
    <definedName name="_ope6" localSheetId="5">[1]Insumos!$H$26</definedName>
    <definedName name="_ope6">[1]Insumos!$H$26</definedName>
    <definedName name="_ope7" localSheetId="5">[1]Insumos!$H$27</definedName>
    <definedName name="_ope7">[1]Insumos!$H$27</definedName>
    <definedName name="_oqx1" localSheetId="5">[1]Insumos!$H$1186</definedName>
    <definedName name="_oqx1">[1]Insumos!$H$1186</definedName>
    <definedName name="_Order1">255</definedName>
    <definedName name="_pae12" localSheetId="5">[1]Insumos!$H$1254</definedName>
    <definedName name="_pae12">[1]Insumos!$H$1254</definedName>
    <definedName name="_pbv40">[4]Insumos!$C$59</definedName>
    <definedName name="_pbv40_1">NA()</definedName>
    <definedName name="_pbv40_5">NA()</definedName>
    <definedName name="_pbv40_6">NA()</definedName>
    <definedName name="_pcg12050" localSheetId="5">[1]Insumos!$H$1090</definedName>
    <definedName name="_pcg12050">[1]Insumos!$H$1090</definedName>
    <definedName name="_pcg15050">[2]Insumos!$E$499</definedName>
    <definedName name="_pci12060" localSheetId="5">[1]Insumos!$H$1100</definedName>
    <definedName name="_pci12060">[1]Insumos!$H$1100</definedName>
    <definedName name="_pci15050">[2]Insumos!$E$500</definedName>
    <definedName name="_pci15060" localSheetId="5">[1]Insumos!$H$1099</definedName>
    <definedName name="_pci15060">[1]Insumos!$H$1099</definedName>
    <definedName name="_pci16060" localSheetId="5">[1]Insumos!$H$1097</definedName>
    <definedName name="_pci16060">[1]Insumos!$H$1097</definedName>
    <definedName name="_pci18060" localSheetId="5">[1]Insumos!$H$1096</definedName>
    <definedName name="_pci18060">[1]Insumos!$H$1096</definedName>
    <definedName name="_pci20060" localSheetId="5">[1]Insumos!$H$1095</definedName>
    <definedName name="_pci20060">[1]Insumos!$H$1095</definedName>
    <definedName name="_pci24555" localSheetId="5">[1]Insumos!$H$1092</definedName>
    <definedName name="_pci24555">[1]Insumos!$H$1092</definedName>
    <definedName name="_pci25050" localSheetId="5">[1]Insumos!$H$1093</definedName>
    <definedName name="_pci25050">[1]Insumos!$H$1093</definedName>
    <definedName name="_pci25060" localSheetId="5">[1]Insumos!$H$1094</definedName>
    <definedName name="_pci25060">[1]Insumos!$H$1094</definedName>
    <definedName name="_pci32060" localSheetId="5">[1]Insumos!$H$1091</definedName>
    <definedName name="_pci32060">[1]Insumos!$H$1091</definedName>
    <definedName name="_pct3" localSheetId="5">[1]Insumos!$H$902</definedName>
    <definedName name="_pct3">[1]Insumos!$H$902</definedName>
    <definedName name="_pes1">[2]Insumos!$E$644</definedName>
    <definedName name="_pes2">[2]Insumos!$E$645</definedName>
    <definedName name="_pes3">[2]Insumos!$E$646</definedName>
    <definedName name="_pes4">[2]Insumos!$E$647</definedName>
    <definedName name="_pes5">[2]Insumos!$E$648</definedName>
    <definedName name="_pfa25" localSheetId="5">[1]Insumos!$H$343</definedName>
    <definedName name="_pfa25">[1]Insumos!$H$343</definedName>
    <definedName name="_pfa50" localSheetId="5">[1]Insumos!$H$344</definedName>
    <definedName name="_pfa50">[1]Insumos!$H$344</definedName>
    <definedName name="_pfa75" localSheetId="5">[1]Insumos!$H$345</definedName>
    <definedName name="_pfa75">[1]Insumos!$H$345</definedName>
    <definedName name="_pfb30">[2]Insumos!$E$165</definedName>
    <definedName name="_pfb50">[2]Insumos!$E$166</definedName>
    <definedName name="_pfb65" localSheetId="5">[1]Insumos!$H$338</definedName>
    <definedName name="_pfb65">[1]Insumos!$H$338</definedName>
    <definedName name="_pfb8">[2]Insumos!$E$164</definedName>
    <definedName name="_pfc80">[2]Insumos!$E$167</definedName>
    <definedName name="_pgr1" localSheetId="5">[1]Insumos!$H$537</definedName>
    <definedName name="_pgr1">[1]Insumos!$H$537</definedName>
    <definedName name="_pgr18">[2]Insumos!$E$256</definedName>
    <definedName name="_pgr43">[2]Insumos!$E$257</definedName>
    <definedName name="_pgt260" localSheetId="5">[1]Insumos!$H$403</definedName>
    <definedName name="_pgt260">[1]Insumos!$H$403</definedName>
    <definedName name="_pgt320" localSheetId="5">[1]Insumos!$H$404</definedName>
    <definedName name="_pgt320">[1]Insumos!$H$404</definedName>
    <definedName name="_pje1">[2]Insumos!$E$683</definedName>
    <definedName name="_pje2">[2]Insumos!$E$684</definedName>
    <definedName name="_plc1" localSheetId="5">[1]Insumos!$H$286</definedName>
    <definedName name="_plc1">[1]Insumos!$H$286</definedName>
    <definedName name="_plc2" localSheetId="5">[3]Insumos!$F$288</definedName>
    <definedName name="_plc2">[3]Insumos!$F$288</definedName>
    <definedName name="_ple15">[2]Insumos!$E$301</definedName>
    <definedName name="_ple18">[2]Insumos!$E$300</definedName>
    <definedName name="_plg3">[2]Insumos!$E$501</definedName>
    <definedName name="_pmt1">[2]Insumos!$E$176</definedName>
    <definedName name="_pmt2">[2]Insumos!$E$177</definedName>
    <definedName name="_pne1">[2]Insumos!$E$577</definedName>
    <definedName name="_pne2">[2]Insumos!$E$579</definedName>
    <definedName name="_pne3" localSheetId="5">[1]Insumos!$H$1241</definedName>
    <definedName name="_pne3">[1]Insumos!$H$1241</definedName>
    <definedName name="_ppa24" localSheetId="5">[1]Insumos!$H$763</definedName>
    <definedName name="_ppa24">[1]Insumos!$H$763</definedName>
    <definedName name="_ppt1" localSheetId="5">[1]Insumos!$H$209</definedName>
    <definedName name="_ppt1">[1]Insumos!$H$209</definedName>
    <definedName name="_pqs4" localSheetId="5">[1]Insumos!$H$1031</definedName>
    <definedName name="_pqs4">[1]Insumos!$H$1031</definedName>
    <definedName name="_pqs6" localSheetId="5">[1]Insumos!$H$1032</definedName>
    <definedName name="_pqs6">[1]Insumos!$H$1032</definedName>
    <definedName name="_prg1" localSheetId="5">[1]Insumos!$H$351</definedName>
    <definedName name="_prg1">[1]Insumos!$H$351</definedName>
    <definedName name="_prg2" localSheetId="5">[1]Insumos!$H$352</definedName>
    <definedName name="_prg2">[1]Insumos!$H$352</definedName>
    <definedName name="_prg3" localSheetId="5">[1]Insumos!$H$353</definedName>
    <definedName name="_prg3">[1]Insumos!$H$353</definedName>
    <definedName name="_prg4" localSheetId="5">[1]Insumos!$H$354</definedName>
    <definedName name="_prg4">[1]Insumos!$H$354</definedName>
    <definedName name="_prl250">[2]Insumos!$E$285</definedName>
    <definedName name="_ptm6">[2]Insumos!$E$267</definedName>
    <definedName name="_pvo1" localSheetId="5">[1]Insumos!$H$1258</definedName>
    <definedName name="_pvo1">[1]Insumos!$H$1258</definedName>
    <definedName name="_qd12">[2]Insumos!$E$275</definedName>
    <definedName name="_qd18">[2]Insumos!$E$274</definedName>
    <definedName name="_qd6">[2]Insumos!$E$276</definedName>
    <definedName name="_qdb12">[2]Insumos!$E$273</definedName>
    <definedName name="_qdb18">[2]Insumos!$E$272</definedName>
    <definedName name="_qdb24">[2]Insumos!$E$271</definedName>
    <definedName name="_qdb32">[2]Insumos!$E$270</definedName>
    <definedName name="_qdt40" localSheetId="5">[1]Insumos!$H$569</definedName>
    <definedName name="_qdt40">[1]Insumos!$H$569</definedName>
    <definedName name="_qdt50" localSheetId="5">[3]Insumos!$F$567</definedName>
    <definedName name="_qdt50">[3]Insumos!$F$567</definedName>
    <definedName name="_qdt60" localSheetId="5">[1]Insumos!$H$570</definedName>
    <definedName name="_qdt60">[1]Insumos!$H$570</definedName>
    <definedName name="_rac12" localSheetId="5">[1]Insumos!$H$766</definedName>
    <definedName name="_rac12">[1]Insumos!$H$766</definedName>
    <definedName name="_rac24" localSheetId="5">[1]Insumos!$H$767</definedName>
    <definedName name="_rac24">[1]Insumos!$H$767</definedName>
    <definedName name="_rea1" localSheetId="5">[1]Insumos!$H$582</definedName>
    <definedName name="_rea1">[1]Insumos!$H$582</definedName>
    <definedName name="_rem1">[2]Insumos!$E$616</definedName>
    <definedName name="_rem2">[2]Insumos!$E$617</definedName>
    <definedName name="_res10">[2]Insumos!$E$383</definedName>
    <definedName name="_res15">[2]Insumos!$E$384</definedName>
    <definedName name="_res2" localSheetId="5">[1]Insumos!$H$772</definedName>
    <definedName name="_res2">[1]Insumos!$H$772</definedName>
    <definedName name="_res5">[2]Insumos!$E$382</definedName>
    <definedName name="_rfc1000">[2]Insumos!$E$435</definedName>
    <definedName name="_rfc500">[2]Insumos!$E$434</definedName>
    <definedName name="_rfv1000" localSheetId="5">[1]Insumos!$H$879</definedName>
    <definedName name="_rfv1000">[1]Insumos!$H$879</definedName>
    <definedName name="_rfv310" localSheetId="5">[1]Insumos!$H$877</definedName>
    <definedName name="_rfv310">[1]Insumos!$H$877</definedName>
    <definedName name="_rfv500" localSheetId="5">[1]Insumos!$H$878</definedName>
    <definedName name="_rfv500">[1]Insumos!$H$878</definedName>
    <definedName name="_rfz25" localSheetId="5">[1]Insumos!$H$993</definedName>
    <definedName name="_rfz25">[1]Insumos!$H$993</definedName>
    <definedName name="_rfz30" localSheetId="5">[1]Insumos!$H$994</definedName>
    <definedName name="_rfz30">[1]Insumos!$H$994</definedName>
    <definedName name="_rgc1">[2]Insumos!$E$422</definedName>
    <definedName name="_rgc2" localSheetId="5">[1]Insumos!$H$852</definedName>
    <definedName name="_rgc2">[1]Insumos!$H$852</definedName>
    <definedName name="_rlc100">[2]Insumos!$E$468</definedName>
    <definedName name="_rls100100">[2]Insumos!$E$455</definedName>
    <definedName name="_sal250" localSheetId="5">[1]Insumos!$H$1473</definedName>
    <definedName name="_sal250">[1]Insumos!$H$1473</definedName>
    <definedName name="_sde4" localSheetId="5">[1]Insumos!$H$732</definedName>
    <definedName name="_sde4">[1]Insumos!$H$732</definedName>
    <definedName name="_sde50" localSheetId="5">[1]Insumos!$H$731</definedName>
    <definedName name="_sde50">[1]Insumos!$H$731</definedName>
    <definedName name="_sfg48" localSheetId="5">[1]Insumos!$H$765</definedName>
    <definedName name="_sfg48">[1]Insumos!$H$765</definedName>
    <definedName name="_smd125" localSheetId="5">[1]Insumos!$H$1017</definedName>
    <definedName name="_smd125">[1]Insumos!$H$1017</definedName>
    <definedName name="_son1">[2]Insumos!$E$700</definedName>
    <definedName name="_son2">[2]Insumos!$E$701</definedName>
    <definedName name="_spd125" localSheetId="5">[1]Insumos!$H$1018</definedName>
    <definedName name="_spd125">[1]Insumos!$H$1018</definedName>
    <definedName name="_spl12">[2]Insumos!$E$371</definedName>
    <definedName name="_spl15">[2]Insumos!$E$372</definedName>
    <definedName name="_spl18">[2]Insumos!$E$373</definedName>
    <definedName name="_spl24" localSheetId="5">[1]Insumos!$H$741</definedName>
    <definedName name="_spl24">[1]Insumos!$H$741</definedName>
    <definedName name="_spl9" localSheetId="5">[1]Insumos!$H$737</definedName>
    <definedName name="_spl9">[1]Insumos!$H$737</definedName>
    <definedName name="_spt12">[2]Insumos!$E$597</definedName>
    <definedName name="_tac10" localSheetId="5">[1]Insumos!$H$648</definedName>
    <definedName name="_tac10">[1]Insumos!$H$648</definedName>
    <definedName name="_tac15" localSheetId="5">[1]Insumos!$H$649</definedName>
    <definedName name="_tac15">[1]Insumos!$H$649</definedName>
    <definedName name="_tac20" localSheetId="5">[1]Insumos!$H$650</definedName>
    <definedName name="_tac20">[1]Insumos!$H$650</definedName>
    <definedName name="_tac25" localSheetId="5">[1]Insumos!$H$651</definedName>
    <definedName name="_tac25">[1]Insumos!$H$651</definedName>
    <definedName name="_tai1" localSheetId="5">[1]Insumos!$H$122</definedName>
    <definedName name="_tai1">[1]Insumos!$H$122</definedName>
    <definedName name="_tap1">[2]Insumos!$E$136</definedName>
    <definedName name="_tap100">[2]Insumos!$E$453</definedName>
    <definedName name="_tap2">[2]Insumos!$E$137</definedName>
    <definedName name="_tap3">[2]Insumos!$E$138</definedName>
    <definedName name="_tba20">[2]Insumos!$E$397</definedName>
    <definedName name="_tba25">[2]Insumos!$E$398</definedName>
    <definedName name="_tba32">[2]Insumos!$E$399</definedName>
    <definedName name="_tba40">[2]Insumos!$E$400</definedName>
    <definedName name="_tba50">[2]Insumos!$E$401</definedName>
    <definedName name="_tba60" localSheetId="5">[1]Insumos!$H$793</definedName>
    <definedName name="_tba60">[1]Insumos!$H$793</definedName>
    <definedName name="_tbe100">[2]Insumos!$E$443</definedName>
    <definedName name="_tbe150" localSheetId="5">[1]Insumos!$H$929</definedName>
    <definedName name="_tbe150">[1]Insumos!$H$929</definedName>
    <definedName name="_tbe40">[2]Insumos!$E$445</definedName>
    <definedName name="_tbe50">[2]Insumos!$E$444</definedName>
    <definedName name="_tbe75" localSheetId="5">[1]Insumos!$H$931</definedName>
    <definedName name="_tbe75">[1]Insumos!$H$931</definedName>
    <definedName name="_tbv1" localSheetId="5">[1]Insumos!$H$278</definedName>
    <definedName name="_tbv1">[1]Insumos!$H$278</definedName>
    <definedName name="_tbv2" localSheetId="5">[1]Insumos!$H$275</definedName>
    <definedName name="_tbv2">[1]Insumos!$H$275</definedName>
    <definedName name="_tbv3" localSheetId="5">[1]Insumos!$H$277</definedName>
    <definedName name="_tbv3">[1]Insumos!$H$277</definedName>
    <definedName name="_tbv4" localSheetId="5">[1]Insumos!$H$280</definedName>
    <definedName name="_tbv4">[1]Insumos!$H$280</definedName>
    <definedName name="_tbv5" localSheetId="5">[1]Insumos!$H$279</definedName>
    <definedName name="_tbv5">[1]Insumos!$H$279</definedName>
    <definedName name="_tca1">[2]Insumos!$E$38</definedName>
    <definedName name="_tcc50" localSheetId="5">[1]Insumos!$H$730</definedName>
    <definedName name="_tcc50">[1]Insumos!$H$730</definedName>
    <definedName name="_tdp25">[2]Insumos!$E$417</definedName>
    <definedName name="_tea20">[2]Insumos!$E$405</definedName>
    <definedName name="_tea25" localSheetId="5">[1]Insumos!$H$806</definedName>
    <definedName name="_tea25">[1]Insumos!$H$806</definedName>
    <definedName name="_tea32" localSheetId="5">[1]Insumos!$H$807</definedName>
    <definedName name="_tea32">[1]Insumos!$H$807</definedName>
    <definedName name="_tea40" localSheetId="5">[1]Insumos!$H$808</definedName>
    <definedName name="_tea40">[1]Insumos!$H$808</definedName>
    <definedName name="_tea50" localSheetId="5">[1]Insumos!$H$809</definedName>
    <definedName name="_tea50">[1]Insumos!$H$809</definedName>
    <definedName name="_ted100" localSheetId="5">[1]Insumos!$H$1004</definedName>
    <definedName name="_ted100">[1]Insumos!$H$1004</definedName>
    <definedName name="_ted50" localSheetId="5">[1]Insumos!$H$1006</definedName>
    <definedName name="_ted50">[1]Insumos!$H$1006</definedName>
    <definedName name="_ted88" localSheetId="5">[1]Insumos!$H$1005</definedName>
    <definedName name="_ted88">[1]Insumos!$H$1005</definedName>
    <definedName name="_tee100">[2]Insumos!$E$449</definedName>
    <definedName name="_tee150" localSheetId="5">[1]Insumos!$H$949</definedName>
    <definedName name="_tee150">[1]Insumos!$H$949</definedName>
    <definedName name="_tee40">[2]Insumos!$E$452</definedName>
    <definedName name="_tee50">[2]Insumos!$E$450</definedName>
    <definedName name="_tee75" localSheetId="5">[1]Insumos!$H$951</definedName>
    <definedName name="_tee75">[1]Insumos!$H$951</definedName>
    <definedName name="_ter10050">[2]Insumos!$E$451</definedName>
    <definedName name="_ter10075" localSheetId="5">[1]Insumos!$H$953</definedName>
    <definedName name="_ter10075">[1]Insumos!$H$953</definedName>
    <definedName name="_tes2">[2]Insumos!$E$361</definedName>
    <definedName name="_tes5">[2]Insumos!$E$362</definedName>
    <definedName name="_tfg100" localSheetId="5">[1]Insumos!$H$112</definedName>
    <definedName name="_tfg100">[1]Insumos!$H$112</definedName>
    <definedName name="_tfg125" localSheetId="5">[1]Insumos!$H$113</definedName>
    <definedName name="_tfg125">[1]Insumos!$H$113</definedName>
    <definedName name="_tfg15" localSheetId="5">[1]Insumos!$H$104</definedName>
    <definedName name="_tfg15">[1]Insumos!$H$104</definedName>
    <definedName name="_tfg150" localSheetId="5">[1]Insumos!$H$114</definedName>
    <definedName name="_tfg150">[1]Insumos!$H$114</definedName>
    <definedName name="_tfg20" localSheetId="5">[1]Insumos!$H$105</definedName>
    <definedName name="_tfg20">[1]Insumos!$H$105</definedName>
    <definedName name="_tfg25" localSheetId="5">[1]Insumos!$H$106</definedName>
    <definedName name="_tfg25">[1]Insumos!$H$106</definedName>
    <definedName name="_tfg32" localSheetId="5">[1]Insumos!$H$107</definedName>
    <definedName name="_tfg32">[1]Insumos!$H$107</definedName>
    <definedName name="_tfg40">[2]Insumos!$E$58</definedName>
    <definedName name="_tfg50">[2]Insumos!$E$59</definedName>
    <definedName name="_tfg65">[2]Insumos!$E$60</definedName>
    <definedName name="_tfg80" localSheetId="5">[1]Insumos!$H$111</definedName>
    <definedName name="_tfg80">[1]Insumos!$H$111</definedName>
    <definedName name="_tfi25" localSheetId="5">[1]Insumos!$H$115</definedName>
    <definedName name="_tfi25">[1]Insumos!$H$115</definedName>
    <definedName name="_tfi32" localSheetId="5">[1]Insumos!$H$116</definedName>
    <definedName name="_tfi32">[1]Insumos!$H$116</definedName>
    <definedName name="_tfi40" localSheetId="5">[1]Insumos!$H$117</definedName>
    <definedName name="_tfi40">[1]Insumos!$H$117</definedName>
    <definedName name="_tfi50" localSheetId="5">[1]Insumos!$H$118</definedName>
    <definedName name="_tfi50">[1]Insumos!$H$118</definedName>
    <definedName name="_tfi65" localSheetId="5">[1]Insumos!$H$119</definedName>
    <definedName name="_tfi65">[1]Insumos!$H$119</definedName>
    <definedName name="_tfi80" localSheetId="5">[1]Insumos!$H$120</definedName>
    <definedName name="_tfi80">[1]Insumos!$H$120</definedName>
    <definedName name="_tfs1" localSheetId="5">[1]Insumos!$H$1266</definedName>
    <definedName name="_tfs1">[1]Insumos!$H$1266</definedName>
    <definedName name="_tjc1">[2]Insumos!$E$36</definedName>
    <definedName name="_tjc14">[4]Insumos!$C$54</definedName>
    <definedName name="_tjc14_1">NA()</definedName>
    <definedName name="_tjc14_5">NA()</definedName>
    <definedName name="_tjc14_6">NA()</definedName>
    <definedName name="_tjc2">[2]Insumos!$E$37</definedName>
    <definedName name="_tjt1" localSheetId="5">[1]Insumos!$H$518</definedName>
    <definedName name="_tjt1">[1]Insumos!$H$518</definedName>
    <definedName name="_tjv1" localSheetId="5">[1]Insumos!$H$67</definedName>
    <definedName name="_tjv1">[1]Insumos!$H$67</definedName>
    <definedName name="_tlc1">[2]Insumos!$E$42</definedName>
    <definedName name="_tlc2">[2]Insumos!$E$43</definedName>
    <definedName name="_tlc3">[2]Insumos!$E$44</definedName>
    <definedName name="_tlf4" localSheetId="5">[1]Insumos!$H$73</definedName>
    <definedName name="_tlf4">[1]Insumos!$H$73</definedName>
    <definedName name="_tlf5">[2]Insumos!$E$45</definedName>
    <definedName name="_tlf6">[2]Insumos!$E$46</definedName>
    <definedName name="_tma100" localSheetId="5">[1]Insumos!$H$1128</definedName>
    <definedName name="_tma100">[1]Insumos!$H$1128</definedName>
    <definedName name="_tma110">[2]Insumos!$E$516</definedName>
    <definedName name="_trb110" localSheetId="5">[1]Insumos!$H$1311</definedName>
    <definedName name="_trb110">[1]Insumos!$H$1311</definedName>
    <definedName name="_trf1000">[2]Insumos!$E$436</definedName>
    <definedName name="_tta1" localSheetId="5">[1]Insumos!$H$1159</definedName>
    <definedName name="_tta1">[1]Insumos!$H$1159</definedName>
    <definedName name="_tta2" localSheetId="5">[1]Insumos!$H$1158</definedName>
    <definedName name="_tta2">[1]Insumos!$H$1158</definedName>
    <definedName name="_tta3" localSheetId="5">[1]Insumos!$H$1157</definedName>
    <definedName name="_tta3">[1]Insumos!$H$1157</definedName>
    <definedName name="_ttc1">[2]Insumos!$E$546</definedName>
    <definedName name="_tub11012">[2]Insumos!$E$394</definedName>
    <definedName name="_tub11015">[2]Insumos!$E$395</definedName>
    <definedName name="_tub11020">[2]Insumos!$E$396</definedName>
    <definedName name="_tub5012">[2]Insumos!$E$385</definedName>
    <definedName name="_tub5015">[2]Insumos!$E$386</definedName>
    <definedName name="_tub5020">[2]Insumos!$E$387</definedName>
    <definedName name="_tub6012">[2]Insumos!$E$388</definedName>
    <definedName name="_tub6015">[2]Insumos!$E$389</definedName>
    <definedName name="_tub6020">[2]Insumos!$E$390</definedName>
    <definedName name="_tub8512">[2]Insumos!$E$391</definedName>
    <definedName name="_tub8515">[2]Insumos!$E$392</definedName>
    <definedName name="_tub8520">[2]Insumos!$E$393</definedName>
    <definedName name="_ufg50" localSheetId="5">[1]Insumos!$H$126</definedName>
    <definedName name="_ufg50">[1]Insumos!$H$126</definedName>
    <definedName name="_vcc4">[2]Insumos!$E$567</definedName>
    <definedName name="_vcc6">[2]Insumos!$E$557</definedName>
    <definedName name="_vdc32" localSheetId="5">[1]Insumos!$H$1061</definedName>
    <definedName name="_vdc32">[1]Insumos!$H$1061</definedName>
    <definedName name="_vdc40">[2]Insumos!$E$486</definedName>
    <definedName name="_vdf4">[2]Insumos!$E$554</definedName>
    <definedName name="_vdf6" localSheetId="5">[1]Insumos!$H$1205</definedName>
    <definedName name="_vdf6">[1]Insumos!$H$1205</definedName>
    <definedName name="_vfi4">[2]Insumos!$E$565</definedName>
    <definedName name="_vtp8">[2]Insumos!$E$560</definedName>
    <definedName name="_vtr6">[2]Insumos!$E$558</definedName>
    <definedName name="_vtt10">[2]Insumos!$E$555</definedName>
    <definedName name="_vtt4">[2]Insumos!$E$553</definedName>
    <definedName name="_vtt6">[2]Insumos!$E$559</definedName>
    <definedName name="a" localSheetId="5">#REF!</definedName>
    <definedName name="a" localSheetId="2">#REF!</definedName>
    <definedName name="a" localSheetId="3">#REF!</definedName>
    <definedName name="a">#REF!</definedName>
    <definedName name="AA">#N/A</definedName>
    <definedName name="AAAA">#N/A</definedName>
    <definedName name="AAAAAA">#N/A</definedName>
    <definedName name="aagfp">[1]Insumos!$H$172</definedName>
    <definedName name="aar">[2]Insumos!$E$28</definedName>
    <definedName name="AB">#N/A</definedName>
    <definedName name="aba" localSheetId="5">[1]Insumos!$H$197</definedName>
    <definedName name="aba">[1]Insumos!$H$197</definedName>
    <definedName name="açc" localSheetId="5">[1]Insumos!$H$1472</definedName>
    <definedName name="açc">[1]Insumos!$H$1472</definedName>
    <definedName name="acc7_5_CI" localSheetId="5">[1]Insumos!$H$1420</definedName>
    <definedName name="acc7_5_CI">[1]Insumos!$H$1420</definedName>
    <definedName name="acc7_5_CP" localSheetId="5">[1]Insumos!$H$1419</definedName>
    <definedName name="acc7_5_CP">[1]Insumos!$H$1419</definedName>
    <definedName name="acca" localSheetId="5">[1]Insumos!$H$1432</definedName>
    <definedName name="acca">[1]Insumos!$H$1432</definedName>
    <definedName name="acdm" localSheetId="5">[1]Insumos!$H$1476</definedName>
    <definedName name="acdm">[1]Insumos!$H$1476</definedName>
    <definedName name="acgu3" localSheetId="5">[1]Insumos!$H$1418</definedName>
    <definedName name="acgu3">[1]Insumos!$H$1418</definedName>
    <definedName name="acl">[2]Insumos!$E$89</definedName>
    <definedName name="acm30_" localSheetId="5">[1]Insumos!$H$215</definedName>
    <definedName name="acm30_">[1]Insumos!$H$215</definedName>
    <definedName name="aço" localSheetId="5">#REF!</definedName>
    <definedName name="aço" localSheetId="2">#REF!</definedName>
    <definedName name="aço" localSheetId="3">#REF!</definedName>
    <definedName name="aço">#REF!</definedName>
    <definedName name="aço1" localSheetId="5">[1]Insumos!$H$95</definedName>
    <definedName name="aço1">[1]Insumos!$H$95</definedName>
    <definedName name="aço2" localSheetId="5">[1]Insumos!$H$87</definedName>
    <definedName name="aço2">[1]Insumos!$H$87</definedName>
    <definedName name="aço3" localSheetId="5">[1]Insumos!$H$91</definedName>
    <definedName name="aço3">[1]Insumos!$H$91</definedName>
    <definedName name="aço4" localSheetId="5">[1]Insumos!$H$94</definedName>
    <definedName name="aço4">[1]Insumos!$H$94</definedName>
    <definedName name="aço5" localSheetId="5">[1]Insumos!$H$86</definedName>
    <definedName name="aço5">[1]Insumos!$H$86</definedName>
    <definedName name="aço6" localSheetId="5">[1]Insumos!$H$89</definedName>
    <definedName name="aço6">[1]Insumos!$H$89</definedName>
    <definedName name="aço7" localSheetId="5">[1]Insumos!$H$90</definedName>
    <definedName name="aço7">[1]Insumos!$H$90</definedName>
    <definedName name="aço8" localSheetId="5">[1]Insumos!$H$88</definedName>
    <definedName name="aço8">[1]Insumos!$H$88</definedName>
    <definedName name="aço9" localSheetId="5">[1]Insumos!$H$93</definedName>
    <definedName name="aço9">[1]Insumos!$H$93</definedName>
    <definedName name="adm" localSheetId="5">[5]Insumos!$F$1373</definedName>
    <definedName name="adm">[5]Insumos!$F$1373</definedName>
    <definedName name="ads50_2_40s" localSheetId="5">[1]Insumos!$H$913</definedName>
    <definedName name="ads50_2_40s">[1]Insumos!$H$913</definedName>
    <definedName name="adtr1" localSheetId="5">[1]Insumos!$H$864</definedName>
    <definedName name="adtr1">[1]Insumos!$H$864</definedName>
    <definedName name="adtr1_2" localSheetId="5">[1]Insumos!$H$862</definedName>
    <definedName name="adtr1_2">[1]Insumos!$H$862</definedName>
    <definedName name="adtr11_2" localSheetId="5">[1]Insumos!$H$866</definedName>
    <definedName name="adtr11_2">[1]Insumos!$H$866</definedName>
    <definedName name="adtr11_4" localSheetId="5">[1]Insumos!$H$865</definedName>
    <definedName name="adtr11_4">[1]Insumos!$H$865</definedName>
    <definedName name="adtr2" localSheetId="5">[1]Insumos!$H$867</definedName>
    <definedName name="adtr2">[1]Insumos!$H$867</definedName>
    <definedName name="adtr3_4" localSheetId="5">[1]Insumos!$H$863</definedName>
    <definedName name="adtr3_4">[1]Insumos!$H$863</definedName>
    <definedName name="adu">[2]Insumos!$E$32</definedName>
    <definedName name="adu1_" localSheetId="5">[1]Insumos!$H$55</definedName>
    <definedName name="adu1_">[1]Insumos!$H$55</definedName>
    <definedName name="afg14_" localSheetId="5">[1]Insumos!$H$100</definedName>
    <definedName name="afg14_">[1]Insumos!$H$100</definedName>
    <definedName name="afi">[2]Insumos!$E$25</definedName>
    <definedName name="aftp">[2]Insumos!$E$130</definedName>
    <definedName name="aga10_" localSheetId="5">[1]Insumos!$H$97</definedName>
    <definedName name="aga10_">[1]Insumos!$H$97</definedName>
    <definedName name="aga12_" localSheetId="5">[1]Insumos!$H$98</definedName>
    <definedName name="aga12_">[1]Insumos!$H$98</definedName>
    <definedName name="aga14_" localSheetId="5">[1]Insumos!$H$99</definedName>
    <definedName name="aga14_">[1]Insumos!$H$99</definedName>
    <definedName name="agi" localSheetId="5">[1]Insumos!$H$1071</definedName>
    <definedName name="agi">[1]Insumos!$H$1071</definedName>
    <definedName name="agp" localSheetId="5">[1]Insumos!$H$1070</definedName>
    <definedName name="agp">[1]Insumos!$H$1070</definedName>
    <definedName name="agr">[2]Insumos!$E$23</definedName>
    <definedName name="aj" localSheetId="5">#REF!</definedName>
    <definedName name="aj" localSheetId="2">#REF!</definedName>
    <definedName name="aj" localSheetId="3">#REF!</definedName>
    <definedName name="aj">#REF!</definedName>
    <definedName name="aje" localSheetId="5">[1]Insumos!$H$33</definedName>
    <definedName name="aje">[1]Insumos!$H$33</definedName>
    <definedName name="AJU" localSheetId="5">#REF!</definedName>
    <definedName name="AJU" localSheetId="2">#REF!</definedName>
    <definedName name="AJU" localSheetId="3">#REF!</definedName>
    <definedName name="AJU">#REF!</definedName>
    <definedName name="ali1_" localSheetId="5">[1]Insumos!$H$309</definedName>
    <definedName name="ali1_">[1]Insumos!$H$309</definedName>
    <definedName name="ali1_1" localSheetId="5">[1]Insumos!$H$301</definedName>
    <definedName name="ali1_1">[1]Insumos!$H$301</definedName>
    <definedName name="ali2_" localSheetId="5">[1]Insumos!$H$310</definedName>
    <definedName name="ali2_">[1]Insumos!$H$310</definedName>
    <definedName name="ali2_1" localSheetId="5">[1]Insumos!$H$302</definedName>
    <definedName name="ali2_1">[1]Insumos!$H$302</definedName>
    <definedName name="ali3_" localSheetId="5">[1]Insumos!$H$311</definedName>
    <definedName name="ali3_">[1]Insumos!$H$311</definedName>
    <definedName name="ali3_1" localSheetId="5">[1]Insumos!$H$303</definedName>
    <definedName name="ali3_1">[1]Insumos!$H$303</definedName>
    <definedName name="ali4_" localSheetId="5">[1]Insumos!$H$312</definedName>
    <definedName name="ali4_">[1]Insumos!$H$312</definedName>
    <definedName name="ali4_1" localSheetId="5">[1]Insumos!$H$304</definedName>
    <definedName name="ali4_1">[1]Insumos!$H$304</definedName>
    <definedName name="ali5_" localSheetId="5">[1]Insumos!$H$314</definedName>
    <definedName name="ali5_">[1]Insumos!$H$314</definedName>
    <definedName name="ali5_1" localSheetId="5">[1]Insumos!$H$306</definedName>
    <definedName name="ali5_1">[1]Insumos!$H$306</definedName>
    <definedName name="ali6_" localSheetId="5">[1]Insumos!$H$315</definedName>
    <definedName name="ali6_">[1]Insumos!$H$315</definedName>
    <definedName name="ali6_1" localSheetId="5">[1]Insumos!$H$307</definedName>
    <definedName name="ali6_1">[1]Insumos!$H$307</definedName>
    <definedName name="ali7_" localSheetId="5">[1]Insumos!$H$316</definedName>
    <definedName name="ali7_">[1]Insumos!$H$316</definedName>
    <definedName name="ali7_1" localSheetId="5">[1]Insumos!$H$308</definedName>
    <definedName name="ali7_1">[1]Insumos!$H$308</definedName>
    <definedName name="ali8_" localSheetId="5">[1]Insumos!$H$313</definedName>
    <definedName name="ali8_">[1]Insumos!$H$313</definedName>
    <definedName name="ali8_1" localSheetId="5">[1]Insumos!$H$305</definedName>
    <definedName name="ali8_1">[1]Insumos!$H$305</definedName>
    <definedName name="altura_baldrame" localSheetId="5">#REF!</definedName>
    <definedName name="altura_baldrame" localSheetId="2">#REF!</definedName>
    <definedName name="altura_baldrame" localSheetId="3">#REF!</definedName>
    <definedName name="altura_baldrame" localSheetId="1">#REF!</definedName>
    <definedName name="altura_baldrame">#REF!</definedName>
    <definedName name="altura_da_base" localSheetId="5">#REF!</definedName>
    <definedName name="altura_da_base" localSheetId="2">#REF!</definedName>
    <definedName name="altura_da_base" localSheetId="3">#REF!</definedName>
    <definedName name="altura_da_base" localSheetId="1">#REF!</definedName>
    <definedName name="altura_da_base">#REF!</definedName>
    <definedName name="altura_da_cinta" localSheetId="5">#REF!</definedName>
    <definedName name="altura_da_cinta" localSheetId="2">#REF!</definedName>
    <definedName name="altura_da_cinta" localSheetId="3">#REF!</definedName>
    <definedName name="altura_da_cinta" localSheetId="1">#REF!</definedName>
    <definedName name="altura_da_cinta">#REF!</definedName>
    <definedName name="altura_da_vala" localSheetId="5">#REF!</definedName>
    <definedName name="altura_da_vala" localSheetId="2">#REF!</definedName>
    <definedName name="altura_da_vala" localSheetId="3">#REF!</definedName>
    <definedName name="altura_da_vala" localSheetId="1">#REF!</definedName>
    <definedName name="altura_da_vala">#REF!</definedName>
    <definedName name="ALTURA_PILAR" localSheetId="5">#REF!</definedName>
    <definedName name="ALTURA_PILAR" localSheetId="2">#REF!</definedName>
    <definedName name="ALTURA_PILAR" localSheetId="3">#REF!</definedName>
    <definedName name="ALTURA_PILAR" localSheetId="1">#REF!</definedName>
    <definedName name="ALTURA_PILAR">#REF!</definedName>
    <definedName name="alvc1">[2]Insumos!$E$714</definedName>
    <definedName name="alvc2">[2]Insumos!$E$716</definedName>
    <definedName name="alvc3" localSheetId="5">[1]Insumos!$H$1456</definedName>
    <definedName name="alvc3">[1]Insumos!$H$1456</definedName>
    <definedName name="ALVENARIA" localSheetId="5">#REF!</definedName>
    <definedName name="ALVENARIA" localSheetId="2">#REF!</definedName>
    <definedName name="ALVENARIA" localSheetId="3">#REF!</definedName>
    <definedName name="ALVENARIA" localSheetId="1">#REF!</definedName>
    <definedName name="ALVENARIA">#REF!</definedName>
    <definedName name="amc1_" localSheetId="5">[1]Insumos!$H$252</definedName>
    <definedName name="amc1_">[1]Insumos!$H$252</definedName>
    <definedName name="amd">[2]Insumos!$E$24</definedName>
    <definedName name="amf1_" localSheetId="5">[1]Insumos!$H$250</definedName>
    <definedName name="amf1_">[1]Insumos!$H$250</definedName>
    <definedName name="amf2_" localSheetId="5">[1]Insumos!$H$251</definedName>
    <definedName name="amf2_">[1]Insumos!$H$251</definedName>
    <definedName name="amm">[2]Insumos!$E$280</definedName>
    <definedName name="amt">[2]Insumos!$E$279</definedName>
    <definedName name="anb">[2]Insumos!$E$99</definedName>
    <definedName name="anel100" localSheetId="5">[1]Insumos!$H$1122</definedName>
    <definedName name="anel100">[1]Insumos!$H$1122</definedName>
    <definedName name="apv">[2]Insumos!$E$482</definedName>
    <definedName name="arame">[6]INSUMOS!$C$18</definedName>
    <definedName name="arap">[2]Insumos!$E$303</definedName>
    <definedName name="are">[2]Insumos!$E$54</definedName>
    <definedName name="ÁREA">[2]Insumos!$C$8</definedName>
    <definedName name="_xlnm.Print_Area" localSheetId="5">BDI!$B$4:$I$63</definedName>
    <definedName name="_xlnm.Print_Area" localSheetId="2">'COMP MEDIDOS'!$A$1:$I$237</definedName>
    <definedName name="_xlnm.Print_Area" localSheetId="3">'COMPOSIÇÃO AB'!$A$1:$I$863</definedName>
    <definedName name="_xlnm.Print_Area" localSheetId="7">'COMPOSIÇÃO DE CUSTOS'!$A$1:$G$2584</definedName>
    <definedName name="_xlnm.Print_Area" localSheetId="4">CRONOGRAMA!$A$12:$P$63</definedName>
    <definedName name="_xlnm.Print_Area" localSheetId="0">'PLANILHA ORÇA - CORREGEDORIA'!$A$1:$BF$1152</definedName>
    <definedName name="_xlnm.Print_Area" localSheetId="1">'PLANILHA ORÇA - EJUD'!$A$1:$AK$959</definedName>
    <definedName name="AREA_TOTAL" localSheetId="5">#REF!</definedName>
    <definedName name="AREA_TOTAL" localSheetId="2">#REF!</definedName>
    <definedName name="AREA_TOTAL" localSheetId="3">#REF!</definedName>
    <definedName name="AREA_TOTAL">#REF!</definedName>
    <definedName name="arfi">[4]Insumos!$C$32</definedName>
    <definedName name="arfi_1">NA()</definedName>
    <definedName name="arfi_5">NA()</definedName>
    <definedName name="arfi_6">NA()</definedName>
    <definedName name="arg1.3\1">[2]Insumos!$E$633</definedName>
    <definedName name="arg1_3_1_1" localSheetId="5">[1]Insumos!$H$1355</definedName>
    <definedName name="arg1_3_1_1">[1]Insumos!$H$1355</definedName>
    <definedName name="argr">[4]Insumos!$C$31</definedName>
    <definedName name="argr_1">NA()</definedName>
    <definedName name="argr_5">NA()</definedName>
    <definedName name="argr_6">NA()</definedName>
    <definedName name="arm" localSheetId="5">[7]FUNDAÇÕES!#REF!</definedName>
    <definedName name="arm" localSheetId="2">[7]FUNDAÇÕES!#REF!</definedName>
    <definedName name="arm" localSheetId="3">[7]FUNDAÇÕES!#REF!</definedName>
    <definedName name="arm" localSheetId="1">[7]FUNDAÇÕES!#REF!</definedName>
    <definedName name="arm">[7]FUNDAÇÕES!#REF!</definedName>
    <definedName name="arma" localSheetId="5">#REF!</definedName>
    <definedName name="arma" localSheetId="2">#REF!</definedName>
    <definedName name="arma" localSheetId="3">#REF!</definedName>
    <definedName name="arma" localSheetId="1">#REF!</definedName>
    <definedName name="arma">#REF!</definedName>
    <definedName name="aro" localSheetId="5">[1]Insumos!$H$1264</definedName>
    <definedName name="aro">[1]Insumos!$H$1264</definedName>
    <definedName name="arz" localSheetId="5">[1]Insumos!$H$1465</definedName>
    <definedName name="arz">[1]Insumos!$H$1465</definedName>
    <definedName name="ASDFASD">#N/A</definedName>
    <definedName name="asfel" localSheetId="5">[1]Insumos!$H$1200</definedName>
    <definedName name="asfel">[1]Insumos!$H$1200</definedName>
    <definedName name="asp11pu" localSheetId="5">[1]Insumos!$H$917</definedName>
    <definedName name="asp11pu">[1]Insumos!$H$917</definedName>
    <definedName name="ATERRO_TOTAL" localSheetId="5">#REF!</definedName>
    <definedName name="ATERRO_TOTAL" localSheetId="2">#REF!</definedName>
    <definedName name="ATERRO_TOTAL" localSheetId="3">#REF!</definedName>
    <definedName name="ATERRO_TOTAL" localSheetId="1">#REF!</definedName>
    <definedName name="ATERRO_TOTAL">#REF!</definedName>
    <definedName name="atop" localSheetId="5">[1]Insumos!$H$19</definedName>
    <definedName name="atop">[1]Insumos!$H$19</definedName>
    <definedName name="b" localSheetId="5">#REF!</definedName>
    <definedName name="b" localSheetId="2">#REF!</definedName>
    <definedName name="b" localSheetId="3">#REF!</definedName>
    <definedName name="b" localSheetId="1">#REF!</definedName>
    <definedName name="b">#REF!</definedName>
    <definedName name="B320I">[2]Equipamentos!$P$40</definedName>
    <definedName name="B320P">[2]Equipamentos!$N$40</definedName>
    <definedName name="B500I">[2]Equipamentos!$P$36</definedName>
    <definedName name="B500P">[2]Equipamentos!$N$36</definedName>
    <definedName name="band02" localSheetId="5">[1]Insumos!$H$1283</definedName>
    <definedName name="band02">[1]Insumos!$H$1283</definedName>
    <definedName name="band03" localSheetId="5">[1]Insumos!$H$1284</definedName>
    <definedName name="band03">[1]Insumos!$H$1284</definedName>
    <definedName name="band04" localSheetId="5">[1]Insumos!$H$1285</definedName>
    <definedName name="band04">[1]Insumos!$H$1285</definedName>
    <definedName name="bar11_2_90" localSheetId="5">[1]Insumos!$H$130</definedName>
    <definedName name="bar11_2_90">[1]Insumos!$H$130</definedName>
    <definedName name="bar11_4_90" localSheetId="5">[1]Insumos!$H$129</definedName>
    <definedName name="bar11_4_90">[1]Insumos!$H$129</definedName>
    <definedName name="base5" localSheetId="5">[1]Insumos!$H$776</definedName>
    <definedName name="base5">[1]Insumos!$H$776</definedName>
    <definedName name="base6" localSheetId="5">[1]Insumos!$H$777</definedName>
    <definedName name="base6">[1]Insumos!$H$777</definedName>
    <definedName name="base7" localSheetId="5">[1]Insumos!$H$778</definedName>
    <definedName name="base7">[1]Insumos!$H$778</definedName>
    <definedName name="BB">#N/A</definedName>
    <definedName name="bçd88" localSheetId="5">[1]Insumos!$H$1010</definedName>
    <definedName name="bçd88">[1]Insumos!$H$1010</definedName>
    <definedName name="bcf">[2]Insumos!$E$184</definedName>
    <definedName name="bcf100x30">[2]Insumos!$E$189</definedName>
    <definedName name="bcf100x50">[2]Insumos!$E$188</definedName>
    <definedName name="bcf120X60">[2]Insumos!$E$186</definedName>
    <definedName name="bcf130x60" localSheetId="5">[1]Insumos!$H$415</definedName>
    <definedName name="bcf130x60">[1]Insumos!$H$415</definedName>
    <definedName name="bcf135X40" localSheetId="5">[1]Insumos!$H$409</definedName>
    <definedName name="bcf135X40">[1]Insumos!$H$409</definedName>
    <definedName name="bcf150x50">[2]Insumos!$E$187</definedName>
    <definedName name="bcf150x60" localSheetId="5">[1]Insumos!$H$416</definedName>
    <definedName name="bcf150x60">[1]Insumos!$H$416</definedName>
    <definedName name="bcf200x60">[2]Insumos!$E$187</definedName>
    <definedName name="bcf50X50" localSheetId="5">[1]Insumos!$H$406</definedName>
    <definedName name="bcf50X50">[1]Insumos!$H$406</definedName>
    <definedName name="bcf60x50">[2]Insumos!$E$190</definedName>
    <definedName name="bcf60X60">[2]Insumos!$E$185</definedName>
    <definedName name="bcfr1x1_4" localSheetId="5">[1]Insumos!$H$136</definedName>
    <definedName name="bcfr1x1_4">[1]Insumos!$H$136</definedName>
    <definedName name="bcp">[2]Insumos!$E$284</definedName>
    <definedName name="bcsd" localSheetId="5">[1]Insumos!$H$757</definedName>
    <definedName name="bcsd">[1]Insumos!$H$757</definedName>
    <definedName name="bdi">'[8]Insumos (não imprimir)'!$C$3</definedName>
    <definedName name="bdi_1">NA()</definedName>
    <definedName name="bdi_11">"'file:///A:/Dudu-corre%C3%A7%C3%A3o.XLS'#$'Insumos (não imprimir)'.$C$3"</definedName>
    <definedName name="bdi_5">NA()</definedName>
    <definedName name="bdi_6">NA()</definedName>
    <definedName name="bdi_7">"'file:///A:/Dudu-corre%C3%A7%C3%A3o.XLS'#$'Insumos (não imprimir)'.$C$3"</definedName>
    <definedName name="bdi_8">"'file:///A:/Dudu-corre%C3%A7%C3%A3o.XLS'#$'Insumos (não imprimir)'.$C$3"</definedName>
    <definedName name="bdi_9">"'file:///A:/Dudu-corre%C3%A7%C3%A3o.XLS'#$'Insumos (não imprimir)'.$C$3"</definedName>
    <definedName name="bee3b" localSheetId="5">[1]Insumos!$H$754</definedName>
    <definedName name="bee3b">[1]Insumos!$H$754</definedName>
    <definedName name="bfd">[2]Insumos!$E$246</definedName>
    <definedName name="bfq" localSheetId="5">[1]Insumos!$H$427</definedName>
    <definedName name="bfq">[1]Insumos!$H$427</definedName>
    <definedName name="bfq100x50" localSheetId="5">[1]Insumos!$H$434</definedName>
    <definedName name="bfq100x50">[1]Insumos!$H$434</definedName>
    <definedName name="bfq100x60" localSheetId="5">[1]Insumos!$H$433</definedName>
    <definedName name="bfq100x60">[1]Insumos!$H$433</definedName>
    <definedName name="bfq150x50" localSheetId="5">[1]Insumos!$H$432</definedName>
    <definedName name="bfq150x50">[1]Insumos!$H$432</definedName>
    <definedName name="bfq180x60" localSheetId="5">[1]Insumos!$H$431</definedName>
    <definedName name="bfq180x60">[1]Insumos!$H$431</definedName>
    <definedName name="bfq200x50" localSheetId="5">[1]Insumos!$H$430</definedName>
    <definedName name="bfq200x50">[1]Insumos!$H$430</definedName>
    <definedName name="bfq250x50" localSheetId="5">[1]Insumos!$H$429</definedName>
    <definedName name="bfq250x50">[1]Insumos!$H$429</definedName>
    <definedName name="bfq300x50" localSheetId="5">[1]Insumos!$H$428</definedName>
    <definedName name="bfq300x50">[1]Insumos!$H$428</definedName>
    <definedName name="bfq30x50" localSheetId="5">[1]Insumos!$H$438</definedName>
    <definedName name="bfq30x50">[1]Insumos!$H$438</definedName>
    <definedName name="bfq50x50" localSheetId="5">[1]Insumos!$H$437</definedName>
    <definedName name="bfq50x50">[1]Insumos!$H$437</definedName>
    <definedName name="bfq60x30" localSheetId="5">[1]Insumos!$H$439</definedName>
    <definedName name="bfq60x30">[1]Insumos!$H$439</definedName>
    <definedName name="bfq80x50" localSheetId="5">[1]Insumos!$H$436</definedName>
    <definedName name="bfq80x50">[1]Insumos!$H$436</definedName>
    <definedName name="bfq80x60" localSheetId="5">[1]Insumos!$H$435</definedName>
    <definedName name="bfq80x60">[1]Insumos!$H$435</definedName>
    <definedName name="bgr">[2]Insumos!$E$261</definedName>
    <definedName name="bgrn">[2]Insumos!$E$264</definedName>
    <definedName name="bldv">[4]Insumos!$C$145</definedName>
    <definedName name="bldv_1">NA()</definedName>
    <definedName name="bldv_5">NA()</definedName>
    <definedName name="bldv_6">NA()</definedName>
    <definedName name="blq6_20" localSheetId="5">[3]Insumos!$F$1134</definedName>
    <definedName name="blq6_20">[3]Insumos!$F$1134</definedName>
    <definedName name="bmt25x25" localSheetId="5">[1]Insumos!$H$133</definedName>
    <definedName name="bmt25x25">[1]Insumos!$H$133</definedName>
    <definedName name="bmt30x50">[2]Insumos!$E$62</definedName>
    <definedName name="bnb">[2]Insumos!$E$538</definedName>
    <definedName name="bop1\2">[2]Insumos!$E$439</definedName>
    <definedName name="bop1_2_1_1" localSheetId="5">[1]Insumos!$H$889</definedName>
    <definedName name="bop1_2_1_1">[1]Insumos!$H$889</definedName>
    <definedName name="BPF">[2]Equipamentos!$A$14</definedName>
    <definedName name="bra25_20" localSheetId="5">[1]Insumos!$H$810</definedName>
    <definedName name="bra25_20">[1]Insumos!$H$810</definedName>
    <definedName name="bra32_20" localSheetId="5">[1]Insumos!$H$811</definedName>
    <definedName name="bra32_20">[1]Insumos!$H$811</definedName>
    <definedName name="bra32_25" localSheetId="5">[1]Insumos!$H$812</definedName>
    <definedName name="bra32_25">[1]Insumos!$H$812</definedName>
    <definedName name="bra40_20" localSheetId="5">[1]Insumos!$H$813</definedName>
    <definedName name="bra40_20">[1]Insumos!$H$813</definedName>
    <definedName name="bra40_25" localSheetId="5">[1]Insumos!$H$814</definedName>
    <definedName name="bra40_25">[1]Insumos!$H$814</definedName>
    <definedName name="bra40_32" localSheetId="5">[1]Insumos!$H$815</definedName>
    <definedName name="bra40_32">[1]Insumos!$H$815</definedName>
    <definedName name="bra50_20" localSheetId="5">[1]Insumos!$H$816</definedName>
    <definedName name="bra50_20">[1]Insumos!$H$816</definedName>
    <definedName name="bra50_25" localSheetId="5">[1]Insumos!$H$817</definedName>
    <definedName name="bra50_25">[1]Insumos!$H$817</definedName>
    <definedName name="bra50_32" localSheetId="5">[1]Insumos!$H$818</definedName>
    <definedName name="bra50_32">[1]Insumos!$H$818</definedName>
    <definedName name="bra50_40" localSheetId="5">[1]Insumos!$H$819</definedName>
    <definedName name="bra50_40">[1]Insumos!$H$819</definedName>
    <definedName name="bri75x50_40s" localSheetId="5">[1]Insumos!$H$912</definedName>
    <definedName name="bri75x50_40s">[1]Insumos!$H$912</definedName>
    <definedName name="brm">[2]Insumos!$E$66</definedName>
    <definedName name="brmm50" localSheetId="5">[1]Insumos!$H$140</definedName>
    <definedName name="brmm50">[1]Insumos!$H$140</definedName>
    <definedName name="brt">[4]Insumos!$C$34</definedName>
    <definedName name="brt_1">NA()</definedName>
    <definedName name="brt_5">NA()</definedName>
    <definedName name="brt_6">NA()</definedName>
    <definedName name="btd320s" localSheetId="5">[3]Insumos!$F$1404</definedName>
    <definedName name="btd320s">[3]Insumos!$F$1404</definedName>
    <definedName name="btd400i" localSheetId="5">[1]Insumos!$H$1424</definedName>
    <definedName name="btd400i">[1]Insumos!$H$1424</definedName>
    <definedName name="btd400p" localSheetId="5">[1]Insumos!$H$1423</definedName>
    <definedName name="btd400p">[1]Insumos!$H$1423</definedName>
    <definedName name="bte320_1" localSheetId="5">[3]Insumos!$F$1406</definedName>
    <definedName name="bte320_1">[3]Insumos!$F$1406</definedName>
    <definedName name="bte320g" localSheetId="5">[3]Insumos!$F$1408</definedName>
    <definedName name="bte320g">[3]Insumos!$F$1408</definedName>
    <definedName name="bte320g_i" localSheetId="5">[3]Insumos!$F$1409</definedName>
    <definedName name="bte320g_i">[3]Insumos!$F$1409</definedName>
    <definedName name="bte320o" localSheetId="5">[3]Insumos!$F$1405</definedName>
    <definedName name="bte320o">[3]Insumos!$F$1405</definedName>
    <definedName name="bte400i" localSheetId="5">[1]Insumos!$H$1426</definedName>
    <definedName name="bte400i">[1]Insumos!$H$1426</definedName>
    <definedName name="bte400p" localSheetId="5">[1]Insumos!$H$1425</definedName>
    <definedName name="bte400p">[1]Insumos!$H$1425</definedName>
    <definedName name="btg400i" localSheetId="5">[1]Insumos!$H$1428</definedName>
    <definedName name="btg400i">[1]Insumos!$H$1428</definedName>
    <definedName name="btg400p" localSheetId="5">[1]Insumos!$H$1427</definedName>
    <definedName name="btg400p">[1]Insumos!$H$1427</definedName>
    <definedName name="bvff">[2]Insumos!$E$191</definedName>
    <definedName name="bvff100x50">[2]Insumos!$E$194</definedName>
    <definedName name="bvff120x60" localSheetId="5">[1]Insumos!$H$423</definedName>
    <definedName name="bvff120x60">[1]Insumos!$H$423</definedName>
    <definedName name="bvff150x100">[2]Insumos!$E$193</definedName>
    <definedName name="bvff150x110">[2]Insumos!$E$198</definedName>
    <definedName name="bvff150x50" localSheetId="5">[1]Insumos!$H$418</definedName>
    <definedName name="bvff150x50">[1]Insumos!$H$418</definedName>
    <definedName name="bvff170x55">[2]Insumos!$E$199</definedName>
    <definedName name="bvff210x55">[2]Insumos!$E$197</definedName>
    <definedName name="bvff60x60" localSheetId="5">[1]Insumos!$H$421</definedName>
    <definedName name="bvff60x60">[1]Insumos!$H$421</definedName>
    <definedName name="bvff80x50">[2]Insumos!$E$196</definedName>
    <definedName name="CA15I">[2]Equipamentos!$P$27</definedName>
    <definedName name="CA15P">[2]Equipamentos!$N$27</definedName>
    <definedName name="CA25I">[2]Equipamentos!$P$26</definedName>
    <definedName name="CA25P">[2]Equipamentos!$N$26</definedName>
    <definedName name="cacb18" localSheetId="5">[3]Insumos!$F$153</definedName>
    <definedName name="cacb18">[3]Insumos!$F$153</definedName>
    <definedName name="cadm">[2]Insumos!$E$72</definedName>
    <definedName name="cadr250" localSheetId="5">[1]Insumos!$H$1415</definedName>
    <definedName name="cadr250">[1]Insumos!$H$1415</definedName>
    <definedName name="caei3_4" localSheetId="5">[1]Insumos!$H$169</definedName>
    <definedName name="caei3_4">[1]Insumos!$H$169</definedName>
    <definedName name="caei3_8" localSheetId="5">[1]Insumos!$H$170</definedName>
    <definedName name="caei3_8">[1]Insumos!$H$170</definedName>
    <definedName name="caf" localSheetId="5">[1]Insumos!$H$1467</definedName>
    <definedName name="caf">[1]Insumos!$H$1467</definedName>
    <definedName name="caf1_8" localSheetId="5">[1]Insumos!$H$150</definedName>
    <definedName name="caf1_8">[1]Insumos!$H$150</definedName>
    <definedName name="caf3_16" localSheetId="5">[1]Insumos!$H$149</definedName>
    <definedName name="caf3_16">[1]Insumos!$H$149</definedName>
    <definedName name="cag1_4" localSheetId="5">[1]Insumos!$H$148</definedName>
    <definedName name="cag1_4">[1]Insumos!$H$148</definedName>
    <definedName name="cag20x10">[2]Insumos!$E$464</definedName>
    <definedName name="cag20x15" localSheetId="5">[1]Insumos!$H$979</definedName>
    <definedName name="cag20x15">[1]Insumos!$H$979</definedName>
    <definedName name="cag25x15" localSheetId="5">[1]Insumos!$H$980</definedName>
    <definedName name="cag25x15">[1]Insumos!$H$980</definedName>
    <definedName name="cag3_8" localSheetId="5">[1]Insumos!$H$147</definedName>
    <definedName name="cag3_8">[1]Insumos!$H$147</definedName>
    <definedName name="cag40x20" localSheetId="5">[1]Insumos!$H$981</definedName>
    <definedName name="cag40x20">[1]Insumos!$H$981</definedName>
    <definedName name="cag6x15" localSheetId="5">[1]Insumos!$H$977</definedName>
    <definedName name="cag6x15">[1]Insumos!$H$977</definedName>
    <definedName name="cagf50x270" localSheetId="5">[1]Insumos!$H$171</definedName>
    <definedName name="cagf50x270">[1]Insumos!$H$171</definedName>
    <definedName name="cal">[2]Insumos!$E$22</definedName>
    <definedName name="calc" localSheetId="5">[1]Insumos!$H$28</definedName>
    <definedName name="calc">[1]Insumos!$H$28</definedName>
    <definedName name="capl400" localSheetId="5">[1]Insumos!$H$769</definedName>
    <definedName name="capl400">[1]Insumos!$H$769</definedName>
    <definedName name="car">[2]Insumos!$E$624</definedName>
    <definedName name="card250" localSheetId="5">[1]Insumos!$H$1437</definedName>
    <definedName name="card250">[1]Insumos!$H$1437</definedName>
    <definedName name="carmir" localSheetId="5">[1]Insumos!$H$1290</definedName>
    <definedName name="carmir">[1]Insumos!$H$1290</definedName>
    <definedName name="CARP" localSheetId="5">#REF!</definedName>
    <definedName name="CARP" localSheetId="2">#REF!</definedName>
    <definedName name="CARP" localSheetId="3">#REF!</definedName>
    <definedName name="CARP" localSheetId="1">#REF!</definedName>
    <definedName name="CARP">#REF!</definedName>
    <definedName name="CARP_8" localSheetId="5">#REF!</definedName>
    <definedName name="CARP_8" localSheetId="2">#REF!</definedName>
    <definedName name="CARP_8" localSheetId="3">#REF!</definedName>
    <definedName name="CARP_8" localSheetId="1">#REF!</definedName>
    <definedName name="CARP_8">#REF!</definedName>
    <definedName name="cas50_70" localSheetId="5">[1]Insumos!$H$217</definedName>
    <definedName name="cas50_70">[1]Insumos!$H$217</definedName>
    <definedName name="casinha" localSheetId="5">[1]Insumos!$H$1286</definedName>
    <definedName name="casinha">[1]Insumos!$H$1286</definedName>
    <definedName name="cav" localSheetId="5">[1]Insumos!$H$361</definedName>
    <definedName name="cav">[1]Insumos!$H$361</definedName>
    <definedName name="caval">[4]Insumos!$C$144</definedName>
    <definedName name="caval_1">NA()</definedName>
    <definedName name="caval_5">NA()</definedName>
    <definedName name="caval_6">NA()</definedName>
    <definedName name="CB10I">[2]Equipamentos!$P$33</definedName>
    <definedName name="CB10P">[2]Equipamentos!$N$33</definedName>
    <definedName name="CB4I">[2]Equipamentos!$P$35</definedName>
    <definedName name="CB4P">[2]Equipamentos!$N$35</definedName>
    <definedName name="CB6.5I">[2]Equipamentos!$P$37</definedName>
    <definedName name="CB6.5P">[2]Equipamentos!$N$37</definedName>
    <definedName name="CB6I">[2]Equipamentos!$P$34</definedName>
    <definedName name="CB6P">[2]Equipamentos!$N$34</definedName>
    <definedName name="cbca1">[2]Insumos!$E$367</definedName>
    <definedName name="cbp" localSheetId="5">[1]Insumos!$H$1079</definedName>
    <definedName name="cbp">[1]Insumos!$H$1079</definedName>
    <definedName name="cbs3m" localSheetId="5">[1]Insumos!$H$900</definedName>
    <definedName name="cbs3m">[1]Insumos!$H$900</definedName>
    <definedName name="cbs3t" localSheetId="5">[1]Insumos!$H$899</definedName>
    <definedName name="cbs3t">[1]Insumos!$H$899</definedName>
    <definedName name="cce50_10" localSheetId="5">[1]Insumos!$H$671</definedName>
    <definedName name="cce50_10">[1]Insumos!$H$671</definedName>
    <definedName name="cce50_20" localSheetId="5">[1]Insumos!$H$672</definedName>
    <definedName name="cce50_20">[1]Insumos!$H$672</definedName>
    <definedName name="ccp">[2]Insumos!$E$140</definedName>
    <definedName name="cda">[2]Insumos!$E$100</definedName>
    <definedName name="cdac">[2]Insumos!$E$485</definedName>
    <definedName name="cde">[2]Insumos!$E$484</definedName>
    <definedName name="cdm">[2]Insumos!$E$619</definedName>
    <definedName name="cdr">[2]Insumos!$E$615</definedName>
    <definedName name="cds">[2]Insumos!$E$483</definedName>
    <definedName name="ceat" localSheetId="5">[1]Insumos!$H$1409</definedName>
    <definedName name="ceat">[1]Insumos!$H$1409</definedName>
    <definedName name="cee" localSheetId="5">[1]Insumos!$H$177</definedName>
    <definedName name="cee">[1]Insumos!$H$177</definedName>
    <definedName name="cee10x10">[2]Insumos!$E$76</definedName>
    <definedName name="cee10x10\1">[2]Insumos!$E$75</definedName>
    <definedName name="cee10x10_1_1" localSheetId="5">[1]Insumos!$H$178</definedName>
    <definedName name="cee10x10_1_1">[1]Insumos!$H$178</definedName>
    <definedName name="cee10x10_4_1" localSheetId="5">[1]Insumos!$H$179</definedName>
    <definedName name="cee10x10_4_1">[1]Insumos!$H$179</definedName>
    <definedName name="cee20x20">[2]Insumos!$E$79</definedName>
    <definedName name="cee20x20\1">[2]Insumos!$E$77</definedName>
    <definedName name="cee20x20\4">[2]Insumos!$E$78</definedName>
    <definedName name="cee20x20_1_1" localSheetId="5">[1]Insumos!$H$181</definedName>
    <definedName name="cee20x20_1_1">[1]Insumos!$H$181</definedName>
    <definedName name="cee20x20_4_1" localSheetId="5">[1]Insumos!$H$182</definedName>
    <definedName name="cee20x20_4_1">[1]Insumos!$H$182</definedName>
    <definedName name="cee20x20_4_1_1" localSheetId="5">[1]Insumos!$H$182</definedName>
    <definedName name="cee20x20_4_1_1">[1]Insumos!$H$182</definedName>
    <definedName name="cee30x30">[2]Insumos!$E$82</definedName>
    <definedName name="cee30x30\1">[2]Insumos!$E$80</definedName>
    <definedName name="cee30x30\4">[2]Insumos!$E$81</definedName>
    <definedName name="cee30x30_1_1" localSheetId="5">[1]Insumos!$H$184</definedName>
    <definedName name="cee30x30_1_1">[1]Insumos!$H$184</definedName>
    <definedName name="cee30x30_4_1" localSheetId="5">[1]Insumos!$H$185</definedName>
    <definedName name="cee30x30_4_1">[1]Insumos!$H$185</definedName>
    <definedName name="cee30x30_4_1_1" localSheetId="5">[1]Insumos!$H$185</definedName>
    <definedName name="cee30x30_4_1_1">[1]Insumos!$H$185</definedName>
    <definedName name="cee30x30a" localSheetId="5">[1]Insumos!$H$187</definedName>
    <definedName name="cee30x30a">[1]Insumos!$H$187</definedName>
    <definedName name="cem">[2]Insumos!$E$201</definedName>
    <definedName name="cer1\2">[2]Insumos!$E$355</definedName>
    <definedName name="cer1_2_1_1" localSheetId="5">[1]Insumos!$H$706</definedName>
    <definedName name="cer1_2_1_1">[1]Insumos!$H$706</definedName>
    <definedName name="cer11_2_1_1" localSheetId="5">[1]Insumos!$H$710</definedName>
    <definedName name="cer11_2_1_1">[1]Insumos!$H$710</definedName>
    <definedName name="cer11_4_1_1" localSheetId="5">[1]Insumos!$H$709</definedName>
    <definedName name="cer11_4_1_1">[1]Insumos!$H$709</definedName>
    <definedName name="cer3\4">[2]Insumos!$E$356</definedName>
    <definedName name="cer3_4_1_1" localSheetId="5">[1]Insumos!$H$707</definedName>
    <definedName name="cer3_4_1_1">[1]Insumos!$H$707</definedName>
    <definedName name="cerp2x20">[2]Insumos!$E$299</definedName>
    <definedName name="cerp2x40">[2]Insumos!$E$298</definedName>
    <definedName name="cfg50mf" localSheetId="5">[1]Insumos!$H$124</definedName>
    <definedName name="cfg50mf">[1]Insumos!$H$124</definedName>
    <definedName name="cfgai1" localSheetId="5">[1]Insumos!$H$166</definedName>
    <definedName name="cfgai1">[1]Insumos!$H$166</definedName>
    <definedName name="cfgai11_4" localSheetId="5">[1]Insumos!$H$165</definedName>
    <definedName name="cfgai11_4">[1]Insumos!$H$165</definedName>
    <definedName name="cfgai3_4" localSheetId="5">[1]Insumos!$H$167</definedName>
    <definedName name="cfgai3_4">[1]Insumos!$H$167</definedName>
    <definedName name="cfgai3_8" localSheetId="5">[1]Insumos!$H$168</definedName>
    <definedName name="cfgai3_8">[1]Insumos!$H$168</definedName>
    <definedName name="cfl2x20">[2]Insumos!$E$297</definedName>
    <definedName name="cfl2x40">[2]Insumos!$E$295</definedName>
    <definedName name="cfm" localSheetId="5">[1]Insumos!$H$1462</definedName>
    <definedName name="cfm">[1]Insumos!$H$1462</definedName>
    <definedName name="cftp">[2]Insumos!$E$131</definedName>
    <definedName name="cha">[2]Insumos!$E$161</definedName>
    <definedName name="chac5_8_1" localSheetId="5">[1]Insumos!$H$726</definedName>
    <definedName name="chac5_8_1">[1]Insumos!$H$726</definedName>
    <definedName name="chap14x10" localSheetId="5">[1]Insumos!$H$1148</definedName>
    <definedName name="chap14x10">[1]Insumos!$H$1148</definedName>
    <definedName name="chap20x3" localSheetId="5">[1]Insumos!$H$1147</definedName>
    <definedName name="chap20x3">[1]Insumos!$H$1147</definedName>
    <definedName name="chap20x5" localSheetId="5">[1]Insumos!$H$1146</definedName>
    <definedName name="chap20x5">[1]Insumos!$H$1146</definedName>
    <definedName name="ci" localSheetId="5">#REF!</definedName>
    <definedName name="ci" localSheetId="2">#REF!</definedName>
    <definedName name="ci" localSheetId="3">#REF!</definedName>
    <definedName name="ci" localSheetId="1">#REF!</definedName>
    <definedName name="ci">#REF!</definedName>
    <definedName name="cib">[2]Insumos!$E$21</definedName>
    <definedName name="cil">[2]Insumos!$E$474</definedName>
    <definedName name="cim">[2]Insumos!$E$20</definedName>
    <definedName name="cin" localSheetId="5">[1]Insumos!$H$1078</definedName>
    <definedName name="cin">[1]Insumos!$H$1078</definedName>
    <definedName name="cip">[2]Insumos!$E$475</definedName>
    <definedName name="clb">[2]Insumos!$E$491</definedName>
    <definedName name="clbl">[2]Insumos!$E$473</definedName>
    <definedName name="clp">[2]Insumos!$E$363</definedName>
    <definedName name="clpl" localSheetId="5">[1]Insumos!$H$1312</definedName>
    <definedName name="clpl">[1]Insumos!$H$1312</definedName>
    <definedName name="clpt" localSheetId="5">[1]Insumos!$H$718</definedName>
    <definedName name="clpt">[1]Insumos!$H$718</definedName>
    <definedName name="clr1\2">[2]Insumos!$E$427</definedName>
    <definedName name="clr1_2_1_1" localSheetId="5">[1]Insumos!$H$868</definedName>
    <definedName name="clr1_2_1_1">[1]Insumos!$H$868</definedName>
    <definedName name="clz10x15" localSheetId="5">[1]Insumos!$H$984</definedName>
    <definedName name="clz10x15">[1]Insumos!$H$984</definedName>
    <definedName name="clz15x20" localSheetId="5">[1]Insumos!$H$985</definedName>
    <definedName name="clz15x20">[1]Insumos!$H$985</definedName>
    <definedName name="clz15x25" localSheetId="5">[1]Insumos!$H$986</definedName>
    <definedName name="clz15x25">[1]Insumos!$H$986</definedName>
    <definedName name="clz15x30" localSheetId="5">[1]Insumos!$H$987</definedName>
    <definedName name="clz15x30">[1]Insumos!$H$987</definedName>
    <definedName name="clz20x25" localSheetId="5">[1]Insumos!$H$988</definedName>
    <definedName name="clz20x25">[1]Insumos!$H$988</definedName>
    <definedName name="clz20x40">[2]Insumos!$E$465</definedName>
    <definedName name="clz6x10" localSheetId="5">[1]Insumos!$H$982</definedName>
    <definedName name="clz6x10">[1]Insumos!$H$982</definedName>
    <definedName name="clz6x15" localSheetId="5">[1]Insumos!$H$983</definedName>
    <definedName name="clz6x15">[1]Insumos!$H$983</definedName>
    <definedName name="CM9I">[2]Equipamentos!$P$38</definedName>
    <definedName name="CM9P">[2]Equipamentos!$N$38</definedName>
    <definedName name="cmn3b" localSheetId="5">[1]Insumos!$H$1307</definedName>
    <definedName name="cmn3b">[1]Insumos!$H$1307</definedName>
    <definedName name="cmn4b" localSheetId="5">[1]Insumos!$H$1306</definedName>
    <definedName name="cmn4b">[1]Insumos!$H$1306</definedName>
    <definedName name="cmr900x20" localSheetId="5">[1]Insumos!$H$904</definedName>
    <definedName name="cmr900x20">[1]Insumos!$H$904</definedName>
    <definedName name="COBERTURA" localSheetId="5">#REF!</definedName>
    <definedName name="COBERTURA" localSheetId="2">#REF!</definedName>
    <definedName name="COBERTURA" localSheetId="3">#REF!</definedName>
    <definedName name="COBERTURA" localSheetId="1">#REF!</definedName>
    <definedName name="COBERTURA">#REF!</definedName>
    <definedName name="com">[2]Insumos!$E$626</definedName>
    <definedName name="comp__da_base" localSheetId="5">#REF!</definedName>
    <definedName name="comp__da_base" localSheetId="2">#REF!</definedName>
    <definedName name="comp__da_base" localSheetId="3">#REF!</definedName>
    <definedName name="comp__da_base">#REF!</definedName>
    <definedName name="compac">[4]Insumos!$C$148</definedName>
    <definedName name="compac_1">NA()</definedName>
    <definedName name="compac_5">NA()</definedName>
    <definedName name="compac_6">NA()</definedName>
    <definedName name="COMPRIMENTO_PILAR" localSheetId="5">#REF!</definedName>
    <definedName name="COMPRIMENTO_PILAR" localSheetId="2">#REF!</definedName>
    <definedName name="COMPRIMENTO_PILAR" localSheetId="3">#REF!</definedName>
    <definedName name="COMPRIMENTO_PILAR" localSheetId="1">#REF!</definedName>
    <definedName name="COMPRIMENTO_PILAR">#REF!</definedName>
    <definedName name="concs13_5" localSheetId="5">[1]Insumos!$H$1438</definedName>
    <definedName name="concs13_5">[1]Insumos!$H$1438</definedName>
    <definedName name="cpacn" localSheetId="5">[1]Insumos!$H$1253</definedName>
    <definedName name="cpacn">[1]Insumos!$H$1253</definedName>
    <definedName name="cpi50_40s" localSheetId="5">[1]Insumos!$H$919</definedName>
    <definedName name="cpi50_40s">[1]Insumos!$H$919</definedName>
    <definedName name="cpi75_40s" localSheetId="5">[1]Insumos!$H$918</definedName>
    <definedName name="cpi75_40s">[1]Insumos!$H$918</definedName>
    <definedName name="cpj">[2]Insumos!$E$30</definedName>
    <definedName name="cpl">[2]Insumos!$E$344</definedName>
    <definedName name="cpt">[2]Insumos!$E$85</definedName>
    <definedName name="csi">[2]Insumos!$E$459</definedName>
    <definedName name="csp">[2]Insumos!$E$460</definedName>
    <definedName name="ct12r">[2]Insumos!$E$370</definedName>
    <definedName name="ct5r">[2]Insumos!$E$369</definedName>
    <definedName name="ctal" localSheetId="5">[1]Insumos!$H$78</definedName>
    <definedName name="ctal">[1]Insumos!$H$78</definedName>
    <definedName name="ctaz" localSheetId="5">[1]Insumos!$H$81</definedName>
    <definedName name="ctaz">[1]Insumos!$H$81</definedName>
    <definedName name="ctb" localSheetId="5">[1]Insumos!$H$1460</definedName>
    <definedName name="ctb">[1]Insumos!$H$1460</definedName>
    <definedName name="ctm">[2]Insumos!$E$618</definedName>
    <definedName name="cvd88_60" localSheetId="5">[1]Insumos!$H$1002</definedName>
    <definedName name="cvd88_60">[1]Insumos!$H$1002</definedName>
    <definedName name="cvi1\2">[2]Insumos!$E$407</definedName>
    <definedName name="cvi1_2_1" localSheetId="5">[1]Insumos!$H$823</definedName>
    <definedName name="cvi1_2_1">[1]Insumos!$H$823</definedName>
    <definedName name="cvi3_4" localSheetId="5">[1]Insumos!$H$824</definedName>
    <definedName name="cvi3_4">[1]Insumos!$H$824</definedName>
    <definedName name="cvi50_40s" localSheetId="5">[1]Insumos!$H$909</definedName>
    <definedName name="cvi50_40s">[1]Insumos!$H$909</definedName>
    <definedName name="cvi75_40s" localSheetId="5">[1]Insumos!$H$908</definedName>
    <definedName name="cvi75_40s">[1]Insumos!$H$908</definedName>
    <definedName name="cvp1\2">[2]Insumos!$E$406</definedName>
    <definedName name="cvp1_2_1" localSheetId="5">[1]Insumos!$H$821</definedName>
    <definedName name="cvp1_2_1">[1]Insumos!$H$821</definedName>
    <definedName name="cvp1_2s" localSheetId="5">[1]Insumos!$H$822</definedName>
    <definedName name="cvp1_2s">[1]Insumos!$H$822</definedName>
    <definedName name="cxfg4x2" localSheetId="5">[1]Insumos!$H$655</definedName>
    <definedName name="cxfg4x2">[1]Insumos!$H$655</definedName>
    <definedName name="cxp3x3s">[2]Insumos!$E$335</definedName>
    <definedName name="cxp4x2">[2]Insumos!$E$336</definedName>
    <definedName name="cxp4x2s">[2]Insumos!$E$334</definedName>
    <definedName name="cxp4x4">[2]Insumos!$E$337</definedName>
    <definedName name="D6I">[2]Equipamentos!$P$22</definedName>
    <definedName name="D6P">[2]Equipamentos!$N$22</definedName>
    <definedName name="D8I">[2]Equipamentos!$P$21</definedName>
    <definedName name="D8P">[2]Equipamentos!$N$21</definedName>
    <definedName name="dci1\2">[2]Insumos!$E$418</definedName>
    <definedName name="dci1_2_1" localSheetId="5">[1]Insumos!$H$838</definedName>
    <definedName name="dci1_2_1">[1]Insumos!$H$838</definedName>
    <definedName name="dcr">[2]Insumos!$E$253</definedName>
    <definedName name="ddd">[2]Insumos!$E$697</definedName>
    <definedName name="def_01" localSheetId="5">[1]Insumos!$H$1279</definedName>
    <definedName name="def_01">[1]Insumos!$H$1279</definedName>
    <definedName name="def_06" localSheetId="5">[1]Insumos!$H$1280</definedName>
    <definedName name="def_06">[1]Insumos!$H$1280</definedName>
    <definedName name="des">[2]Insumos!$E$621</definedName>
    <definedName name="DFFDGSADFHSAHADF">#N/A</definedName>
    <definedName name="dfm" localSheetId="5">[1]Insumos!$H$331</definedName>
    <definedName name="dfm">[1]Insumos!$H$331</definedName>
    <definedName name="dgd">[2]Insumos!$E$111</definedName>
    <definedName name="dgrn">[2]Insumos!$E$112</definedName>
    <definedName name="dgrn1" localSheetId="5">[1]Insumos!$H$246</definedName>
    <definedName name="dgrn1">[1]Insumos!$H$246</definedName>
    <definedName name="diap" localSheetId="5">[1]Insumos!$H$1400</definedName>
    <definedName name="diap">[1]Insumos!$H$1400</definedName>
    <definedName name="DIE">[2]Equipamentos!$A$12</definedName>
    <definedName name="DKM">[2]Insumos!$C$7</definedName>
    <definedName name="dnpc">[2]Insumos!$E$109</definedName>
    <definedName name="dns">[2]Insumos!$E$110</definedName>
    <definedName name="dnt11_2_40" localSheetId="5">[3]Insumos!$F$1290</definedName>
    <definedName name="dnt11_2_40">[3]Insumos!$F$1290</definedName>
    <definedName name="dnt2_40" localSheetId="5">[1]Insumos!$H$1308</definedName>
    <definedName name="dnt2_40">[1]Insumos!$H$1308</definedName>
    <definedName name="dpti" localSheetId="5">[1]Insumos!$H$1075</definedName>
    <definedName name="dpti">[1]Insumos!$H$1075</definedName>
    <definedName name="dptp" localSheetId="5">[1]Insumos!$H$1074</definedName>
    <definedName name="dptp">[1]Insumos!$H$1074</definedName>
    <definedName name="eaa">[2]Insumos!$E$181</definedName>
    <definedName name="ecpm16x16" localSheetId="5">[1]Insumos!$H$1149</definedName>
    <definedName name="ecpm16x16">[1]Insumos!$H$1149</definedName>
    <definedName name="eem">[2]Insumos!$E$200</definedName>
    <definedName name="EFI">[2]Insumos!$C$3</definedName>
    <definedName name="ele">[2]Insumos!$E$571</definedName>
    <definedName name="elf1_2" localSheetId="5">[1]Insumos!$H$697</definedName>
    <definedName name="elf1_2">[1]Insumos!$H$697</definedName>
    <definedName name="elf11_4" localSheetId="5">[1]Insumos!$H$700</definedName>
    <definedName name="elf11_4">[1]Insumos!$H$700</definedName>
    <definedName name="elf3_4" localSheetId="5">[1]Insumos!$H$698</definedName>
    <definedName name="elf3_4">[1]Insumos!$H$698</definedName>
    <definedName name="elfg1_2" localSheetId="5">[1]Insumos!$H$694</definedName>
    <definedName name="elfg1_2">[1]Insumos!$H$694</definedName>
    <definedName name="elfg11_2" localSheetId="5">[1]Insumos!$H$696</definedName>
    <definedName name="elfg11_2">[1]Insumos!$H$696</definedName>
    <definedName name="elfg3_4" localSheetId="5">[1]Insumos!$H$695</definedName>
    <definedName name="elfg3_4">[1]Insumos!$H$695</definedName>
    <definedName name="elr1\2">[2]Insumos!$E$353</definedName>
    <definedName name="elr1_2_1_1" localSheetId="5">[1]Insumos!$H$701</definedName>
    <definedName name="elr1_2_1_1">[1]Insumos!$H$701</definedName>
    <definedName name="elr11_2_1_1" localSheetId="5">[1]Insumos!$H$705</definedName>
    <definedName name="elr11_2_1_1">[1]Insumos!$H$705</definedName>
    <definedName name="elr11_4_1_1" localSheetId="5">[1]Insumos!$H$704</definedName>
    <definedName name="elr11_4_1_1">[1]Insumos!$H$704</definedName>
    <definedName name="elr3\4">[2]Insumos!$E$354</definedName>
    <definedName name="elr3_4_1_1" localSheetId="5">[1]Insumos!$H$702</definedName>
    <definedName name="elr3_4_1_1">[1]Insumos!$H$702</definedName>
    <definedName name="elv20x20" localSheetId="5">[1]Insumos!$H$1140</definedName>
    <definedName name="elv20x20">[1]Insumos!$H$1140</definedName>
    <definedName name="elv20x20_6_5" localSheetId="5">[1]Insumos!$H$1141</definedName>
    <definedName name="elv20x20_6_5">[1]Insumos!$H$1141</definedName>
    <definedName name="elv25x25">[2]Insumos!$E$532</definedName>
    <definedName name="elv40x40_7" localSheetId="5">[1]Insumos!$H$1138</definedName>
    <definedName name="elv40x40_7">[1]Insumos!$H$1138</definedName>
    <definedName name="elv50x40">[2]Insumos!$E$519</definedName>
    <definedName name="elv50x50">[2]Insumos!$E$520</definedName>
    <definedName name="elv50x50_7" localSheetId="5">[1]Insumos!$H$1137</definedName>
    <definedName name="elv50x50_7">[1]Insumos!$H$1137</definedName>
    <definedName name="emb">[2]Insumos!$E$590</definedName>
    <definedName name="emc">[2]Insumos!$E$583</definedName>
    <definedName name="enc" localSheetId="5">#REF!</definedName>
    <definedName name="enc" localSheetId="2">#REF!</definedName>
    <definedName name="enc" localSheetId="3">#REF!</definedName>
    <definedName name="enc">#REF!</definedName>
    <definedName name="enca" localSheetId="5">#REF!</definedName>
    <definedName name="enca" localSheetId="2">#REF!</definedName>
    <definedName name="enca" localSheetId="3">#REF!</definedName>
    <definedName name="enca">#REF!</definedName>
    <definedName name="encp" localSheetId="5">[1]Insumos!$H$16</definedName>
    <definedName name="encp">[1]Insumos!$H$16</definedName>
    <definedName name="ENE">[2]Equipamentos!$A$16</definedName>
    <definedName name="enf" localSheetId="5">[1]Insumos!$H$892</definedName>
    <definedName name="enf">[1]Insumos!$H$892</definedName>
    <definedName name="enf1_2" localSheetId="5">[1]Insumos!$H$893</definedName>
    <definedName name="enf1_2">[1]Insumos!$H$893</definedName>
    <definedName name="enf3_4" localSheetId="5">[1]Insumos!$H$894</definedName>
    <definedName name="enf3_4">[1]Insumos!$H$894</definedName>
    <definedName name="eng" localSheetId="5">[1]Insumos!$H$15</definedName>
    <definedName name="eng">[1]Insumos!$H$15</definedName>
    <definedName name="epc">[2]Insumos!$E$478</definedName>
    <definedName name="eqde125" localSheetId="5">[1]Insumos!$H$1015</definedName>
    <definedName name="eqde125">[1]Insumos!$H$1015</definedName>
    <definedName name="eqdi125" localSheetId="5">[1]Insumos!$H$1014</definedName>
    <definedName name="eqdi125">[1]Insumos!$H$1014</definedName>
    <definedName name="erm">[2]Insumos!$E$182</definedName>
    <definedName name="erp">[2]Insumos!$E$628</definedName>
    <definedName name="err1c" localSheetId="5">[1]Insumos!$H$216</definedName>
    <definedName name="err1c">[1]Insumos!$H$216</definedName>
    <definedName name="esc1.1000">[2]Insumos!$E$641</definedName>
    <definedName name="esc1.200">[2]Insumos!$E$637</definedName>
    <definedName name="esc1.400">[2]Insumos!$E$638</definedName>
    <definedName name="esc1.50">[2]Insumos!$E$636</definedName>
    <definedName name="esc1.600">[2]Insumos!$E$639</definedName>
    <definedName name="esc1.800">[2]Insumos!$E$640</definedName>
    <definedName name="esc1_1000" localSheetId="5">[1]Insumos!$H$1363</definedName>
    <definedName name="esc1_1000">[1]Insumos!$H$1363</definedName>
    <definedName name="esc1_200" localSheetId="5">[1]Insumos!$H$1359</definedName>
    <definedName name="esc1_200">[1]Insumos!$H$1359</definedName>
    <definedName name="esc1_400" localSheetId="5">[1]Insumos!$H$1360</definedName>
    <definedName name="esc1_400">[1]Insumos!$H$1360</definedName>
    <definedName name="esc1_50" localSheetId="5">[1]Insumos!$H$1358</definedName>
    <definedName name="esc1_50">[1]Insumos!$H$1358</definedName>
    <definedName name="esc1_600" localSheetId="5">[1]Insumos!$H$1361</definedName>
    <definedName name="esc1_600">[1]Insumos!$H$1361</definedName>
    <definedName name="esc1_800" localSheetId="5">[1]Insumos!$H$1362</definedName>
    <definedName name="esc1_800">[1]Insumos!$H$1362</definedName>
    <definedName name="esc2.50">[2]Insumos!$E$634</definedName>
    <definedName name="esc2_50" localSheetId="5">[1]Insumos!$H$1356</definedName>
    <definedName name="esc2_50">[1]Insumos!$H$1356</definedName>
    <definedName name="ESCAVAÇÃO_DAS_VALAS" localSheetId="5">#REF!</definedName>
    <definedName name="ESCAVAÇÃO_DAS_VALAS" localSheetId="2">#REF!</definedName>
    <definedName name="ESCAVAÇÃO_DAS_VALAS" localSheetId="3">#REF!</definedName>
    <definedName name="ESCAVAÇÃO_DAS_VALAS" localSheetId="1">#REF!</definedName>
    <definedName name="ESCAVAÇÃO_DAS_VALAS">#REF!</definedName>
    <definedName name="escg" localSheetId="5">[1]Insumos!$H$1288</definedName>
    <definedName name="escg">[1]Insumos!$H$1288</definedName>
    <definedName name="esg">[2]Insumos!$E$699</definedName>
    <definedName name="eshoriz" localSheetId="5">[1]Insumos!$H$1291</definedName>
    <definedName name="eshoriz">[1]Insumos!$H$1291</definedName>
    <definedName name="esm">[2]Insumos!$E$141</definedName>
    <definedName name="espc" localSheetId="5">[1]Insumos!$H$1310</definedName>
    <definedName name="espc">[1]Insumos!$H$1310</definedName>
    <definedName name="estc" localSheetId="5">[1]Insumos!$H$1309</definedName>
    <definedName name="estc">[1]Insumos!$H$1309</definedName>
    <definedName name="Excel_BuiltIn_Print_Area_1_1" localSheetId="5">#REF!</definedName>
    <definedName name="Excel_BuiltIn_Print_Area_1_1" localSheetId="2">#REF!</definedName>
    <definedName name="Excel_BuiltIn_Print_Area_1_1" localSheetId="3">#REF!</definedName>
    <definedName name="Excel_BuiltIn_Print_Area_1_1" localSheetId="1">#REF!</definedName>
    <definedName name="Excel_BuiltIn_Print_Area_1_1">#REF!</definedName>
    <definedName name="Excel_BuiltIn_Print_Area_10" localSheetId="5">#REF!</definedName>
    <definedName name="Excel_BuiltIn_Print_Area_10" localSheetId="2">#REF!</definedName>
    <definedName name="Excel_BuiltIn_Print_Area_10" localSheetId="3">#REF!</definedName>
    <definedName name="Excel_BuiltIn_Print_Area_10" localSheetId="1">#REF!</definedName>
    <definedName name="Excel_BuiltIn_Print_Area_10">#REF!</definedName>
    <definedName name="Excel_BuiltIn_Print_Area_10_1" localSheetId="5">#REF!</definedName>
    <definedName name="Excel_BuiltIn_Print_Area_10_1" localSheetId="2">#REF!</definedName>
    <definedName name="Excel_BuiltIn_Print_Area_10_1" localSheetId="3">#REF!</definedName>
    <definedName name="Excel_BuiltIn_Print_Area_10_1" localSheetId="1">#REF!</definedName>
    <definedName name="Excel_BuiltIn_Print_Area_10_1">#REF!</definedName>
    <definedName name="Excel_BuiltIn_Print_Area_10_1_1" localSheetId="5">#REF!</definedName>
    <definedName name="Excel_BuiltIn_Print_Area_10_1_1" localSheetId="2">#REF!</definedName>
    <definedName name="Excel_BuiltIn_Print_Area_10_1_1" localSheetId="3">#REF!</definedName>
    <definedName name="Excel_BuiltIn_Print_Area_10_1_1" localSheetId="1">#REF!</definedName>
    <definedName name="Excel_BuiltIn_Print_Area_10_1_1">#REF!</definedName>
    <definedName name="Excel_BuiltIn_Print_Area_11" localSheetId="5">#REF!</definedName>
    <definedName name="Excel_BuiltIn_Print_Area_11" localSheetId="2">#REF!</definedName>
    <definedName name="Excel_BuiltIn_Print_Area_11" localSheetId="3">#REF!</definedName>
    <definedName name="Excel_BuiltIn_Print_Area_11" localSheetId="1">#REF!</definedName>
    <definedName name="Excel_BuiltIn_Print_Area_11">#REF!</definedName>
    <definedName name="Excel_BuiltIn_Print_Area_11_1" localSheetId="5">#REF!</definedName>
    <definedName name="Excel_BuiltIn_Print_Area_11_1" localSheetId="2">#REF!</definedName>
    <definedName name="Excel_BuiltIn_Print_Area_11_1" localSheetId="3">#REF!</definedName>
    <definedName name="Excel_BuiltIn_Print_Area_11_1" localSheetId="1">#REF!</definedName>
    <definedName name="Excel_BuiltIn_Print_Area_11_1">#REF!</definedName>
    <definedName name="Excel_BuiltIn_Print_Area_12" localSheetId="5">#REF!</definedName>
    <definedName name="Excel_BuiltIn_Print_Area_12" localSheetId="2">#REF!</definedName>
    <definedName name="Excel_BuiltIn_Print_Area_12" localSheetId="3">#REF!</definedName>
    <definedName name="Excel_BuiltIn_Print_Area_12" localSheetId="1">#REF!</definedName>
    <definedName name="Excel_BuiltIn_Print_Area_12">#REF!</definedName>
    <definedName name="Excel_BuiltIn_Print_Area_12_1" localSheetId="5">#REF!</definedName>
    <definedName name="Excel_BuiltIn_Print_Area_12_1" localSheetId="2">#REF!</definedName>
    <definedName name="Excel_BuiltIn_Print_Area_12_1" localSheetId="3">#REF!</definedName>
    <definedName name="Excel_BuiltIn_Print_Area_12_1" localSheetId="1">#REF!</definedName>
    <definedName name="Excel_BuiltIn_Print_Area_12_1">#REF!</definedName>
    <definedName name="Excel_BuiltIn_Print_Area_14" localSheetId="5">#REF!</definedName>
    <definedName name="Excel_BuiltIn_Print_Area_14" localSheetId="2">#REF!</definedName>
    <definedName name="Excel_BuiltIn_Print_Area_14" localSheetId="3">#REF!</definedName>
    <definedName name="Excel_BuiltIn_Print_Area_14" localSheetId="1">#REF!</definedName>
    <definedName name="Excel_BuiltIn_Print_Area_14">#REF!</definedName>
    <definedName name="Excel_BuiltIn_Print_Area_14_1" localSheetId="5">#REF!</definedName>
    <definedName name="Excel_BuiltIn_Print_Area_14_1" localSheetId="2">#REF!</definedName>
    <definedName name="Excel_BuiltIn_Print_Area_14_1" localSheetId="3">#REF!</definedName>
    <definedName name="Excel_BuiltIn_Print_Area_14_1" localSheetId="1">#REF!</definedName>
    <definedName name="Excel_BuiltIn_Print_Area_14_1">#REF!</definedName>
    <definedName name="Excel_BuiltIn_Print_Area_15" localSheetId="5">#REF!</definedName>
    <definedName name="Excel_BuiltIn_Print_Area_15" localSheetId="2">#REF!</definedName>
    <definedName name="Excel_BuiltIn_Print_Area_15" localSheetId="3">#REF!</definedName>
    <definedName name="Excel_BuiltIn_Print_Area_15" localSheetId="1">#REF!</definedName>
    <definedName name="Excel_BuiltIn_Print_Area_15">#REF!</definedName>
    <definedName name="Excel_BuiltIn_Print_Area_15_1" localSheetId="5">#REF!</definedName>
    <definedName name="Excel_BuiltIn_Print_Area_15_1" localSheetId="2">#REF!</definedName>
    <definedName name="Excel_BuiltIn_Print_Area_15_1" localSheetId="3">#REF!</definedName>
    <definedName name="Excel_BuiltIn_Print_Area_15_1" localSheetId="1">#REF!</definedName>
    <definedName name="Excel_BuiltIn_Print_Area_15_1">#REF!</definedName>
    <definedName name="Excel_BuiltIn_Print_Area_2" localSheetId="5">#REF!</definedName>
    <definedName name="Excel_BuiltIn_Print_Area_2" localSheetId="2">#REF!</definedName>
    <definedName name="Excel_BuiltIn_Print_Area_2" localSheetId="3">#REF!</definedName>
    <definedName name="Excel_BuiltIn_Print_Area_2" localSheetId="1">#REF!</definedName>
    <definedName name="Excel_BuiltIn_Print_Area_2">#REF!</definedName>
    <definedName name="Excel_BuiltIn_Print_Area_3" localSheetId="5">#REF!</definedName>
    <definedName name="Excel_BuiltIn_Print_Area_3" localSheetId="2">#REF!</definedName>
    <definedName name="Excel_BuiltIn_Print_Area_3" localSheetId="3">#REF!</definedName>
    <definedName name="Excel_BuiltIn_Print_Area_3" localSheetId="1">#REF!</definedName>
    <definedName name="Excel_BuiltIn_Print_Area_3">#REF!</definedName>
    <definedName name="Excel_BuiltIn_Print_Area_3_1" localSheetId="5">#REF!</definedName>
    <definedName name="Excel_BuiltIn_Print_Area_3_1" localSheetId="2">#REF!</definedName>
    <definedName name="Excel_BuiltIn_Print_Area_3_1" localSheetId="3">#REF!</definedName>
    <definedName name="Excel_BuiltIn_Print_Area_3_1" localSheetId="1">#REF!</definedName>
    <definedName name="Excel_BuiltIn_Print_Area_3_1">#REF!</definedName>
    <definedName name="Excel_BuiltIn_Print_Area_3_1_1" localSheetId="5">#REF!</definedName>
    <definedName name="Excel_BuiltIn_Print_Area_3_1_1" localSheetId="2">#REF!</definedName>
    <definedName name="Excel_BuiltIn_Print_Area_3_1_1" localSheetId="3">#REF!</definedName>
    <definedName name="Excel_BuiltIn_Print_Area_3_1_1" localSheetId="1">#REF!</definedName>
    <definedName name="Excel_BuiltIn_Print_Area_3_1_1">#REF!</definedName>
    <definedName name="Excel_BuiltIn_Print_Area_3_1_1_1" localSheetId="5">#REF!</definedName>
    <definedName name="Excel_BuiltIn_Print_Area_3_1_1_1" localSheetId="2">#REF!</definedName>
    <definedName name="Excel_BuiltIn_Print_Area_3_1_1_1" localSheetId="3">#REF!</definedName>
    <definedName name="Excel_BuiltIn_Print_Area_3_1_1_1" localSheetId="1">#REF!</definedName>
    <definedName name="Excel_BuiltIn_Print_Area_3_1_1_1">#REF!</definedName>
    <definedName name="Excel_BuiltIn_Print_Area_3_1_1_1_1" localSheetId="5">#REF!</definedName>
    <definedName name="Excel_BuiltIn_Print_Area_3_1_1_1_1" localSheetId="2">#REF!</definedName>
    <definedName name="Excel_BuiltIn_Print_Area_3_1_1_1_1" localSheetId="3">#REF!</definedName>
    <definedName name="Excel_BuiltIn_Print_Area_3_1_1_1_1" localSheetId="1">#REF!</definedName>
    <definedName name="Excel_BuiltIn_Print_Area_3_1_1_1_1">#REF!</definedName>
    <definedName name="Excel_BuiltIn_Print_Area_3_1_1_1_1_1" localSheetId="5">#REF!</definedName>
    <definedName name="Excel_BuiltIn_Print_Area_3_1_1_1_1_1" localSheetId="2">#REF!</definedName>
    <definedName name="Excel_BuiltIn_Print_Area_3_1_1_1_1_1" localSheetId="3">#REF!</definedName>
    <definedName name="Excel_BuiltIn_Print_Area_3_1_1_1_1_1" localSheetId="1">#REF!</definedName>
    <definedName name="Excel_BuiltIn_Print_Area_3_1_1_1_1_1">#REF!</definedName>
    <definedName name="Excel_BuiltIn_Print_Area_3_1_10" localSheetId="5">#REF!</definedName>
    <definedName name="Excel_BuiltIn_Print_Area_3_1_10" localSheetId="2">#REF!</definedName>
    <definedName name="Excel_BuiltIn_Print_Area_3_1_10" localSheetId="3">#REF!</definedName>
    <definedName name="Excel_BuiltIn_Print_Area_3_1_10" localSheetId="1">#REF!</definedName>
    <definedName name="Excel_BuiltIn_Print_Area_3_1_10">#REF!</definedName>
    <definedName name="Excel_BuiltIn_Print_Area_3_1_12" localSheetId="5">#REF!</definedName>
    <definedName name="Excel_BuiltIn_Print_Area_3_1_12" localSheetId="2">#REF!</definedName>
    <definedName name="Excel_BuiltIn_Print_Area_3_1_12" localSheetId="3">#REF!</definedName>
    <definedName name="Excel_BuiltIn_Print_Area_3_1_12" localSheetId="1">#REF!</definedName>
    <definedName name="Excel_BuiltIn_Print_Area_3_1_12">#REF!</definedName>
    <definedName name="Excel_BuiltIn_Print_Area_3_1_9" localSheetId="5">#REF!</definedName>
    <definedName name="Excel_BuiltIn_Print_Area_3_1_9" localSheetId="2">#REF!</definedName>
    <definedName name="Excel_BuiltIn_Print_Area_3_1_9" localSheetId="3">#REF!</definedName>
    <definedName name="Excel_BuiltIn_Print_Area_3_1_9" localSheetId="1">#REF!</definedName>
    <definedName name="Excel_BuiltIn_Print_Area_3_1_9">#REF!</definedName>
    <definedName name="Excel_BuiltIn_Print_Area_4" localSheetId="5">#REF!</definedName>
    <definedName name="Excel_BuiltIn_Print_Area_4" localSheetId="2">#REF!</definedName>
    <definedName name="Excel_BuiltIn_Print_Area_4" localSheetId="3">#REF!</definedName>
    <definedName name="Excel_BuiltIn_Print_Area_4" localSheetId="1">#REF!</definedName>
    <definedName name="Excel_BuiltIn_Print_Area_4">#REF!</definedName>
    <definedName name="Excel_BuiltIn_Print_Area_4_1" localSheetId="5">#REF!</definedName>
    <definedName name="Excel_BuiltIn_Print_Area_4_1" localSheetId="2">#REF!</definedName>
    <definedName name="Excel_BuiltIn_Print_Area_4_1" localSheetId="3">#REF!</definedName>
    <definedName name="Excel_BuiltIn_Print_Area_4_1" localSheetId="1">#REF!</definedName>
    <definedName name="Excel_BuiltIn_Print_Area_4_1">#REF!</definedName>
    <definedName name="Excel_BuiltIn_Print_Area_4_1_1">"$#REF!.$A$1:$F$19"</definedName>
    <definedName name="Excel_BuiltIn_Print_Area_4_1_10" localSheetId="5">#REF!</definedName>
    <definedName name="Excel_BuiltIn_Print_Area_4_1_10" localSheetId="2">#REF!</definedName>
    <definedName name="Excel_BuiltIn_Print_Area_4_1_10" localSheetId="3">#REF!</definedName>
    <definedName name="Excel_BuiltIn_Print_Area_4_1_10" localSheetId="1">#REF!</definedName>
    <definedName name="Excel_BuiltIn_Print_Area_4_1_10">#REF!</definedName>
    <definedName name="Excel_BuiltIn_Print_Area_4_1_12" localSheetId="5">#REF!</definedName>
    <definedName name="Excel_BuiltIn_Print_Area_4_1_12" localSheetId="2">#REF!</definedName>
    <definedName name="Excel_BuiltIn_Print_Area_4_1_12" localSheetId="3">#REF!</definedName>
    <definedName name="Excel_BuiltIn_Print_Area_4_1_12" localSheetId="1">#REF!</definedName>
    <definedName name="Excel_BuiltIn_Print_Area_4_1_12">#REF!</definedName>
    <definedName name="Excel_BuiltIn_Print_Area_4_1_9" localSheetId="5">#REF!</definedName>
    <definedName name="Excel_BuiltIn_Print_Area_4_1_9" localSheetId="2">#REF!</definedName>
    <definedName name="Excel_BuiltIn_Print_Area_4_1_9" localSheetId="3">#REF!</definedName>
    <definedName name="Excel_BuiltIn_Print_Area_4_1_9" localSheetId="1">#REF!</definedName>
    <definedName name="Excel_BuiltIn_Print_Area_4_1_9">#REF!</definedName>
    <definedName name="Excel_BuiltIn_Print_Area_5" localSheetId="5">#REF!</definedName>
    <definedName name="Excel_BuiltIn_Print_Area_5" localSheetId="2">#REF!</definedName>
    <definedName name="Excel_BuiltIn_Print_Area_5" localSheetId="3">#REF!</definedName>
    <definedName name="Excel_BuiltIn_Print_Area_5" localSheetId="1">#REF!</definedName>
    <definedName name="Excel_BuiltIn_Print_Area_5">#REF!</definedName>
    <definedName name="Excel_BuiltIn_Print_Area_5_1" localSheetId="5">#REF!</definedName>
    <definedName name="Excel_BuiltIn_Print_Area_5_1" localSheetId="2">#REF!</definedName>
    <definedName name="Excel_BuiltIn_Print_Area_5_1" localSheetId="3">#REF!</definedName>
    <definedName name="Excel_BuiltIn_Print_Area_5_1" localSheetId="1">#REF!</definedName>
    <definedName name="Excel_BuiltIn_Print_Area_5_1">#REF!</definedName>
    <definedName name="Excel_BuiltIn_Print_Area_5_1_1" localSheetId="5">#REF!</definedName>
    <definedName name="Excel_BuiltIn_Print_Area_5_1_1" localSheetId="2">#REF!</definedName>
    <definedName name="Excel_BuiltIn_Print_Area_5_1_1" localSheetId="3">#REF!</definedName>
    <definedName name="Excel_BuiltIn_Print_Area_5_1_1" localSheetId="1">#REF!</definedName>
    <definedName name="Excel_BuiltIn_Print_Area_5_1_1">#REF!</definedName>
    <definedName name="Excel_BuiltIn_Print_Area_5_1_1_1" localSheetId="5">#REF!</definedName>
    <definedName name="Excel_BuiltIn_Print_Area_5_1_1_1" localSheetId="2">#REF!</definedName>
    <definedName name="Excel_BuiltIn_Print_Area_5_1_1_1" localSheetId="3">#REF!</definedName>
    <definedName name="Excel_BuiltIn_Print_Area_5_1_1_1" localSheetId="1">#REF!</definedName>
    <definedName name="Excel_BuiltIn_Print_Area_5_1_1_1">#REF!</definedName>
    <definedName name="Excel_BuiltIn_Print_Area_6" localSheetId="5">#REF!</definedName>
    <definedName name="Excel_BuiltIn_Print_Area_6" localSheetId="2">#REF!</definedName>
    <definedName name="Excel_BuiltIn_Print_Area_6" localSheetId="3">#REF!</definedName>
    <definedName name="Excel_BuiltIn_Print_Area_6" localSheetId="1">#REF!</definedName>
    <definedName name="Excel_BuiltIn_Print_Area_6">#REF!</definedName>
    <definedName name="Excel_BuiltIn_Print_Area_6_1" localSheetId="5">#REF!</definedName>
    <definedName name="Excel_BuiltIn_Print_Area_6_1" localSheetId="2">#REF!</definedName>
    <definedName name="Excel_BuiltIn_Print_Area_6_1" localSheetId="3">#REF!</definedName>
    <definedName name="Excel_BuiltIn_Print_Area_6_1" localSheetId="1">#REF!</definedName>
    <definedName name="Excel_BuiltIn_Print_Area_6_1">#REF!</definedName>
    <definedName name="Excel_BuiltIn_Print_Area_6_1_1" localSheetId="5">#REF!</definedName>
    <definedName name="Excel_BuiltIn_Print_Area_6_1_1" localSheetId="2">#REF!</definedName>
    <definedName name="Excel_BuiltIn_Print_Area_6_1_1" localSheetId="3">#REF!</definedName>
    <definedName name="Excel_BuiltIn_Print_Area_6_1_1" localSheetId="1">#REF!</definedName>
    <definedName name="Excel_BuiltIn_Print_Area_6_1_1">#REF!</definedName>
    <definedName name="Excel_BuiltIn_Print_Area_6_1_1_1">"$#REF!.$A$1:$F$27"</definedName>
    <definedName name="Excel_BuiltIn_Print_Area_6_1_1_1_1" localSheetId="5">#REF!</definedName>
    <definedName name="Excel_BuiltIn_Print_Area_6_1_1_1_1" localSheetId="2">#REF!</definedName>
    <definedName name="Excel_BuiltIn_Print_Area_6_1_1_1_1" localSheetId="3">#REF!</definedName>
    <definedName name="Excel_BuiltIn_Print_Area_6_1_1_1_1" localSheetId="1">#REF!</definedName>
    <definedName name="Excel_BuiltIn_Print_Area_6_1_1_1_1">#REF!</definedName>
    <definedName name="Excel_BuiltIn_Print_Area_6_1_10" localSheetId="5">#REF!</definedName>
    <definedName name="Excel_BuiltIn_Print_Area_6_1_10" localSheetId="2">#REF!</definedName>
    <definedName name="Excel_BuiltIn_Print_Area_6_1_10" localSheetId="3">#REF!</definedName>
    <definedName name="Excel_BuiltIn_Print_Area_6_1_10" localSheetId="1">#REF!</definedName>
    <definedName name="Excel_BuiltIn_Print_Area_6_1_10">#REF!</definedName>
    <definedName name="Excel_BuiltIn_Print_Area_6_1_12" localSheetId="5">#REF!</definedName>
    <definedName name="Excel_BuiltIn_Print_Area_6_1_12" localSheetId="2">#REF!</definedName>
    <definedName name="Excel_BuiltIn_Print_Area_6_1_12" localSheetId="3">#REF!</definedName>
    <definedName name="Excel_BuiltIn_Print_Area_6_1_12" localSheetId="1">#REF!</definedName>
    <definedName name="Excel_BuiltIn_Print_Area_6_1_12">#REF!</definedName>
    <definedName name="Excel_BuiltIn_Print_Area_6_1_9" localSheetId="5">#REF!</definedName>
    <definedName name="Excel_BuiltIn_Print_Area_6_1_9" localSheetId="2">#REF!</definedName>
    <definedName name="Excel_BuiltIn_Print_Area_6_1_9" localSheetId="3">#REF!</definedName>
    <definedName name="Excel_BuiltIn_Print_Area_6_1_9" localSheetId="1">#REF!</definedName>
    <definedName name="Excel_BuiltIn_Print_Area_6_1_9">#REF!</definedName>
    <definedName name="Excel_BuiltIn_Print_Area_7" localSheetId="5">#REF!</definedName>
    <definedName name="Excel_BuiltIn_Print_Area_7" localSheetId="2">#REF!</definedName>
    <definedName name="Excel_BuiltIn_Print_Area_7" localSheetId="3">#REF!</definedName>
    <definedName name="Excel_BuiltIn_Print_Area_7" localSheetId="1">#REF!</definedName>
    <definedName name="Excel_BuiltIn_Print_Area_7">#REF!</definedName>
    <definedName name="Excel_BuiltIn_Print_Area_7_1" localSheetId="5">#REF!</definedName>
    <definedName name="Excel_BuiltIn_Print_Area_7_1" localSheetId="2">#REF!</definedName>
    <definedName name="Excel_BuiltIn_Print_Area_7_1" localSheetId="3">#REF!</definedName>
    <definedName name="Excel_BuiltIn_Print_Area_7_1" localSheetId="1">#REF!</definedName>
    <definedName name="Excel_BuiltIn_Print_Area_7_1">#REF!</definedName>
    <definedName name="Excel_BuiltIn_Print_Area_7_1_1" localSheetId="5">#REF!</definedName>
    <definedName name="Excel_BuiltIn_Print_Area_7_1_1" localSheetId="2">#REF!</definedName>
    <definedName name="Excel_BuiltIn_Print_Area_7_1_1" localSheetId="3">#REF!</definedName>
    <definedName name="Excel_BuiltIn_Print_Area_7_1_1" localSheetId="1">#REF!</definedName>
    <definedName name="Excel_BuiltIn_Print_Area_7_1_1">#REF!</definedName>
    <definedName name="Excel_BuiltIn_Print_Area_7_1_10" localSheetId="5">#REF!</definedName>
    <definedName name="Excel_BuiltIn_Print_Area_7_1_10" localSheetId="2">#REF!</definedName>
    <definedName name="Excel_BuiltIn_Print_Area_7_1_10" localSheetId="3">#REF!</definedName>
    <definedName name="Excel_BuiltIn_Print_Area_7_1_10" localSheetId="1">#REF!</definedName>
    <definedName name="Excel_BuiltIn_Print_Area_7_1_10">#REF!</definedName>
    <definedName name="Excel_BuiltIn_Print_Area_7_1_12" localSheetId="5">#REF!</definedName>
    <definedName name="Excel_BuiltIn_Print_Area_7_1_12" localSheetId="2">#REF!</definedName>
    <definedName name="Excel_BuiltIn_Print_Area_7_1_12" localSheetId="3">#REF!</definedName>
    <definedName name="Excel_BuiltIn_Print_Area_7_1_12" localSheetId="1">#REF!</definedName>
    <definedName name="Excel_BuiltIn_Print_Area_7_1_12">#REF!</definedName>
    <definedName name="Excel_BuiltIn_Print_Area_7_1_9" localSheetId="5">#REF!</definedName>
    <definedName name="Excel_BuiltIn_Print_Area_7_1_9" localSheetId="2">#REF!</definedName>
    <definedName name="Excel_BuiltIn_Print_Area_7_1_9" localSheetId="3">#REF!</definedName>
    <definedName name="Excel_BuiltIn_Print_Area_7_1_9" localSheetId="1">#REF!</definedName>
    <definedName name="Excel_BuiltIn_Print_Area_7_1_9">#REF!</definedName>
    <definedName name="Excel_BuiltIn_Print_Area_7_1_9_1" localSheetId="5">#REF!</definedName>
    <definedName name="Excel_BuiltIn_Print_Area_7_1_9_1" localSheetId="2">#REF!</definedName>
    <definedName name="Excel_BuiltIn_Print_Area_7_1_9_1" localSheetId="3">#REF!</definedName>
    <definedName name="Excel_BuiltIn_Print_Area_7_1_9_1" localSheetId="1">#REF!</definedName>
    <definedName name="Excel_BuiltIn_Print_Area_7_1_9_1">#REF!</definedName>
    <definedName name="Excel_BuiltIn_Print_Area_7_2" localSheetId="5">#REF!</definedName>
    <definedName name="Excel_BuiltIn_Print_Area_7_2" localSheetId="2">#REF!</definedName>
    <definedName name="Excel_BuiltIn_Print_Area_7_2" localSheetId="3">#REF!</definedName>
    <definedName name="Excel_BuiltIn_Print_Area_7_2" localSheetId="1">#REF!</definedName>
    <definedName name="Excel_BuiltIn_Print_Area_7_2">#REF!</definedName>
    <definedName name="Excel_BuiltIn_Print_Area_8" localSheetId="5">#REF!</definedName>
    <definedName name="Excel_BuiltIn_Print_Area_8" localSheetId="2">#REF!</definedName>
    <definedName name="Excel_BuiltIn_Print_Area_8" localSheetId="3">#REF!</definedName>
    <definedName name="Excel_BuiltIn_Print_Area_8" localSheetId="1">#REF!</definedName>
    <definedName name="Excel_BuiltIn_Print_Area_8">#REF!</definedName>
    <definedName name="Excel_BuiltIn_Print_Area_8_1" localSheetId="5">#REF!</definedName>
    <definedName name="Excel_BuiltIn_Print_Area_8_1" localSheetId="2">#REF!</definedName>
    <definedName name="Excel_BuiltIn_Print_Area_8_1" localSheetId="3">#REF!</definedName>
    <definedName name="Excel_BuiltIn_Print_Area_8_1" localSheetId="1">#REF!</definedName>
    <definedName name="Excel_BuiltIn_Print_Area_8_1">#REF!</definedName>
    <definedName name="Excel_BuiltIn_Print_Area_8_1_1" localSheetId="5">#REF!</definedName>
    <definedName name="Excel_BuiltIn_Print_Area_8_1_1" localSheetId="2">#REF!</definedName>
    <definedName name="Excel_BuiltIn_Print_Area_8_1_1" localSheetId="3">#REF!</definedName>
    <definedName name="Excel_BuiltIn_Print_Area_8_1_1" localSheetId="1">#REF!</definedName>
    <definedName name="Excel_BuiltIn_Print_Area_8_1_1">#REF!</definedName>
    <definedName name="Excel_BuiltIn_Print_Area_9" localSheetId="5">#REF!</definedName>
    <definedName name="Excel_BuiltIn_Print_Area_9" localSheetId="2">#REF!</definedName>
    <definedName name="Excel_BuiltIn_Print_Area_9" localSheetId="3">#REF!</definedName>
    <definedName name="Excel_BuiltIn_Print_Area_9" localSheetId="1">#REF!</definedName>
    <definedName name="Excel_BuiltIn_Print_Area_9">#REF!</definedName>
    <definedName name="Excel_BuiltIn_Print_Area_9_1" localSheetId="5">#REF!</definedName>
    <definedName name="Excel_BuiltIn_Print_Area_9_1" localSheetId="2">#REF!</definedName>
    <definedName name="Excel_BuiltIn_Print_Area_9_1" localSheetId="3">#REF!</definedName>
    <definedName name="Excel_BuiltIn_Print_Area_9_1" localSheetId="1">#REF!</definedName>
    <definedName name="Excel_BuiltIn_Print_Area_9_1">#REF!</definedName>
    <definedName name="Excel_BuiltIn_Print_Area_9_1_1" localSheetId="5">#REF!</definedName>
    <definedName name="Excel_BuiltIn_Print_Area_9_1_1" localSheetId="2">#REF!</definedName>
    <definedName name="Excel_BuiltIn_Print_Area_9_1_1" localSheetId="3">#REF!</definedName>
    <definedName name="Excel_BuiltIn_Print_Area_9_1_1" localSheetId="1">#REF!</definedName>
    <definedName name="Excel_BuiltIn_Print_Area_9_1_1">#REF!</definedName>
    <definedName name="Excel_BuiltIn_Print_Titles_1" localSheetId="5">#REF!</definedName>
    <definedName name="Excel_BuiltIn_Print_Titles_1" localSheetId="2">#REF!</definedName>
    <definedName name="Excel_BuiltIn_Print_Titles_1" localSheetId="3">#REF!</definedName>
    <definedName name="Excel_BuiltIn_Print_Titles_1" localSheetId="1">#REF!</definedName>
    <definedName name="Excel_BuiltIn_Print_Titles_1">#REF!</definedName>
    <definedName name="Excel_BuiltIn_Print_Titles_10" localSheetId="5">#REF!</definedName>
    <definedName name="Excel_BuiltIn_Print_Titles_10" localSheetId="2">#REF!</definedName>
    <definedName name="Excel_BuiltIn_Print_Titles_10" localSheetId="3">#REF!</definedName>
    <definedName name="Excel_BuiltIn_Print_Titles_10" localSheetId="1">#REF!</definedName>
    <definedName name="Excel_BuiltIn_Print_Titles_10">#REF!</definedName>
    <definedName name="Excel_BuiltIn_Print_Titles_11_1" localSheetId="5">#REF!</definedName>
    <definedName name="Excel_BuiltIn_Print_Titles_11_1" localSheetId="2">#REF!</definedName>
    <definedName name="Excel_BuiltIn_Print_Titles_11_1" localSheetId="3">#REF!</definedName>
    <definedName name="Excel_BuiltIn_Print_Titles_11_1" localSheetId="1">#REF!</definedName>
    <definedName name="Excel_BuiltIn_Print_Titles_11_1">#REF!</definedName>
    <definedName name="Excel_BuiltIn_Print_Titles_12" localSheetId="5">#REF!</definedName>
    <definedName name="Excel_BuiltIn_Print_Titles_12" localSheetId="2">#REF!</definedName>
    <definedName name="Excel_BuiltIn_Print_Titles_12" localSheetId="3">#REF!</definedName>
    <definedName name="Excel_BuiltIn_Print_Titles_12" localSheetId="1">#REF!</definedName>
    <definedName name="Excel_BuiltIn_Print_Titles_12">#REF!</definedName>
    <definedName name="Excel_BuiltIn_Print_Titles_2" localSheetId="5">#REF!</definedName>
    <definedName name="Excel_BuiltIn_Print_Titles_2" localSheetId="2">#REF!</definedName>
    <definedName name="Excel_BuiltIn_Print_Titles_2" localSheetId="3">#REF!</definedName>
    <definedName name="Excel_BuiltIn_Print_Titles_2" localSheetId="1">#REF!</definedName>
    <definedName name="Excel_BuiltIn_Print_Titles_2">#REF!</definedName>
    <definedName name="Excel_BuiltIn_Print_Titles_2_1" localSheetId="5">#REF!</definedName>
    <definedName name="Excel_BuiltIn_Print_Titles_2_1" localSheetId="2">#REF!</definedName>
    <definedName name="Excel_BuiltIn_Print_Titles_2_1" localSheetId="3">#REF!</definedName>
    <definedName name="Excel_BuiltIn_Print_Titles_2_1" localSheetId="1">#REF!</definedName>
    <definedName name="Excel_BuiltIn_Print_Titles_2_1">#REF!</definedName>
    <definedName name="Excel_BuiltIn_Print_Titles_2_1_1" localSheetId="5">#REF!</definedName>
    <definedName name="Excel_BuiltIn_Print_Titles_2_1_1" localSheetId="2">#REF!</definedName>
    <definedName name="Excel_BuiltIn_Print_Titles_2_1_1" localSheetId="3">#REF!</definedName>
    <definedName name="Excel_BuiltIn_Print_Titles_2_1_1" localSheetId="1">#REF!</definedName>
    <definedName name="Excel_BuiltIn_Print_Titles_2_1_1">#REF!</definedName>
    <definedName name="Excel_BuiltIn_Print_Titles_3" localSheetId="5">#REF!</definedName>
    <definedName name="Excel_BuiltIn_Print_Titles_3" localSheetId="2">#REF!</definedName>
    <definedName name="Excel_BuiltIn_Print_Titles_3" localSheetId="3">#REF!</definedName>
    <definedName name="Excel_BuiltIn_Print_Titles_3" localSheetId="1">#REF!</definedName>
    <definedName name="Excel_BuiltIn_Print_Titles_3">#REF!</definedName>
    <definedName name="Excel_BuiltIn_Print_Titles_3_1" localSheetId="5">#REF!</definedName>
    <definedName name="Excel_BuiltIn_Print_Titles_3_1" localSheetId="2">#REF!</definedName>
    <definedName name="Excel_BuiltIn_Print_Titles_3_1" localSheetId="3">#REF!</definedName>
    <definedName name="Excel_BuiltIn_Print_Titles_3_1" localSheetId="1">#REF!</definedName>
    <definedName name="Excel_BuiltIn_Print_Titles_3_1">#REF!</definedName>
    <definedName name="Excel_BuiltIn_Print_Titles_3_10" localSheetId="5">#REF!</definedName>
    <definedName name="Excel_BuiltIn_Print_Titles_3_10" localSheetId="2">#REF!</definedName>
    <definedName name="Excel_BuiltIn_Print_Titles_3_10" localSheetId="3">#REF!</definedName>
    <definedName name="Excel_BuiltIn_Print_Titles_3_10" localSheetId="1">#REF!</definedName>
    <definedName name="Excel_BuiltIn_Print_Titles_3_10">#REF!</definedName>
    <definedName name="Excel_BuiltIn_Print_Titles_3_12" localSheetId="5">#REF!</definedName>
    <definedName name="Excel_BuiltIn_Print_Titles_3_12" localSheetId="2">#REF!</definedName>
    <definedName name="Excel_BuiltIn_Print_Titles_3_12" localSheetId="3">#REF!</definedName>
    <definedName name="Excel_BuiltIn_Print_Titles_3_12" localSheetId="1">#REF!</definedName>
    <definedName name="Excel_BuiltIn_Print_Titles_3_12">#REF!</definedName>
    <definedName name="Excel_BuiltIn_Print_Titles_3_9" localSheetId="5">#REF!</definedName>
    <definedName name="Excel_BuiltIn_Print_Titles_3_9" localSheetId="2">#REF!</definedName>
    <definedName name="Excel_BuiltIn_Print_Titles_3_9" localSheetId="3">#REF!</definedName>
    <definedName name="Excel_BuiltIn_Print_Titles_3_9" localSheetId="1">#REF!</definedName>
    <definedName name="Excel_BuiltIn_Print_Titles_3_9">#REF!</definedName>
    <definedName name="Excel_BuiltIn_Print_Titles_4" localSheetId="5">#REF!</definedName>
    <definedName name="Excel_BuiltIn_Print_Titles_4" localSheetId="2">#REF!</definedName>
    <definedName name="Excel_BuiltIn_Print_Titles_4" localSheetId="3">#REF!</definedName>
    <definedName name="Excel_BuiltIn_Print_Titles_4" localSheetId="1">#REF!</definedName>
    <definedName name="Excel_BuiltIn_Print_Titles_4">#REF!</definedName>
    <definedName name="Excel_BuiltIn_Print_Titles_4_1" localSheetId="5">#REF!</definedName>
    <definedName name="Excel_BuiltIn_Print_Titles_4_1" localSheetId="2">#REF!</definedName>
    <definedName name="Excel_BuiltIn_Print_Titles_4_1" localSheetId="3">#REF!</definedName>
    <definedName name="Excel_BuiltIn_Print_Titles_4_1" localSheetId="1">#REF!</definedName>
    <definedName name="Excel_BuiltIn_Print_Titles_4_1">#REF!</definedName>
    <definedName name="Excel_BuiltIn_Print_Titles_4_1_1">"$#REF!.$A$1:$AMJ$6"</definedName>
    <definedName name="Excel_BuiltIn_Print_Titles_4_1_10" localSheetId="5">#REF!</definedName>
    <definedName name="Excel_BuiltIn_Print_Titles_4_1_10" localSheetId="2">#REF!</definedName>
    <definedName name="Excel_BuiltIn_Print_Titles_4_1_10" localSheetId="3">#REF!</definedName>
    <definedName name="Excel_BuiltIn_Print_Titles_4_1_10" localSheetId="1">#REF!</definedName>
    <definedName name="Excel_BuiltIn_Print_Titles_4_1_10">#REF!</definedName>
    <definedName name="Excel_BuiltIn_Print_Titles_4_1_12" localSheetId="5">#REF!</definedName>
    <definedName name="Excel_BuiltIn_Print_Titles_4_1_12" localSheetId="2">#REF!</definedName>
    <definedName name="Excel_BuiltIn_Print_Titles_4_1_12" localSheetId="3">#REF!</definedName>
    <definedName name="Excel_BuiltIn_Print_Titles_4_1_12" localSheetId="1">#REF!</definedName>
    <definedName name="Excel_BuiltIn_Print_Titles_4_1_12">#REF!</definedName>
    <definedName name="Excel_BuiltIn_Print_Titles_4_1_9" localSheetId="5">#REF!</definedName>
    <definedName name="Excel_BuiltIn_Print_Titles_4_1_9" localSheetId="2">#REF!</definedName>
    <definedName name="Excel_BuiltIn_Print_Titles_4_1_9" localSheetId="3">#REF!</definedName>
    <definedName name="Excel_BuiltIn_Print_Titles_4_1_9" localSheetId="1">#REF!</definedName>
    <definedName name="Excel_BuiltIn_Print_Titles_4_1_9">#REF!</definedName>
    <definedName name="Excel_BuiltIn_Print_Titles_5" localSheetId="5">#REF!</definedName>
    <definedName name="Excel_BuiltIn_Print_Titles_5" localSheetId="2">#REF!</definedName>
    <definedName name="Excel_BuiltIn_Print_Titles_5" localSheetId="3">#REF!</definedName>
    <definedName name="Excel_BuiltIn_Print_Titles_5" localSheetId="1">#REF!</definedName>
    <definedName name="Excel_BuiltIn_Print_Titles_5">#REF!</definedName>
    <definedName name="Excel_BuiltIn_Print_Titles_5_1" localSheetId="5">#REF!</definedName>
    <definedName name="Excel_BuiltIn_Print_Titles_5_1" localSheetId="2">#REF!</definedName>
    <definedName name="Excel_BuiltIn_Print_Titles_5_1" localSheetId="3">#REF!</definedName>
    <definedName name="Excel_BuiltIn_Print_Titles_5_1" localSheetId="1">#REF!</definedName>
    <definedName name="Excel_BuiltIn_Print_Titles_5_1">#REF!</definedName>
    <definedName name="Excel_BuiltIn_Print_Titles_5_1_1" localSheetId="5">#REF!</definedName>
    <definedName name="Excel_BuiltIn_Print_Titles_5_1_1" localSheetId="2">#REF!</definedName>
    <definedName name="Excel_BuiltIn_Print_Titles_5_1_1" localSheetId="3">#REF!</definedName>
    <definedName name="Excel_BuiltIn_Print_Titles_5_1_1" localSheetId="1">#REF!</definedName>
    <definedName name="Excel_BuiltIn_Print_Titles_5_1_1">#REF!</definedName>
    <definedName name="Excel_BuiltIn_Print_Titles_5_1_1_1" localSheetId="5">#REF!</definedName>
    <definedName name="Excel_BuiltIn_Print_Titles_5_1_1_1" localSheetId="2">#REF!</definedName>
    <definedName name="Excel_BuiltIn_Print_Titles_5_1_1_1" localSheetId="3">#REF!</definedName>
    <definedName name="Excel_BuiltIn_Print_Titles_5_1_1_1" localSheetId="1">#REF!</definedName>
    <definedName name="Excel_BuiltIn_Print_Titles_5_1_1_1">#REF!</definedName>
    <definedName name="Excel_BuiltIn_Print_Titles_6">"$#REF!.$A$1:$AMJ$6"</definedName>
    <definedName name="Excel_BuiltIn_Print_Titles_6_1" localSheetId="5">#REF!</definedName>
    <definedName name="Excel_BuiltIn_Print_Titles_6_1" localSheetId="2">#REF!</definedName>
    <definedName name="Excel_BuiltIn_Print_Titles_6_1" localSheetId="3">#REF!</definedName>
    <definedName name="Excel_BuiltIn_Print_Titles_6_1" localSheetId="1">#REF!</definedName>
    <definedName name="Excel_BuiltIn_Print_Titles_6_1">#REF!</definedName>
    <definedName name="Excel_BuiltIn_Print_Titles_6_2" localSheetId="5">#REF!</definedName>
    <definedName name="Excel_BuiltIn_Print_Titles_6_2" localSheetId="2">#REF!</definedName>
    <definedName name="Excel_BuiltIn_Print_Titles_6_2" localSheetId="3">#REF!</definedName>
    <definedName name="Excel_BuiltIn_Print_Titles_6_2" localSheetId="1">#REF!</definedName>
    <definedName name="Excel_BuiltIn_Print_Titles_6_2">#REF!</definedName>
    <definedName name="Excel_BuiltIn_Print_Titles_7" localSheetId="5">#REF!</definedName>
    <definedName name="Excel_BuiltIn_Print_Titles_7" localSheetId="2">#REF!</definedName>
    <definedName name="Excel_BuiltIn_Print_Titles_7" localSheetId="3">#REF!</definedName>
    <definedName name="Excel_BuiltIn_Print_Titles_7" localSheetId="1">#REF!</definedName>
    <definedName name="Excel_BuiltIn_Print_Titles_7">#REF!</definedName>
    <definedName name="Excel_BuiltIn_Print_Titles_8" localSheetId="5">#REF!</definedName>
    <definedName name="Excel_BuiltIn_Print_Titles_8" localSheetId="2">#REF!</definedName>
    <definedName name="Excel_BuiltIn_Print_Titles_8" localSheetId="3">#REF!</definedName>
    <definedName name="Excel_BuiltIn_Print_Titles_8" localSheetId="1">#REF!</definedName>
    <definedName name="Excel_BuiltIn_Print_Titles_8">#REF!</definedName>
    <definedName name="Excel_BuiltIn_Print_Titles_9" localSheetId="5">#REF!</definedName>
    <definedName name="Excel_BuiltIn_Print_Titles_9" localSheetId="2">#REF!</definedName>
    <definedName name="Excel_BuiltIn_Print_Titles_9" localSheetId="3">#REF!</definedName>
    <definedName name="Excel_BuiltIn_Print_Titles_9" localSheetId="1">#REF!</definedName>
    <definedName name="Excel_BuiltIn_Print_Titles_9">#REF!</definedName>
    <definedName name="exp">[2]Insumos!$E$623</definedName>
    <definedName name="Extenso">#N/A</definedName>
    <definedName name="faad5_" localSheetId="5">[1]Insumos!$H$203</definedName>
    <definedName name="faad5_">[1]Insumos!$H$203</definedName>
    <definedName name="faz" localSheetId="5">[1]Insumos!$H$1036</definedName>
    <definedName name="faz">[1]Insumos!$H$1036</definedName>
    <definedName name="fcm">[2]Insumos!$E$143</definedName>
    <definedName name="FCPA">NA()</definedName>
    <definedName name="fec" localSheetId="5">[1]Insumos!$H$520</definedName>
    <definedName name="fec">[1]Insumos!$H$520</definedName>
    <definedName name="fer">[2]Insumos!$E$64</definedName>
    <definedName name="ferev" localSheetId="5">[1]Insumos!$H$511</definedName>
    <definedName name="ferev">[1]Insumos!$H$511</definedName>
    <definedName name="ferram">[4]Insumos!$C$9</definedName>
    <definedName name="ferram_1">NA()</definedName>
    <definedName name="ferram_5">NA()</definedName>
    <definedName name="ferram_6">NA()</definedName>
    <definedName name="fev">[2]Insumos!$E$71</definedName>
    <definedName name="fgl">[2]Insumos!$E$127</definedName>
    <definedName name="fic" localSheetId="5">[1]Insumos!$H$522</definedName>
    <definedName name="fic">[1]Insumos!$H$522</definedName>
    <definedName name="fill" localSheetId="5">[1]Insumos!$H$46</definedName>
    <definedName name="fill">[1]Insumos!$H$46</definedName>
    <definedName name="fio2e5">[4]Insumos!$C$146</definedName>
    <definedName name="fio2e5_1">NA()</definedName>
    <definedName name="fio2e5_5">NA()</definedName>
    <definedName name="fio2e5_6">NA()</definedName>
    <definedName name="fioa4">[2]Insumos!$E$351</definedName>
    <definedName name="fiom">[2]Insumos!$E$352</definedName>
    <definedName name="fiot">[2]Insumos!$E$350</definedName>
    <definedName name="fjo" localSheetId="5">[1]Insumos!$H$1466</definedName>
    <definedName name="fjo">[1]Insumos!$H$1466</definedName>
    <definedName name="fpc5x25" localSheetId="5">[1]Insumos!$H$229</definedName>
    <definedName name="fpc5x25">[1]Insumos!$H$229</definedName>
    <definedName name="fpc5x30" localSheetId="5">[1]Insumos!$H$230</definedName>
    <definedName name="fpc5x30">[1]Insumos!$H$230</definedName>
    <definedName name="fpc5x40" localSheetId="5">[1]Insumos!$H$231</definedName>
    <definedName name="fpc5x40">[1]Insumos!$H$231</definedName>
    <definedName name="fpm5x25" localSheetId="5">[1]Insumos!$H$228</definedName>
    <definedName name="fpm5x25">[1]Insumos!$H$228</definedName>
    <definedName name="fpsf" localSheetId="5">[1]Insumos!$H$232</definedName>
    <definedName name="fpsf">[1]Insumos!$H$232</definedName>
    <definedName name="frc">[2]Insumos!$E$249</definedName>
    <definedName name="frnh" localSheetId="5">[1]Insumos!$H$1471</definedName>
    <definedName name="frnh">[1]Insumos!$H$1471</definedName>
    <definedName name="frp">[2]Insumos!$E$126</definedName>
    <definedName name="fsgersfdgf" localSheetId="5">[5]Insumos!$F$535</definedName>
    <definedName name="fsgersfdgf">[5]Insumos!$F$535</definedName>
    <definedName name="ftcp50" localSheetId="5">[1]Insumos!$H$1191</definedName>
    <definedName name="ftcp50">[1]Insumos!$H$1191</definedName>
    <definedName name="ftp">[2]Insumos!$E$128</definedName>
    <definedName name="fvs" localSheetId="5">[1]Insumos!$H$972</definedName>
    <definedName name="fvs">[1]Insumos!$H$972</definedName>
    <definedName name="gabl" localSheetId="5">[1]Insumos!$H$1026</definedName>
    <definedName name="gabl">[1]Insumos!$H$1026</definedName>
    <definedName name="gabl1" localSheetId="5">[1]Insumos!$H$1027</definedName>
    <definedName name="gabl1">[1]Insumos!$H$1027</definedName>
    <definedName name="gabl2" localSheetId="5">[1]Insumos!$H$1025</definedName>
    <definedName name="gabl2">[1]Insumos!$H$1025</definedName>
    <definedName name="gabl3" localSheetId="5">[1]Insumos!$H$1023</definedName>
    <definedName name="gabl3">[1]Insumos!$H$1023</definedName>
    <definedName name="gabl4" localSheetId="5">[1]Insumos!$H$1024</definedName>
    <definedName name="gabl4">[1]Insumos!$H$1024</definedName>
    <definedName name="gang4" localSheetId="5">[1]Insumos!$H$1287</definedName>
    <definedName name="gang4">[1]Insumos!$H$1287</definedName>
    <definedName name="gang6" localSheetId="5">[1]Insumos!$H$1289</definedName>
    <definedName name="gang6">[1]Insumos!$H$1289</definedName>
    <definedName name="GAS">[2]Equipamentos!$A$13</definedName>
    <definedName name="gcm">[2]Insumos!$E$202</definedName>
    <definedName name="gml">[2]Insumos!$E$235</definedName>
    <definedName name="gpc20x50" localSheetId="5">[1]Insumos!$H$1022</definedName>
    <definedName name="gpc20x50">[1]Insumos!$H$1022</definedName>
    <definedName name="gptm" localSheetId="5">[1]Insumos!$H$611</definedName>
    <definedName name="gptm">[1]Insumos!$H$611</definedName>
    <definedName name="grd">[2]Insumos!$E$211</definedName>
    <definedName name="GRI">[2]Equipamentos!$P$30</definedName>
    <definedName name="grm">[2]Insumos!$E$90</definedName>
    <definedName name="GRP">[2]Equipamentos!$N$30</definedName>
    <definedName name="grpaf" localSheetId="5">[1]Insumos!$H$101</definedName>
    <definedName name="grpaf">[1]Insumos!$H$101</definedName>
    <definedName name="grx">[2]Insumos!$E$574</definedName>
    <definedName name="gsgd33" localSheetId="5">[1]Insumos!$H$733</definedName>
    <definedName name="gsgd33">[1]Insumos!$H$733</definedName>
    <definedName name="gtfg5x20" localSheetId="5">[1]Insumos!$H$402</definedName>
    <definedName name="gtfg5x20">[1]Insumos!$H$402</definedName>
    <definedName name="gtfg5x20_1" localSheetId="5">[1]Insumos!$H$401</definedName>
    <definedName name="gtfg5x20_1">[1]Insumos!$H$401</definedName>
    <definedName name="h2o10" localSheetId="5">[1]Insumos!$H$1033</definedName>
    <definedName name="h2o10">[1]Insumos!$H$1033</definedName>
    <definedName name="hac5_8_1" localSheetId="5">[1]Insumos!$H$722</definedName>
    <definedName name="hac5_8_1">[1]Insumos!$H$722</definedName>
    <definedName name="hac5_8_3_1" localSheetId="5">[1]Insumos!$H$723</definedName>
    <definedName name="hac5_8_3_1">[1]Insumos!$H$723</definedName>
    <definedName name="hidro" localSheetId="5">[1]Insumos!$H$888</definedName>
    <definedName name="hidro">[1]Insumos!$H$888</definedName>
    <definedName name="hidro1" localSheetId="5">[1]Insumos!$H$887</definedName>
    <definedName name="hidro1">[1]Insumos!$H$887</definedName>
    <definedName name="hrg" localSheetId="5">[1]Insumos!$H$362</definedName>
    <definedName name="hrg">[1]Insumos!$H$362</definedName>
    <definedName name="ijz" localSheetId="5">[1]Insumos!$H$1417</definedName>
    <definedName name="ijz">[1]Insumos!$H$1417</definedName>
    <definedName name="instc" localSheetId="5">[1]Insumos!$H$57</definedName>
    <definedName name="instc">[1]Insumos!$H$57</definedName>
    <definedName name="ipc">[2]Insumos!$E$281</definedName>
    <definedName name="ipf">[2]Insumos!$E$282</definedName>
    <definedName name="ispl12" localSheetId="5">[1]Insumos!$H$750</definedName>
    <definedName name="ispl12">[1]Insumos!$H$750</definedName>
    <definedName name="ispl18" localSheetId="5">[1]Insumos!$H$751</definedName>
    <definedName name="ispl18">[1]Insumos!$H$751</definedName>
    <definedName name="ispl24" localSheetId="5">[1]Insumos!$H$752</definedName>
    <definedName name="ispl24">[1]Insumos!$H$752</definedName>
    <definedName name="ispl9" localSheetId="5">[1]Insumos!$H$749</definedName>
    <definedName name="ispl9">[1]Insumos!$H$749</definedName>
    <definedName name="ittp1">[2]Insumos!$E$312</definedName>
    <definedName name="ittwp1" localSheetId="5">[1]Insumos!$H$621</definedName>
    <definedName name="ittwp1">[1]Insumos!$H$621</definedName>
    <definedName name="itup1">[2]Insumos!$E$308</definedName>
    <definedName name="itup2">[2]Insumos!$E$309</definedName>
    <definedName name="itup3">[2]Insumos!$E$310</definedName>
    <definedName name="iusp1">[2]Insumos!$E$305</definedName>
    <definedName name="jef">[2]Insumos!$E$207</definedName>
    <definedName name="jef150x110">[2]Insumos!$E$209</definedName>
    <definedName name="jef180x110">[2]Insumos!$E$210</definedName>
    <definedName name="jef190x100">[2]Insumos!$E$210</definedName>
    <definedName name="jef200_110">[2]Insumos!$E$208</definedName>
    <definedName name="jef200x110">[2]Insumos!$E$208</definedName>
    <definedName name="jef251x110" localSheetId="5">[1]Insumos!$H$458</definedName>
    <definedName name="jef251x110">[1]Insumos!$H$458</definedName>
    <definedName name="jef251x130" localSheetId="5">[1]Insumos!$H$459</definedName>
    <definedName name="jef251x130">[1]Insumos!$H$459</definedName>
    <definedName name="jef400x110" localSheetId="5">[1]Insumos!$H$460</definedName>
    <definedName name="jef400x110">[1]Insumos!$H$460</definedName>
    <definedName name="jfq">[2]Insumos!$E$204</definedName>
    <definedName name="jfq100x110">[2]Insumos!$E$206</definedName>
    <definedName name="jfq150x110">[2]Insumos!$E$205</definedName>
    <definedName name="jfq200x110" localSheetId="5">[1]Insumos!$H$448</definedName>
    <definedName name="jfq200x110">[1]Insumos!$H$448</definedName>
    <definedName name="jfq200x90" localSheetId="5">[1]Insumos!$H$449</definedName>
    <definedName name="jfq200x90">[1]Insumos!$H$449</definedName>
    <definedName name="jfq310x110" localSheetId="5">[1]Insumos!$H$452</definedName>
    <definedName name="jfq310x110">[1]Insumos!$H$452</definedName>
    <definedName name="jfq360x110" localSheetId="5">[1]Insumos!$H$451</definedName>
    <definedName name="jfq360x110">[1]Insumos!$H$451</definedName>
    <definedName name="jfq390x110" localSheetId="5">[1]Insumos!$H$450</definedName>
    <definedName name="jfq390x110">[1]Insumos!$H$450</definedName>
    <definedName name="jfqm" localSheetId="5">[1]Insumos!$H$445</definedName>
    <definedName name="jfqm">[1]Insumos!$H$445</definedName>
    <definedName name="jla1\220">[2]Insumos!$E$402</definedName>
    <definedName name="jla1_220_1_1" localSheetId="5">[1]Insumos!$H$794</definedName>
    <definedName name="jla1_220_1_1">[1]Insumos!$H$794</definedName>
    <definedName name="jla1_220L" localSheetId="5">[1]Insumos!$H$796</definedName>
    <definedName name="jla1_220L">[1]Insumos!$H$796</definedName>
    <definedName name="jla3_425_" localSheetId="5">[1]Insumos!$H$795</definedName>
    <definedName name="jla3_425_">[1]Insumos!$H$795</definedName>
    <definedName name="jla3_425L" localSheetId="5">[1]Insumos!$H$797</definedName>
    <definedName name="jla3_425L">[1]Insumos!$H$797</definedName>
    <definedName name="jmv">[2]Insumos!$E$211</definedName>
    <definedName name="jmv410x110" localSheetId="5">[1]Insumos!$H$444</definedName>
    <definedName name="jmv410x110">[1]Insumos!$H$444</definedName>
    <definedName name="JR_PAGE_ANCHOR_0_1" localSheetId="5">[9]ORCAMENTO!#REF!</definedName>
    <definedName name="JR_PAGE_ANCHOR_0_1" localSheetId="2">[9]ORCAMENTO!#REF!</definedName>
    <definedName name="JR_PAGE_ANCHOR_0_1" localSheetId="3">[9]ORCAMENTO!#REF!</definedName>
    <definedName name="JR_PAGE_ANCHOR_0_1">[9]ORCAMENTO!#REF!</definedName>
    <definedName name="JR_PAGE_ANCHOR_1_1" localSheetId="5">#REF!</definedName>
    <definedName name="JR_PAGE_ANCHOR_1_1" localSheetId="2">#REF!</definedName>
    <definedName name="JR_PAGE_ANCHOR_1_1" localSheetId="3">#REF!</definedName>
    <definedName name="JR_PAGE_ANCHOR_1_1">#REF!</definedName>
    <definedName name="JR_PAGE_ANCHOR_10_1" localSheetId="5">[9]BDI!#REF!</definedName>
    <definedName name="JR_PAGE_ANCHOR_10_1" localSheetId="2">[9]BDI!#REF!</definedName>
    <definedName name="JR_PAGE_ANCHOR_10_1" localSheetId="3">[9]BDI!#REF!</definedName>
    <definedName name="JR_PAGE_ANCHOR_10_1">[9]BDI!#REF!</definedName>
    <definedName name="JR_PAGE_ANCHOR_11_1" localSheetId="2">'[9]ENCARGOS SOCIAIS'!#REF!</definedName>
    <definedName name="JR_PAGE_ANCHOR_11_1" localSheetId="3">'[9]ENCARGOS SOCIAIS'!#REF!</definedName>
    <definedName name="JR_PAGE_ANCHOR_11_1">'[9]ENCARGOS SOCIAIS'!#REF!</definedName>
    <definedName name="JR_PAGE_ANCHOR_2_1" localSheetId="2">[9]RESUMO!#REF!</definedName>
    <definedName name="JR_PAGE_ANCHOR_2_1" localSheetId="3">[9]RESUMO!#REF!</definedName>
    <definedName name="JR_PAGE_ANCHOR_2_1">[9]RESUMO!#REF!</definedName>
    <definedName name="JR_PAGE_ANCHOR_3_1" localSheetId="2">[9]COMPOSICOES!#REF!</definedName>
    <definedName name="JR_PAGE_ANCHOR_3_1" localSheetId="3">[9]COMPOSICOES!#REF!</definedName>
    <definedName name="JR_PAGE_ANCHOR_3_1">[9]COMPOSICOES!#REF!</definedName>
    <definedName name="JR_PAGE_ANCHOR_4_1" localSheetId="2">'[9]COMPOSICOES PROPRIAS'!#REF!</definedName>
    <definedName name="JR_PAGE_ANCHOR_4_1" localSheetId="3">'[9]COMPOSICOES PROPRIAS'!#REF!</definedName>
    <definedName name="JR_PAGE_ANCHOR_4_1">'[9]COMPOSICOES PROPRIAS'!#REF!</definedName>
    <definedName name="JR_PAGE_ANCHOR_5_1" localSheetId="5">#REF!</definedName>
    <definedName name="JR_PAGE_ANCHOR_5_1" localSheetId="2">#REF!</definedName>
    <definedName name="JR_PAGE_ANCHOR_5_1" localSheetId="3">#REF!</definedName>
    <definedName name="JR_PAGE_ANCHOR_5_1">#REF!</definedName>
    <definedName name="JR_PAGE_ANCHOR_6_1" localSheetId="5">'[9]CURVA ABC SERVICOS'!#REF!</definedName>
    <definedName name="JR_PAGE_ANCHOR_6_1" localSheetId="2">'[9]CURVA ABC SERVICOS'!#REF!</definedName>
    <definedName name="JR_PAGE_ANCHOR_6_1" localSheetId="3">'[9]CURVA ABC SERVICOS'!#REF!</definedName>
    <definedName name="JR_PAGE_ANCHOR_6_1">'[9]CURVA ABC SERVICOS'!#REF!</definedName>
    <definedName name="JR_PAGE_ANCHOR_7_1" localSheetId="5">#REF!</definedName>
    <definedName name="JR_PAGE_ANCHOR_7_1" localSheetId="2">#REF!</definedName>
    <definedName name="JR_PAGE_ANCHOR_7_1" localSheetId="3">#REF!</definedName>
    <definedName name="JR_PAGE_ANCHOR_7_1">#REF!</definedName>
    <definedName name="JR_PAGE_ANCHOR_8_1" localSheetId="5">[9]CRONOGRAMA!#REF!</definedName>
    <definedName name="JR_PAGE_ANCHOR_8_1" localSheetId="2">[9]CRONOGRAMA!#REF!</definedName>
    <definedName name="JR_PAGE_ANCHOR_8_1" localSheetId="3">[9]CRONOGRAMA!#REF!</definedName>
    <definedName name="JR_PAGE_ANCHOR_8_1">[9]CRONOGRAMA!#REF!</definedName>
    <definedName name="JR_PAGE_ANCHOR_9_1" localSheetId="5">#REF!</definedName>
    <definedName name="JR_PAGE_ANCHOR_9_1" localSheetId="2">#REF!</definedName>
    <definedName name="JR_PAGE_ANCHOR_9_1" localSheetId="3">#REF!</definedName>
    <definedName name="JR_PAGE_ANCHOR_9_1">#REF!</definedName>
    <definedName name="JRS">[2]Equipamentos!$F$12</definedName>
    <definedName name="jtp1.5x3">[2]Insumos!$E$607</definedName>
    <definedName name="jtp1_5x3" localSheetId="5">[1]Insumos!$H$1329</definedName>
    <definedName name="jtp1_5x3">[1]Insumos!$H$1329</definedName>
    <definedName name="jtp2_5x4" localSheetId="5">[1]Insumos!$H$1327</definedName>
    <definedName name="jtp2_5x4">[1]Insumos!$H$1327</definedName>
    <definedName name="jtp2x3">[2]Insumos!$E$606</definedName>
    <definedName name="jvm100x110">[2]Insumos!$E$232</definedName>
    <definedName name="jvm120x110">[2]Insumos!$E$233</definedName>
    <definedName name="jvm150x110">[2]Insumos!$E$234</definedName>
    <definedName name="jvtf130x105">[2]Insumos!$E$239</definedName>
    <definedName name="jvtt135x50">[2]Insumos!$E$238</definedName>
    <definedName name="klar">[2]Insumos!$E$404</definedName>
    <definedName name="kprod">[4]Insumos!$C$7</definedName>
    <definedName name="kprod_1">NA()</definedName>
    <definedName name="kprod_5">NA()</definedName>
    <definedName name="kprod_6">NA()</definedName>
    <definedName name="lal_06" localSheetId="5">[1]Insumos!$H$1268</definedName>
    <definedName name="lal_06">[1]Insumos!$H$1268</definedName>
    <definedName name="lal_07" localSheetId="5">[1]Insumos!$H$1269</definedName>
    <definedName name="lal_07">[1]Insumos!$H$1269</definedName>
    <definedName name="lal_09" localSheetId="5">[1]Insumos!$H$1270</definedName>
    <definedName name="lal_09">[1]Insumos!$H$1270</definedName>
    <definedName name="lal_15" localSheetId="5">[1]Insumos!$H$1271</definedName>
    <definedName name="lal_15">[1]Insumos!$H$1271</definedName>
    <definedName name="lal_18" localSheetId="5">[1]Insumos!$H$1272</definedName>
    <definedName name="lal_18">[1]Insumos!$H$1272</definedName>
    <definedName name="lal_19" localSheetId="5">[1]Insumos!$H$1273</definedName>
    <definedName name="lal_19">[1]Insumos!$H$1273</definedName>
    <definedName name="lal_34" localSheetId="5">[1]Insumos!$H$1274</definedName>
    <definedName name="lal_34">[1]Insumos!$H$1274</definedName>
    <definedName name="lal_58" localSheetId="5">[1]Insumos!$H$1275</definedName>
    <definedName name="lal_58">[1]Insumos!$H$1275</definedName>
    <definedName name="lal_59" localSheetId="5">[1]Insumos!$H$1276</definedName>
    <definedName name="lal_59">[1]Insumos!$H$1276</definedName>
    <definedName name="lal_70" localSheetId="5">[1]Insumos!$H$1277</definedName>
    <definedName name="lal_70">[1]Insumos!$H$1277</definedName>
    <definedName name="lal_71" localSheetId="5">[1]Insumos!$H$1278</definedName>
    <definedName name="lal_71">[1]Insumos!$H$1278</definedName>
    <definedName name="largura_cinta" localSheetId="5">#REF!</definedName>
    <definedName name="largura_cinta" localSheetId="2">#REF!</definedName>
    <definedName name="largura_cinta" localSheetId="3">#REF!</definedName>
    <definedName name="largura_cinta" localSheetId="1">#REF!</definedName>
    <definedName name="largura_cinta">#REF!</definedName>
    <definedName name="largura_da_base" localSheetId="5">#REF!</definedName>
    <definedName name="largura_da_base" localSheetId="2">#REF!</definedName>
    <definedName name="largura_da_base" localSheetId="3">#REF!</definedName>
    <definedName name="largura_da_base" localSheetId="1">#REF!</definedName>
    <definedName name="largura_da_base">#REF!</definedName>
    <definedName name="LARGURA_PILAR" localSheetId="5">#REF!</definedName>
    <definedName name="LARGURA_PILAR" localSheetId="2">#REF!</definedName>
    <definedName name="LARGURA_PILAR" localSheetId="3">#REF!</definedName>
    <definedName name="LARGURA_PILAR" localSheetId="1">#REF!</definedName>
    <definedName name="LARGURA_PILAR">#REF!</definedName>
    <definedName name="largura_vala" localSheetId="5">#REF!</definedName>
    <definedName name="largura_vala" localSheetId="2">#REF!</definedName>
    <definedName name="largura_vala" localSheetId="3">#REF!</definedName>
    <definedName name="largura_vala" localSheetId="1">#REF!</definedName>
    <definedName name="largura_vala">#REF!</definedName>
    <definedName name="lca5e" localSheetId="5">[1]Insumos!$H$762</definedName>
    <definedName name="lca5e">[1]Insumos!$H$762</definedName>
    <definedName name="lcpl20" localSheetId="5">[1]Insumos!$H$591</definedName>
    <definedName name="lcpl20">[1]Insumos!$H$591</definedName>
    <definedName name="lcpl20s" localSheetId="5">[1]Insumos!$H$592</definedName>
    <definedName name="lcpl20s">[1]Insumos!$H$592</definedName>
    <definedName name="ldr10_1" localSheetId="5">[1]Insumos!$H$1403</definedName>
    <definedName name="ldr10_1">[1]Insumos!$H$1403</definedName>
    <definedName name="lem2x8" localSheetId="5">[1]Insumos!$H$590</definedName>
    <definedName name="lem2x8">[1]Insumos!$H$590</definedName>
    <definedName name="lfl2x40">[2]Insumos!$E$293</definedName>
    <definedName name="lgtm" localSheetId="5">[1]Insumos!$H$603</definedName>
    <definedName name="lgtm">[1]Insumos!$H$603</definedName>
    <definedName name="lh20x20" localSheetId="5">[1]Insumos!$H$202</definedName>
    <definedName name="lh20x20">[1]Insumos!$H$202</definedName>
    <definedName name="lh25x25" localSheetId="5">[1]Insumos!$H$201</definedName>
    <definedName name="lh25x25">[1]Insumos!$H$201</definedName>
    <definedName name="liga1">[2]Insumos!$E$707</definedName>
    <definedName name="liga2">[2]Insumos!$E$708</definedName>
    <definedName name="liga3">[2]Insumos!$E$709</definedName>
    <definedName name="ligaa" localSheetId="5">[1]Insumos!$H$1444</definedName>
    <definedName name="ligaa">[1]Insumos!$H$1444</definedName>
    <definedName name="ligae" localSheetId="5">[1]Insumos!$H$1443</definedName>
    <definedName name="ligae">[1]Insumos!$H$1443</definedName>
    <definedName name="lige1">[2]Insumos!$E$710</definedName>
    <definedName name="lige2">[2]Insumos!$E$711</definedName>
    <definedName name="lige3">[2]Insumos!$E$712</definedName>
    <definedName name="ligee1" localSheetId="5">[1]Insumos!$H$1451</definedName>
    <definedName name="ligee1">[1]Insumos!$H$1451</definedName>
    <definedName name="lim">[2]Insumos!$E$622</definedName>
    <definedName name="linha_das_paredes" localSheetId="5">#REF!</definedName>
    <definedName name="linha_das_paredes" localSheetId="2">#REF!</definedName>
    <definedName name="linha_das_paredes" localSheetId="3">#REF!</definedName>
    <definedName name="linha_das_paredes">#REF!</definedName>
    <definedName name="lit5x15" localSheetId="5">[1]Insumos!$H$234</definedName>
    <definedName name="lit5x15">[1]Insumos!$H$234</definedName>
    <definedName name="lit5x30" localSheetId="5">[1]Insumos!$H$235</definedName>
    <definedName name="lit5x30">[1]Insumos!$H$235</definedName>
    <definedName name="llb">[2]Insumos!$E$472</definedName>
    <definedName name="llbc" localSheetId="5">[1]Insumos!$H$1044</definedName>
    <definedName name="llbc">[1]Insumos!$H$1044</definedName>
    <definedName name="llbs" localSheetId="5">[1]Insumos!$H$1043</definedName>
    <definedName name="llbs">[1]Insumos!$H$1043</definedName>
    <definedName name="lnm">[2]Insumos!$E$145</definedName>
    <definedName name="LOC" localSheetId="5">#REF!</definedName>
    <definedName name="LOC" localSheetId="2">#REF!</definedName>
    <definedName name="LOC" localSheetId="3">#REF!</definedName>
    <definedName name="LOC">#REF!</definedName>
    <definedName name="lon" localSheetId="5">[1]Insumos!$H$1305</definedName>
    <definedName name="lon">[1]Insumos!$H$1305</definedName>
    <definedName name="lpb">[2]Insumos!$E$471</definedName>
    <definedName name="lpfl20">[2]Insumos!$E$289</definedName>
    <definedName name="lpfl40">[2]Insumos!$E$288</definedName>
    <definedName name="lpm8f">[2]Insumos!$E$125</definedName>
    <definedName name="lpm8p" localSheetId="5">[1]Insumos!$H$261</definedName>
    <definedName name="lpm8p">[1]Insumos!$H$261</definedName>
    <definedName name="lpopl45" localSheetId="5">[1]Insumos!$H$593</definedName>
    <definedName name="lpopl45">[1]Insumos!$H$593</definedName>
    <definedName name="lpt400v" localSheetId="5">[1]Insumos!$H$601</definedName>
    <definedName name="lpt400v">[1]Insumos!$H$601</definedName>
    <definedName name="lrfg50_40" localSheetId="5">[1]Insumos!$H$127</definedName>
    <definedName name="lrfg50_40">[1]Insumos!$H$127</definedName>
    <definedName name="lso">'[8]Insumos (não imprimir)'!$C$2</definedName>
    <definedName name="lso_11">"'file:///A:/Dudu-corre%C3%A7%C3%A3o.XLS'#$'Insumos (não imprimir)'.$C$2"</definedName>
    <definedName name="lso_7">"'file:///A:/Dudu-corre%C3%A7%C3%A3o.XLS'#$'Insumos (não imprimir)'.$C$2"</definedName>
    <definedName name="lso_8">"'file:///A:/Dudu-corre%C3%A7%C3%A3o.XLS'#$'Insumos (não imprimir)'.$C$2"</definedName>
    <definedName name="lso_9">"'file:///A:/Dudu-corre%C3%A7%C3%A3o.XLS'#$'Insumos (não imprimir)'.$C$2"</definedName>
    <definedName name="lsoc">[4]Insumos!$C$8</definedName>
    <definedName name="lsoc_1">NA()</definedName>
    <definedName name="lsoc_5">NA()</definedName>
    <definedName name="lsoc_6">NA()</definedName>
    <definedName name="lta">[2]Insumos!$E$596</definedName>
    <definedName name="lub">[2]Insumos!$E$573</definedName>
    <definedName name="lube" localSheetId="5">[1]Insumos!$H$1232</definedName>
    <definedName name="lube">[1]Insumos!$H$1232</definedName>
    <definedName name="lvp1\2">[2]Insumos!$E$428</definedName>
    <definedName name="lvp1_2_1_1" localSheetId="5">[1]Insumos!$H$869</definedName>
    <definedName name="lvp1_2_1_1">[1]Insumos!$H$869</definedName>
    <definedName name="lxa">[2]Insumos!$E$543</definedName>
    <definedName name="mac">[2]Insumos!$E$537</definedName>
    <definedName name="mad">[2]Insumos!$E$144</definedName>
    <definedName name="map">[2]Insumos!$E$535</definedName>
    <definedName name="mas">[2]Insumos!$E$26</definedName>
    <definedName name="mbo">[2]Insumos!$E$536</definedName>
    <definedName name="mbp">[2]Insumos!$E$534</definedName>
    <definedName name="mcr" localSheetId="5">[1]Insumos!$H$1470</definedName>
    <definedName name="mcr">[1]Insumos!$H$1470</definedName>
    <definedName name="medo" localSheetId="5">[1]Insumos!$H$1189</definedName>
    <definedName name="medo">[1]Insumos!$H$1189</definedName>
    <definedName name="mepm" localSheetId="5">[1]Insumos!$H$1188</definedName>
    <definedName name="mepm">[1]Insumos!$H$1188</definedName>
    <definedName name="mepp" localSheetId="5">[1]Insumos!$H$1431</definedName>
    <definedName name="mepp">[1]Insumos!$H$1431</definedName>
    <definedName name="mftp">[2]Insumos!$E$132</definedName>
    <definedName name="mgr">[2]Insumos!$E$122</definedName>
    <definedName name="mgr11_4x50" localSheetId="5">[1]Insumos!$H$923</definedName>
    <definedName name="mgr11_4x50">[1]Insumos!$H$923</definedName>
    <definedName name="mgr1x50" localSheetId="5">[1]Insumos!$H$922</definedName>
    <definedName name="mgr1x50">[1]Insumos!$H$922</definedName>
    <definedName name="mgr3_4x25" localSheetId="5">[1]Insumos!$H$920</definedName>
    <definedName name="mgr3_4x25">[1]Insumos!$H$920</definedName>
    <definedName name="mgr3_4x50" localSheetId="5">[1]Insumos!$H$921</definedName>
    <definedName name="mgr3_4x50">[1]Insumos!$H$921</definedName>
    <definedName name="mic130x50" localSheetId="5">[1]Insumos!$H$1068</definedName>
    <definedName name="mic130x50">[1]Insumos!$H$1068</definedName>
    <definedName name="mic200x50" localSheetId="5">[1]Insumos!$H$1064</definedName>
    <definedName name="mic200x50">[1]Insumos!$H$1064</definedName>
    <definedName name="mic236x50" localSheetId="5">[1]Insumos!$H$1069</definedName>
    <definedName name="mic236x50">[1]Insumos!$H$1069</definedName>
    <definedName name="mic295x50" localSheetId="5">[1]Insumos!$H$1063</definedName>
    <definedName name="mic295x50">[1]Insumos!$H$1063</definedName>
    <definedName name="mic50x50" localSheetId="5">[1]Insumos!$H$1067</definedName>
    <definedName name="mic50x50">[1]Insumos!$H$1067</definedName>
    <definedName name="mic58x30" localSheetId="5">[1]Insumos!$H$1066</definedName>
    <definedName name="mic58x30">[1]Insumos!$H$1066</definedName>
    <definedName name="mimp1">[2]Insumos!$E$558</definedName>
    <definedName name="mimp2" localSheetId="5">[1]Insumos!$H$1198</definedName>
    <definedName name="mimp2">[1]Insumos!$H$1198</definedName>
    <definedName name="mimp3" localSheetId="5">[1]Insumos!$H$1199</definedName>
    <definedName name="mimp3">[1]Insumos!$H$1199</definedName>
    <definedName name="mjap270" localSheetId="5">[1]Insumos!$H$1436</definedName>
    <definedName name="mjap270">[1]Insumos!$H$1436</definedName>
    <definedName name="mlb">[2]Insumos!$E$487</definedName>
    <definedName name="mmt">[2]Insumos!$E$584</definedName>
    <definedName name="MNI">[2]Equipamentos!$P$23</definedName>
    <definedName name="MNP">[2]Equipamentos!$N$23</definedName>
    <definedName name="mntc" localSheetId="5">[1]Insumos!$H$1410</definedName>
    <definedName name="mntc">[1]Insumos!$H$1410</definedName>
    <definedName name="mnte" localSheetId="5">[1]Insumos!$H$1411</definedName>
    <definedName name="mnte">[1]Insumos!$H$1411</definedName>
    <definedName name="mob">[2]Insumos!$E$694</definedName>
    <definedName name="mpc1_3m" localSheetId="5">[1]Insumos!$H$1439</definedName>
    <definedName name="mpc1_3m">[1]Insumos!$H$1439</definedName>
    <definedName name="mpv" localSheetId="5">[1]Insumos!$H$512</definedName>
    <definedName name="mpv">[1]Insumos!$H$512</definedName>
    <definedName name="mqp">[2]Insumos!$E$608</definedName>
    <definedName name="mra" localSheetId="5">[1]Insumos!$H$56</definedName>
    <definedName name="mra">[1]Insumos!$H$56</definedName>
    <definedName name="msm" localSheetId="5">[1]Insumos!$H$1468</definedName>
    <definedName name="msm">[1]Insumos!$H$1468</definedName>
    <definedName name="msv">[2]Insumos!$E$431</definedName>
    <definedName name="mtpn36" localSheetId="5">[1]Insumos!$H$1416</definedName>
    <definedName name="mtpn36">[1]Insumos!$H$1416</definedName>
    <definedName name="mud">[2]Insumos!$E$568</definedName>
    <definedName name="mult" localSheetId="5">#REF!</definedName>
    <definedName name="mult" localSheetId="2">#REF!</definedName>
    <definedName name="mult" localSheetId="3">#REF!</definedName>
    <definedName name="mult">#REF!</definedName>
    <definedName name="mvb">[2]Insumos!$E$565</definedName>
    <definedName name="nip1_2" localSheetId="5">[1]Insumos!$H$895</definedName>
    <definedName name="nip1_2">[1]Insumos!$H$895</definedName>
    <definedName name="nip3_4" localSheetId="5">[1]Insumos!$H$896</definedName>
    <definedName name="nip3_4">[1]Insumos!$H$896</definedName>
    <definedName name="niv" localSheetId="5">[1]Insumos!$H$1414</definedName>
    <definedName name="niv">[1]Insumos!$H$1414</definedName>
    <definedName name="ocb1a" localSheetId="5">[1]Insumos!$H$1229</definedName>
    <definedName name="ocb1a">[1]Insumos!$H$1229</definedName>
    <definedName name="odi">[2]Insumos!$E$572</definedName>
    <definedName name="ofi">[2]Insumos!$E$16</definedName>
    <definedName name="ofic">[4]Insumos!$C$6</definedName>
    <definedName name="ofic_1">NA()</definedName>
    <definedName name="ofic_5">NA()</definedName>
    <definedName name="ofic_6">NA()</definedName>
    <definedName name="oqx">[2]Insumos!$E$547</definedName>
    <definedName name="osj" localSheetId="5">[1]Insumos!$H$1469</definedName>
    <definedName name="osj">[1]Insumos!$H$1469</definedName>
    <definedName name="paeu11_2x3_4" localSheetId="5">[1]Insumos!$H$160</definedName>
    <definedName name="paeu11_2x3_4">[1]Insumos!$H$160</definedName>
    <definedName name="paeu11_4x5_8" localSheetId="5">[1]Insumos!$H$161</definedName>
    <definedName name="paeu11_4x5_8">[1]Insumos!$H$161</definedName>
    <definedName name="paeu21_2x11_4" localSheetId="5">[1]Insumos!$H$159</definedName>
    <definedName name="paeu21_2x11_4">[1]Insumos!$H$159</definedName>
    <definedName name="paeu3x11_2" localSheetId="5">[1]Insumos!$H$158</definedName>
    <definedName name="paeu3x11_2">[1]Insumos!$H$158</definedName>
    <definedName name="paeu6x2" localSheetId="5">[1]Insumos!$H$157</definedName>
    <definedName name="paeu6x2">[1]Insumos!$H$157</definedName>
    <definedName name="pal">[2]Insumos!$E$247</definedName>
    <definedName name="pal100x210">[2]Insumos!$E$230</definedName>
    <definedName name="pal60x210">[2]Insumos!$E$226</definedName>
    <definedName name="pal70x210">[2]Insumos!$E$227</definedName>
    <definedName name="pal80x100">[2]Insumos!$E$229</definedName>
    <definedName name="pal80x210">[2]Insumos!$E$228</definedName>
    <definedName name="pan60x160" localSheetId="5">[1]Insumos!$H$379</definedName>
    <definedName name="pan60x160">[1]Insumos!$H$379</definedName>
    <definedName name="pan60x180" localSheetId="5">[1]Insumos!$H$380</definedName>
    <definedName name="pan60x180">[1]Insumos!$H$380</definedName>
    <definedName name="pas10x10" localSheetId="5">[1]Insumos!$H$224</definedName>
    <definedName name="pas10x10">[1]Insumos!$H$224</definedName>
    <definedName name="pas120x8" localSheetId="5">[1]Insumos!$H$225</definedName>
    <definedName name="pas120x8">[1]Insumos!$H$225</definedName>
    <definedName name="pas5x5\1">[2]Insumos!$E$101</definedName>
    <definedName name="pas5x5\2">[2]Insumos!$E$102</definedName>
    <definedName name="pas5x5_1_1" localSheetId="5">[1]Insumos!$H$222</definedName>
    <definedName name="pas5x5_1_1">[1]Insumos!$H$222</definedName>
    <definedName name="pas5x5_2_1" localSheetId="5">[1]Insumos!$H$223</definedName>
    <definedName name="pas5x5_2_1">[1]Insumos!$H$223</definedName>
    <definedName name="PassaExtenso" localSheetId="2">[10]!PassaExtenso</definedName>
    <definedName name="PassaExtenso" localSheetId="3">[10]!PassaExtenso</definedName>
    <definedName name="PassaExtenso" localSheetId="1">[10]!PassaExtenso</definedName>
    <definedName name="PassaExtenso">[10]!PassaExtenso</definedName>
    <definedName name="pav">[2]Insumos!$E$121</definedName>
    <definedName name="pavb" localSheetId="5">[1]Insumos!$H$381</definedName>
    <definedName name="pavb">[1]Insumos!$H$381</definedName>
    <definedName name="pbas">[2]Insumos!$E$87</definedName>
    <definedName name="pbf">[2]Insumos!$E$179</definedName>
    <definedName name="pbf300x210">[2]Insumos!$E$178</definedName>
    <definedName name="pbf80X210">[2]Insumos!$E$180</definedName>
    <definedName name="pbl85x210">[2]Insumos!$E$240</definedName>
    <definedName name="pbr100x210" localSheetId="5">[1]Insumos!$H$468</definedName>
    <definedName name="pbr100x210">[1]Insumos!$H$468</definedName>
    <definedName name="pbr120x210" localSheetId="5">[1]Insumos!$H$469</definedName>
    <definedName name="pbr120x210">[1]Insumos!$H$469</definedName>
    <definedName name="pbr70x210" localSheetId="5">[1]Insumos!$H$466</definedName>
    <definedName name="pbr70x210">[1]Insumos!$H$466</definedName>
    <definedName name="pbr80x210" localSheetId="5">[1]Insumos!$H$467</definedName>
    <definedName name="pbr80x210">[1]Insumos!$H$467</definedName>
    <definedName name="pca145x25">[2]Insumos!$E$521</definedName>
    <definedName name="pca5e" localSheetId="5">[1]Insumos!$H$761</definedName>
    <definedName name="pca5e">[1]Insumos!$H$761</definedName>
    <definedName name="pcdlm" localSheetId="5">[1]Insumos!$H$58</definedName>
    <definedName name="pcdlm">[1]Insumos!$H$58</definedName>
    <definedName name="pcdz" localSheetId="5">[1]Insumos!$H$531</definedName>
    <definedName name="pcdz">[1]Insumos!$H$531</definedName>
    <definedName name="pcf100x210" localSheetId="5">[1]Insumos!$H$373</definedName>
    <definedName name="pcf100x210">[1]Insumos!$H$373</definedName>
    <definedName name="pcf130x110" localSheetId="5">[1]Insumos!$H$366</definedName>
    <definedName name="pcf130x110">[1]Insumos!$H$366</definedName>
    <definedName name="pcf150x210">[2]Insumos!$E$174</definedName>
    <definedName name="pcf200x210">[2]Insumos!$E$173</definedName>
    <definedName name="pcf250x210">[2]Insumos!$E$174</definedName>
    <definedName name="pcf60x180">[2]Insumos!$E$172</definedName>
    <definedName name="pcf60x210" localSheetId="5">[1]Insumos!$H$368</definedName>
    <definedName name="pcf60x210">[1]Insumos!$H$368</definedName>
    <definedName name="pcf70x210" localSheetId="5">[1]Insumos!$H$369</definedName>
    <definedName name="pcf70x210">[1]Insumos!$H$369</definedName>
    <definedName name="pcf80x210" localSheetId="5">[1]Insumos!$H$370</definedName>
    <definedName name="pcf80x210">[1]Insumos!$H$370</definedName>
    <definedName name="pcf80x80" localSheetId="5">[1]Insumos!$H$365</definedName>
    <definedName name="pcf80x80">[1]Insumos!$H$365</definedName>
    <definedName name="pcf87x210" localSheetId="5">[1]Insumos!$H$371</definedName>
    <definedName name="pcf87x210">[1]Insumos!$H$371</definedName>
    <definedName name="pcf90x210" localSheetId="5">[1]Insumos!$H$372</definedName>
    <definedName name="pcf90x210">[1]Insumos!$H$372</definedName>
    <definedName name="pcg40x20" localSheetId="5">[1]Insumos!$H$1294</definedName>
    <definedName name="pcg40x20">[1]Insumos!$H$1294</definedName>
    <definedName name="pchp" localSheetId="5">[1]Insumos!$H$233</definedName>
    <definedName name="pchp">[1]Insumos!$H$233</definedName>
    <definedName name="pcl160x210" localSheetId="5">[1]Insumos!$H$486</definedName>
    <definedName name="pcl160x210">[1]Insumos!$H$486</definedName>
    <definedName name="pcl180x210" localSheetId="5">[1]Insumos!$H$487</definedName>
    <definedName name="pcl180x210">[1]Insumos!$H$487</definedName>
    <definedName name="pcl200x210" localSheetId="5">[1]Insumos!$H$488</definedName>
    <definedName name="pcl200x210">[1]Insumos!$H$488</definedName>
    <definedName name="pcl50x160">[2]Insumos!$E$218</definedName>
    <definedName name="pcl60x100" localSheetId="5">[1]Insumos!$H$476</definedName>
    <definedName name="pcl60x100">[1]Insumos!$H$476</definedName>
    <definedName name="pcl60x160" localSheetId="5">[1]Insumos!$H$478</definedName>
    <definedName name="pcl60x160">[1]Insumos!$H$478</definedName>
    <definedName name="pcl60x210">[2]Insumos!$E$219</definedName>
    <definedName name="pcl70x180" localSheetId="5">[1]Insumos!$H$481</definedName>
    <definedName name="pcl70x180">[1]Insumos!$H$481</definedName>
    <definedName name="pcl70x210">[2]Insumos!$E$220</definedName>
    <definedName name="pcl80x160" localSheetId="5">[1]Insumos!$H$479</definedName>
    <definedName name="pcl80x160">[1]Insumos!$H$479</definedName>
    <definedName name="pcl80x210">[2]Insumos!$E$221</definedName>
    <definedName name="pcl80x210v">[2]Insumos!$E$222</definedName>
    <definedName name="pcl90x160" localSheetId="5">[1]Insumos!$H$480</definedName>
    <definedName name="pcl90x160">[1]Insumos!$H$480</definedName>
    <definedName name="pcl90x210" localSheetId="5">[1]Insumos!$H$485</definedName>
    <definedName name="pcl90x210">[1]Insumos!$H$485</definedName>
    <definedName name="pclf" localSheetId="5">[1]Insumos!$H$470</definedName>
    <definedName name="pclf">[1]Insumos!$H$470</definedName>
    <definedName name="pclf50x160">[2]Insumos!$E$215</definedName>
    <definedName name="pclf50x60" localSheetId="5">[1]Insumos!$H$471</definedName>
    <definedName name="pclf50x60">[1]Insumos!$H$471</definedName>
    <definedName name="pclf55x110">[2]Insumos!$E$214</definedName>
    <definedName name="pclf60x160">[2]Insumos!$E$216</definedName>
    <definedName name="pclf80x210">[2]Insumos!$E$217</definedName>
    <definedName name="pco">[2]Insumos!$E$595</definedName>
    <definedName name="pcu200x50x2" localSheetId="5">[1]Insumos!$H$162</definedName>
    <definedName name="pcu200x50x2">[1]Insumos!$H$162</definedName>
    <definedName name="pcue100x40x17x2_65" localSheetId="5">[1]Insumos!$H$164</definedName>
    <definedName name="pcue100x40x17x2_65">[1]Insumos!$H$164</definedName>
    <definedName name="pcue100x50x17x2" localSheetId="5">[1]Insumos!$H$163</definedName>
    <definedName name="pcue100x50x17x2">[1]Insumos!$H$163</definedName>
    <definedName name="pdc" localSheetId="5">[1]Insumos!$H$210</definedName>
    <definedName name="pdc">[1]Insumos!$H$210</definedName>
    <definedName name="pdcr" localSheetId="5">[1]Insumos!$H$211</definedName>
    <definedName name="pdcr">[1]Insumos!$H$211</definedName>
    <definedName name="pdm">[2]Insumos!$E$29</definedName>
    <definedName name="pdn80x210">[2]Insumos!$E$231</definedName>
    <definedName name="pdp">[2]Insumos!$E$94</definedName>
    <definedName name="pdq">[2]Insumos!$E$93</definedName>
    <definedName name="pdr" localSheetId="5">[1]Insumos!$H$51</definedName>
    <definedName name="pdr">[1]Insumos!$H$51</definedName>
    <definedName name="pe" localSheetId="5">#REF!</definedName>
    <definedName name="pe" localSheetId="2">#REF!</definedName>
    <definedName name="pe" localSheetId="3">#REF!</definedName>
    <definedName name="pe" localSheetId="1">#REF!</definedName>
    <definedName name="pe">#REF!</definedName>
    <definedName name="PÉ_DIREITO" localSheetId="5">#REF!</definedName>
    <definedName name="PÉ_DIREITO" localSheetId="2">#REF!</definedName>
    <definedName name="PÉ_DIREITO" localSheetId="3">#REF!</definedName>
    <definedName name="PÉ_DIREITO" localSheetId="1">#REF!</definedName>
    <definedName name="PÉ_DIREITO">#REF!</definedName>
    <definedName name="pears" localSheetId="5">[1]Insumos!$H$646</definedName>
    <definedName name="pears">[1]Insumos!$H$646</definedName>
    <definedName name="pedr">[7]FUNDAÇÕES!$E$48</definedName>
    <definedName name="pedr_4" localSheetId="5">#REF!</definedName>
    <definedName name="pedr_4" localSheetId="2">#REF!</definedName>
    <definedName name="pedr_4" localSheetId="3">#REF!</definedName>
    <definedName name="pedr_4" localSheetId="1">#REF!</definedName>
    <definedName name="pedr_4">#REF!</definedName>
    <definedName name="pef" localSheetId="5">[1]Insumos!$H$382</definedName>
    <definedName name="pef">[1]Insumos!$H$382</definedName>
    <definedName name="peir20x45" localSheetId="5">[1]Insumos!$H$1301</definedName>
    <definedName name="peir20x45">[1]Insumos!$H$1301</definedName>
    <definedName name="peir25x45" localSheetId="5">[1]Insumos!$H$1300</definedName>
    <definedName name="peir25x45">[1]Insumos!$H$1300</definedName>
    <definedName name="pem10x50">[2]Insumos!$E$582</definedName>
    <definedName name="PERIMETRO_WC" localSheetId="5">#REF!</definedName>
    <definedName name="PERIMETRO_WC" localSheetId="2">#REF!</definedName>
    <definedName name="PERIMETRO_WC" localSheetId="3">#REF!</definedName>
    <definedName name="PERIMETRO_WC">#REF!</definedName>
    <definedName name="pesv30x45" localSheetId="5">[1]Insumos!$H$1298</definedName>
    <definedName name="pesv30x45">[1]Insumos!$H$1298</definedName>
    <definedName name="pesv50x75" localSheetId="5">[1]Insumos!$H$1299</definedName>
    <definedName name="pesv50x75">[1]Insumos!$H$1299</definedName>
    <definedName name="pfb4_8x40" localSheetId="5">[1]Insumos!$H$339</definedName>
    <definedName name="pfb4_8x40">[1]Insumos!$H$339</definedName>
    <definedName name="pfb4_8x75" localSheetId="5">[1]Insumos!$H$340</definedName>
    <definedName name="pfb4_8x75">[1]Insumos!$H$340</definedName>
    <definedName name="pfb7x65" localSheetId="5">[1]Insumos!$H$341</definedName>
    <definedName name="pfb7x65">[1]Insumos!$H$341</definedName>
    <definedName name="pfb8x100" localSheetId="5">[1]Insumos!$H$342</definedName>
    <definedName name="pfb8x100">[1]Insumos!$H$342</definedName>
    <definedName name="pfg80x6" localSheetId="5">[1]Insumos!$H$557</definedName>
    <definedName name="pfg80x6">[1]Insumos!$H$557</definedName>
    <definedName name="pfqm" localSheetId="5">[1]Insumos!$H$378</definedName>
    <definedName name="pfqm">[1]Insumos!$H$378</definedName>
    <definedName name="pft8x110">[2]Insumos!$E$168</definedName>
    <definedName name="pgr" localSheetId="5">[1]Insumos!$H$538</definedName>
    <definedName name="pgr">[1]Insumos!$H$538</definedName>
    <definedName name="pgr30x30">[2]Insumos!$E$84</definedName>
    <definedName name="pgr40x40">[2]Insumos!$E$83</definedName>
    <definedName name="pgt5x20" localSheetId="5">[1]Insumos!$H$396</definedName>
    <definedName name="pgt5x20">[1]Insumos!$H$396</definedName>
    <definedName name="pgt5x20e" localSheetId="5">[1]Insumos!$H$397</definedName>
    <definedName name="pgt5x20e">[1]Insumos!$H$397</definedName>
    <definedName name="pia">[2]Insumos!$E$691</definedName>
    <definedName name="pian" localSheetId="5">[1]Insumos!$H$1389</definedName>
    <definedName name="pian">[1]Insumos!$H$1389</definedName>
    <definedName name="pic">[2]Insumos!$E$687</definedName>
    <definedName name="pie">[2]Insumos!$E$685</definedName>
    <definedName name="pih">[2]Insumos!$E$688</definedName>
    <definedName name="pii">[2]Insumos!$E$690</definedName>
    <definedName name="pin">[2]Insumos!$E$70</definedName>
    <definedName name="PIP">[2]Equipamentos!$N$32</definedName>
    <definedName name="pis">[2]Insumos!$E$689</definedName>
    <definedName name="pit">[2]Insumos!$E$686</definedName>
    <definedName name="piv">[2]Insumos!$E$69</definedName>
    <definedName name="plb">[2]Insumos!$E$488</definedName>
    <definedName name="plc">[2]Insumos!$E$142</definedName>
    <definedName name="plc3x3">[2]Insumos!$E$331</definedName>
    <definedName name="plc4x2" localSheetId="5">[1]Insumos!$H$642</definedName>
    <definedName name="plc4x2">[1]Insumos!$H$642</definedName>
    <definedName name="plc4x4" localSheetId="5">[1]Insumos!$H$644</definedName>
    <definedName name="plc4x4">[1]Insumos!$H$644</definedName>
    <definedName name="plie" localSheetId="5">[1]Insumos!$H$1038</definedName>
    <definedName name="plie">[1]Insumos!$H$1038</definedName>
    <definedName name="pmr">[2]Insumos!$E$120</definedName>
    <definedName name="pms">[2]Insumos!$E$146</definedName>
    <definedName name="pomr150x210">[2]Insumos!$E$224</definedName>
    <definedName name="pomr165x210">[2]Insumos!$E$225</definedName>
    <definedName name="pomr80x210">[2]Insumos!$E$223</definedName>
    <definedName name="ppa24_6" localSheetId="5">[1]Insumos!$H$764</definedName>
    <definedName name="ppa24_6">[1]Insumos!$H$764</definedName>
    <definedName name="ppb">[2]Insumos!$E$489</definedName>
    <definedName name="pphi" localSheetId="5">[1]Insumos!$H$1084</definedName>
    <definedName name="pphi">[1]Insumos!$H$1084</definedName>
    <definedName name="pphl">[2]Insumos!$E$493</definedName>
    <definedName name="pphp">[2]Insumos!$E$494</definedName>
    <definedName name="ppmc" localSheetId="5">[1]Insumos!$H$214</definedName>
    <definedName name="ppmc">[1]Insumos!$H$214</definedName>
    <definedName name="ppmi" localSheetId="5">[1]Insumos!$H$213</definedName>
    <definedName name="ppmi">[1]Insumos!$H$213</definedName>
    <definedName name="ppp">[2]Insumos!$E$96</definedName>
    <definedName name="ppt">[2]Insumos!$E$95</definedName>
    <definedName name="PREF" localSheetId="5">[1]Dados!$B$15</definedName>
    <definedName name="PREF">[1]Dados!$B$15</definedName>
    <definedName name="prg">[2]Insumos!$E$169</definedName>
    <definedName name="prl250m">[2]Insumos!$E$286</definedName>
    <definedName name="prli" localSheetId="5">[1]Insumos!$H$1190</definedName>
    <definedName name="prli">[1]Insumos!$H$1190</definedName>
    <definedName name="prnch">[4]Insumos!$C$39</definedName>
    <definedName name="prnch_1">NA()</definedName>
    <definedName name="prnch_5">NA()</definedName>
    <definedName name="prnch_6">NA()</definedName>
    <definedName name="prs3_8" localSheetId="5">[1]Insumos!$H$334</definedName>
    <definedName name="prs3_8">[1]Insumos!$H$334</definedName>
    <definedName name="prsv" localSheetId="5">[1]Insumos!$H$1295</definedName>
    <definedName name="prsv">[1]Insumos!$H$1295</definedName>
    <definedName name="prsv30x45" localSheetId="5">[1]Insumos!$H$1296</definedName>
    <definedName name="prsv30x45">[1]Insumos!$H$1296</definedName>
    <definedName name="prsv50x75" localSheetId="5">[1]Insumos!$H$1297</definedName>
    <definedName name="prsv50x75">[1]Insumos!$H$1297</definedName>
    <definedName name="pshi" localSheetId="5">[1]Insumos!$H$1086</definedName>
    <definedName name="pshi">[1]Insumos!$H$1086</definedName>
    <definedName name="pshp" localSheetId="5">[1]Insumos!$H$1085</definedName>
    <definedName name="pshp">[1]Insumos!$H$1085</definedName>
    <definedName name="psi">[2]Insumos!$E$496</definedName>
    <definedName name="pslp">[2]Insumos!$E$495</definedName>
    <definedName name="pso" localSheetId="5">[1]Insumos!$H$1459</definedName>
    <definedName name="pso">[1]Insumos!$H$1459</definedName>
    <definedName name="psp" localSheetId="5">[1]Insumos!$H$1080</definedName>
    <definedName name="psp">[1]Insumos!$H$1080</definedName>
    <definedName name="pss" localSheetId="5">[1]Insumos!$H$1037</definedName>
    <definedName name="pss">[1]Insumos!$H$1037</definedName>
    <definedName name="ptb25x25" localSheetId="5">[1]Insumos!$H$200</definedName>
    <definedName name="ptb25x25">[1]Insumos!$H$200</definedName>
    <definedName name="ptcf100x210" localSheetId="5">[1]Insumos!$H$388</definedName>
    <definedName name="ptcf100x210">[1]Insumos!$H$388</definedName>
    <definedName name="ptcf160x220" localSheetId="5">[1]Insumos!$H$390</definedName>
    <definedName name="ptcf160x220">[1]Insumos!$H$390</definedName>
    <definedName name="ptcf200x200" localSheetId="5">[1]Insumos!$H$395</definedName>
    <definedName name="ptcf200x200">[1]Insumos!$H$395</definedName>
    <definedName name="ptcf220x240" localSheetId="5">[1]Insumos!$H$391</definedName>
    <definedName name="ptcf220x240">[1]Insumos!$H$391</definedName>
    <definedName name="ptcf300x210" localSheetId="5">[1]Insumos!$H$389</definedName>
    <definedName name="ptcf300x210">[1]Insumos!$H$389</definedName>
    <definedName name="ptcf420x250" localSheetId="5">[1]Insumos!$H$393</definedName>
    <definedName name="ptcf420x250">[1]Insumos!$H$393</definedName>
    <definedName name="ptcf500x200" localSheetId="5">[1]Insumos!$H$394</definedName>
    <definedName name="ptcf500x200">[1]Insumos!$H$394</definedName>
    <definedName name="ptcf70x210" localSheetId="5">[1]Insumos!$H$387</definedName>
    <definedName name="ptcf70x210">[1]Insumos!$H$387</definedName>
    <definedName name="ptcf90x100" localSheetId="5">[1]Insumos!$H$386</definedName>
    <definedName name="ptcf90x100">[1]Insumos!$H$386</definedName>
    <definedName name="ptfg10" localSheetId="5">[1]Insumos!$H$556</definedName>
    <definedName name="ptfg10">[1]Insumos!$H$556</definedName>
    <definedName name="ptfg9" localSheetId="5">[1]Insumos!$H$555</definedName>
    <definedName name="ptfg9">[1]Insumos!$H$555</definedName>
    <definedName name="pti" localSheetId="5">[1]Insumos!$H$1077</definedName>
    <definedName name="pti">[1]Insumos!$H$1077</definedName>
    <definedName name="ptlb" localSheetId="5">[3]Insumos!$F$1060</definedName>
    <definedName name="ptlb">[3]Insumos!$F$1060</definedName>
    <definedName name="pttp" localSheetId="5">[1]Insumos!$H$647</definedName>
    <definedName name="pttp">[1]Insumos!$H$647</definedName>
    <definedName name="ptv30x30" localSheetId="5">[1]Insumos!$H$226</definedName>
    <definedName name="ptv30x30">[1]Insumos!$H$226</definedName>
    <definedName name="pux1x40" localSheetId="5">[1]Insumos!$H$132</definedName>
    <definedName name="pux1x40">[1]Insumos!$H$132</definedName>
    <definedName name="pux1x60" localSheetId="5">[1]Insumos!$H$131</definedName>
    <definedName name="pux1x60">[1]Insumos!$H$131</definedName>
    <definedName name="pvf">[2]Insumos!$E$86</definedName>
    <definedName name="pvo">[2]Insumos!$E$588</definedName>
    <definedName name="pvtf150x250">[2]Insumos!$E$241</definedName>
    <definedName name="pvtj95x245">[2]Insumos!$E$243</definedName>
    <definedName name="pvtt280x210">[2]Insumos!$E$242</definedName>
    <definedName name="pzf5_16x1_4" localSheetId="5">[1]Insumos!$H$349</definedName>
    <definedName name="pzf5_16x1_4">[1]Insumos!$H$349</definedName>
    <definedName name="pzf5_16x31_2" localSheetId="5">[1]Insumos!$H$348</definedName>
    <definedName name="pzf5_16x31_2">[1]Insumos!$H$348</definedName>
    <definedName name="qd12_" localSheetId="5">[1]Insumos!$H$566</definedName>
    <definedName name="qd12_">[1]Insumos!$H$566</definedName>
    <definedName name="qd18_" localSheetId="5">[1]Insumos!$H$565</definedName>
    <definedName name="qd18_">[1]Insumos!$H$565</definedName>
    <definedName name="qd6_" localSheetId="5">[1]Insumos!$H$567</definedName>
    <definedName name="qd6_">[1]Insumos!$H$567</definedName>
    <definedName name="qdt">[2]Insumos!$E$277</definedName>
    <definedName name="qgm">[2]Insumos!$E$269</definedName>
    <definedName name="qgt">[2]Insumos!$E$268</definedName>
    <definedName name="QQ_2">#N/A</definedName>
    <definedName name="QUANT__PILARES" localSheetId="5">#REF!</definedName>
    <definedName name="QUANT__PILARES" localSheetId="2">#REF!</definedName>
    <definedName name="QUANT__PILARES" localSheetId="3">#REF!</definedName>
    <definedName name="QUANT__PILARES">#REF!</definedName>
    <definedName name="QW" localSheetId="5">#REF!</definedName>
    <definedName name="QW" localSheetId="2">#REF!</definedName>
    <definedName name="QW" localSheetId="3">#REF!</definedName>
    <definedName name="QW" localSheetId="1">#REF!</definedName>
    <definedName name="QW">#REF!</definedName>
    <definedName name="QWERWT" localSheetId="5">#REF!</definedName>
    <definedName name="QWERWT" localSheetId="2">#REF!</definedName>
    <definedName name="QWERWT" localSheetId="3">#REF!</definedName>
    <definedName name="QWERWT" localSheetId="1">#REF!</definedName>
    <definedName name="QWERWT">#REF!</definedName>
    <definedName name="ran3_5x1" localSheetId="5">[1]Insumos!$H$546</definedName>
    <definedName name="ran3_5x1">[1]Insumos!$H$546</definedName>
    <definedName name="rca25x3">[2]Insumos!$E$535</definedName>
    <definedName name="rca25x5">[2]Insumos!$E$522</definedName>
    <definedName name="rca40x3" localSheetId="5">[1]Insumos!$H$1143</definedName>
    <definedName name="rca40x3">[1]Insumos!$H$1143</definedName>
    <definedName name="rcv80_8" localSheetId="5">[1]Insumos!$H$1433</definedName>
    <definedName name="rcv80_8">[1]Insumos!$H$1433</definedName>
    <definedName name="rdv">[2]Insumos!$E$589</definedName>
    <definedName name="REATERRO" localSheetId="5">#REF!</definedName>
    <definedName name="REATERRO" localSheetId="2">#REF!</definedName>
    <definedName name="REATERRO" localSheetId="3">#REF!</definedName>
    <definedName name="REATERRO">#REF!</definedName>
    <definedName name="REATERRO_APILOADO" localSheetId="5">#REF!</definedName>
    <definedName name="REATERRO_APILOADO" localSheetId="2">#REF!</definedName>
    <definedName name="REATERRO_APILOADO" localSheetId="3">#REF!</definedName>
    <definedName name="REATERRO_APILOADO" localSheetId="1">#REF!</definedName>
    <definedName name="REATERRO_APILOADO">#REF!</definedName>
    <definedName name="rec">[2]Insumos!$E$88</definedName>
    <definedName name="recp">[2]Insumos!$E$703</definedName>
    <definedName name="ree7x20">[2]Insumos!$E$258</definedName>
    <definedName name="ree7x20_4_1" localSheetId="5">[1]Insumos!$H$541</definedName>
    <definedName name="ree7x20_4_1">[1]Insumos!$H$541</definedName>
    <definedName name="ree7x30">[2]Insumos!$E$259</definedName>
    <definedName name="ree7x30_4_1" localSheetId="5">[1]Insumos!$H$543</definedName>
    <definedName name="ree7x30_4_1">[1]Insumos!$H$543</definedName>
    <definedName name="reg">[2]Insumos!$E$627</definedName>
    <definedName name="rei50_40s" localSheetId="5">[1]Insumos!$H$915</definedName>
    <definedName name="rei50_40s">[1]Insumos!$H$915</definedName>
    <definedName name="rei75_40s" localSheetId="5">[1]Insumos!$H$914</definedName>
    <definedName name="rei75_40s">[1]Insumos!$H$914</definedName>
    <definedName name="RES">[2]Equipamentos!$F$10</definedName>
    <definedName name="RESUMO">#N/A</definedName>
    <definedName name="REVEST_CERAMIC" localSheetId="5">#REF!</definedName>
    <definedName name="REVEST_CERAMIC" localSheetId="2">#REF!</definedName>
    <definedName name="REVEST_CERAMIC" localSheetId="3">#REF!</definedName>
    <definedName name="REVEST_CERAMIC">#REF!</definedName>
    <definedName name="rftp">[2]Insumos!$E$129</definedName>
    <definedName name="rgc1\2">[2]Insumos!$E$421</definedName>
    <definedName name="rgc1_2_1_1" localSheetId="5">[1]Insumos!$H$847</definedName>
    <definedName name="rgc1_2_1_1">[1]Insumos!$H$847</definedName>
    <definedName name="rgc11\2">[2]Insumos!$E$423</definedName>
    <definedName name="rgc11_2_1" localSheetId="5">[1]Insumos!$H$851</definedName>
    <definedName name="rgc11_2_1">[1]Insumos!$H$851</definedName>
    <definedName name="rgc11_4" localSheetId="5">[1]Insumos!$H$850</definedName>
    <definedName name="rgc11_4">[1]Insumos!$H$850</definedName>
    <definedName name="rgc3_4" localSheetId="5">[1]Insumos!$H$848</definedName>
    <definedName name="rgc3_4">[1]Insumos!$H$848</definedName>
    <definedName name="rgcr1" localSheetId="5">[1]Insumos!$H$859</definedName>
    <definedName name="rgcr1">[1]Insumos!$H$859</definedName>
    <definedName name="rgcr1\2">[2]Insumos!$E$426</definedName>
    <definedName name="rgcr1_2_1_1" localSheetId="5">[1]Insumos!$H$857</definedName>
    <definedName name="rgcr1_2_1_1">[1]Insumos!$H$857</definedName>
    <definedName name="rgcr11_2" localSheetId="5">[1]Insumos!$H$861</definedName>
    <definedName name="rgcr11_2">[1]Insumos!$H$861</definedName>
    <definedName name="rgcr11_4" localSheetId="5">[1]Insumos!$H$860</definedName>
    <definedName name="rgcr11_4">[1]Insumos!$H$860</definedName>
    <definedName name="rgcr3_4_1_1" localSheetId="5">[1]Insumos!$H$858</definedName>
    <definedName name="rgcr3_4_1_1">[1]Insumos!$H$858</definedName>
    <definedName name="rgp1\2">[2]Insumos!$E$419</definedName>
    <definedName name="rgp1_2_1_1" localSheetId="5">[1]Insumos!$H$845</definedName>
    <definedName name="rgp1_2_1_1">[1]Insumos!$H$845</definedName>
    <definedName name="rgpfr1" localSheetId="5">[1]Insumos!$H$841</definedName>
    <definedName name="rgpfr1">[1]Insumos!$H$841</definedName>
    <definedName name="rgpfr1_2" localSheetId="5">[1]Insumos!$H$839</definedName>
    <definedName name="rgpfr1_2">[1]Insumos!$H$839</definedName>
    <definedName name="rgpfr11_2" localSheetId="5">[1]Insumos!$H$843</definedName>
    <definedName name="rgpfr11_2">[1]Insumos!$H$843</definedName>
    <definedName name="rgpfr11_4" localSheetId="5">[1]Insumos!$H$842</definedName>
    <definedName name="rgpfr11_4">[1]Insumos!$H$842</definedName>
    <definedName name="rgpfr2" localSheetId="5">[1]Insumos!$H$844</definedName>
    <definedName name="rgpfr2">[1]Insumos!$H$844</definedName>
    <definedName name="rgpfr3_4" localSheetId="5">[1]Insumos!$H$840</definedName>
    <definedName name="rgpfr3_4">[1]Insumos!$H$840</definedName>
    <definedName name="rie">[2]Insumos!$E$379</definedName>
    <definedName name="RLI">[2]Equipamentos!$P$28</definedName>
    <definedName name="RLP">[2]Equipamentos!$N$28</definedName>
    <definedName name="rnt">[2]Insumos!$E$592</definedName>
    <definedName name="rpc1\2">[2]Insumos!$E$424</definedName>
    <definedName name="rpc1_2_1" localSheetId="5">[1]Insumos!$H$853</definedName>
    <definedName name="rpc1_2_1">[1]Insumos!$H$853</definedName>
    <definedName name="rpc3_4" localSheetId="5">[1]Insumos!$H$854</definedName>
    <definedName name="rpc3_4">[1]Insumos!$H$854</definedName>
    <definedName name="rpci" localSheetId="5">[1]Insumos!$H$532</definedName>
    <definedName name="rpci">[1]Insumos!$H$532</definedName>
    <definedName name="rpcr1\2">[2]Insumos!$E$425</definedName>
    <definedName name="rpcr1_2_1" localSheetId="5">[1]Insumos!$H$855</definedName>
    <definedName name="rpcr1_2_1">[1]Insumos!$H$855</definedName>
    <definedName name="rpcr3_4_1" localSheetId="5">[1]Insumos!$H$856</definedName>
    <definedName name="rpcr3_4_1">[1]Insumos!$H$856</definedName>
    <definedName name="rpcs" localSheetId="5">[1]Insumos!$H$533</definedName>
    <definedName name="rpcs">[1]Insumos!$H$533</definedName>
    <definedName name="rpg8x40">[2]Insumos!$E$260</definedName>
    <definedName name="RPI">[2]Equipamentos!$P$29</definedName>
    <definedName name="rplt" localSheetId="5">[1]Insumos!$H$756</definedName>
    <definedName name="rplt">[1]Insumos!$H$756</definedName>
    <definedName name="RPP">[2]Equipamentos!$N$29</definedName>
    <definedName name="rpp1\2">[2]Insumos!$E$420</definedName>
    <definedName name="rpp1_2_1" localSheetId="5">[1]Insumos!$H$846</definedName>
    <definedName name="rpp1_2_1">[1]Insumos!$H$846</definedName>
    <definedName name="rpqs12" localSheetId="5">[1]Insumos!$H$1035</definedName>
    <definedName name="rpqs12">[1]Insumos!$H$1035</definedName>
    <definedName name="rpqs6" localSheetId="5">[1]Insumos!$H$1034</definedName>
    <definedName name="rpqs6">[1]Insumos!$H$1034</definedName>
    <definedName name="rql" localSheetId="5">[1]Insumos!$H$227</definedName>
    <definedName name="rql">[1]Insumos!$H$227</definedName>
    <definedName name="rtb" localSheetId="5">[1]Insumos!$H$1263</definedName>
    <definedName name="rtb">[1]Insumos!$H$1263</definedName>
    <definedName name="sagfp" localSheetId="5">[1]Insumos!$H$173</definedName>
    <definedName name="sagfp">[1]Insumos!$H$173</definedName>
    <definedName name="sagfp1" localSheetId="5">[1]Insumos!$H$174</definedName>
    <definedName name="sagfp1">[1]Insumos!$H$174</definedName>
    <definedName name="SAL">[2]Insumos!$C$2</definedName>
    <definedName name="sar" localSheetId="5">[1]Insumos!$H$330</definedName>
    <definedName name="sar">[1]Insumos!$H$330</definedName>
    <definedName name="scsp" localSheetId="5">[3]Insumos!$F$61</definedName>
    <definedName name="scsp">[3]Insumos!$F$61</definedName>
    <definedName name="seixo" localSheetId="5">#REF!</definedName>
    <definedName name="seixo" localSheetId="2">#REF!</definedName>
    <definedName name="seixo" localSheetId="3">#REF!</definedName>
    <definedName name="seixo" localSheetId="1">#REF!</definedName>
    <definedName name="seixo">#REF!</definedName>
    <definedName name="serv" localSheetId="5">#REF!</definedName>
    <definedName name="serv" localSheetId="2">#REF!</definedName>
    <definedName name="serv" localSheetId="3">#REF!</definedName>
    <definedName name="serv" localSheetId="1">#REF!</definedName>
    <definedName name="serv">#REF!</definedName>
    <definedName name="serv_1">NA()</definedName>
    <definedName name="serv_5">NA()</definedName>
    <definedName name="serv_6">NA()</definedName>
    <definedName name="serv_8" localSheetId="5">#REF!</definedName>
    <definedName name="serv_8" localSheetId="2">#REF!</definedName>
    <definedName name="serv_8" localSheetId="3">#REF!</definedName>
    <definedName name="serv_8" localSheetId="1">#REF!</definedName>
    <definedName name="serv_8">#REF!</definedName>
    <definedName name="sfi" localSheetId="5">[1]Insumos!$H$971</definedName>
    <definedName name="sfi">[1]Insumos!$H$971</definedName>
    <definedName name="sfm">[2]Insumos!$E$262</definedName>
    <definedName name="sfp" localSheetId="5">[1]Insumos!$H$970</definedName>
    <definedName name="sfp">[1]Insumos!$H$970</definedName>
    <definedName name="shdsm" localSheetId="5">[1]Insumos!$H$59</definedName>
    <definedName name="shdsm">[1]Insumos!$H$59</definedName>
    <definedName name="sika1">[4]Insumos!$C$60</definedName>
    <definedName name="sika1_1">NA()</definedName>
    <definedName name="sika1_5">NA()</definedName>
    <definedName name="sika1_6">NA()</definedName>
    <definedName name="sknl">[4]Insumos!$C$58</definedName>
    <definedName name="sknl_1">NA()</definedName>
    <definedName name="sknl_5">NA()</definedName>
    <definedName name="sknl_6">NA()</definedName>
    <definedName name="slb">[2]Insumos!$E$492</definedName>
    <definedName name="smf">[2]Insumos!$E$63</definedName>
    <definedName name="sol">[2]Insumos!$E$263</definedName>
    <definedName name="spl12a" localSheetId="5">[1]Insumos!$H$747</definedName>
    <definedName name="spl12a">[1]Insumos!$H$747</definedName>
    <definedName name="spl24a" localSheetId="5">[1]Insumos!$H$748</definedName>
    <definedName name="spl24a">[1]Insumos!$H$748</definedName>
    <definedName name="spl9a" localSheetId="5">[1]Insumos!$H$746</definedName>
    <definedName name="spl9a">[1]Insumos!$H$746</definedName>
    <definedName name="spp15x2" localSheetId="5">[1]Insumos!$H$552</definedName>
    <definedName name="spp15x2">[1]Insumos!$H$552</definedName>
    <definedName name="spp22x3_" localSheetId="5">[1]Insumos!$H$551</definedName>
    <definedName name="spp22x3_">[1]Insumos!$H$551</definedName>
    <definedName name="sptl4p" localSheetId="5">[1]Insumos!$H$768</definedName>
    <definedName name="sptl4p">[1]Insumos!$H$768</definedName>
    <definedName name="srv">[2]Insumos!$E$17</definedName>
    <definedName name="stdc1_4" localSheetId="5">[1]Insumos!$H$1435</definedName>
    <definedName name="stdc1_4">[1]Insumos!$H$1435</definedName>
    <definedName name="svt">[2]Insumos!$E$541</definedName>
    <definedName name="sxo">[2]Insumos!$E$27</definedName>
    <definedName name="tabb" localSheetId="5">[1]Insumos!$H$1261</definedName>
    <definedName name="tabb">[1]Insumos!$H$1261</definedName>
    <definedName name="tabb1" localSheetId="5">[1]Insumos!$H$1262</definedName>
    <definedName name="tabb1">[1]Insumos!$H$1262</definedName>
    <definedName name="tac">[2]Insumos!$E$333</definedName>
    <definedName name="tai11_2" localSheetId="5">[1]Insumos!$H$123</definedName>
    <definedName name="tai11_2">[1]Insumos!$H$123</definedName>
    <definedName name="tal" localSheetId="5">[1]Insumos!$H$77</definedName>
    <definedName name="tal">[1]Insumos!$H$77</definedName>
    <definedName name="tarp">[2]Insumos!$E$320</definedName>
    <definedName name="taz">[2]Insumos!$E$48</definedName>
    <definedName name="tazo" localSheetId="5">[1]Insumos!$H$82</definedName>
    <definedName name="tazo">[1]Insumos!$H$82</definedName>
    <definedName name="tbaz50" localSheetId="5">[1]Insumos!$H$121</definedName>
    <definedName name="tbaz50">[1]Insumos!$H$121</definedName>
    <definedName name="tbi50_40s" localSheetId="5">[1]Insumos!$H$907</definedName>
    <definedName name="tbi50_40s">[1]Insumos!$H$907</definedName>
    <definedName name="tbi75_40s" localSheetId="5">[1]Insumos!$H$906</definedName>
    <definedName name="tbi75_40s">[1]Insumos!$H$906</definedName>
    <definedName name="tbre200" localSheetId="5">[1]Insumos!$H$928</definedName>
    <definedName name="tbre200">[1]Insumos!$H$928</definedName>
    <definedName name="tbre250" localSheetId="5">[1]Insumos!$H$927</definedName>
    <definedName name="tbre250">[1]Insumos!$H$927</definedName>
    <definedName name="tbre300" localSheetId="5">[1]Insumos!$H$926</definedName>
    <definedName name="tbre300">[1]Insumos!$H$926</definedName>
    <definedName name="tbv">[2]Insumos!$E$139</definedName>
    <definedName name="tcda1_2" localSheetId="5">[1]Insumos!$H$834</definedName>
    <definedName name="tcda1_2">[1]Insumos!$H$834</definedName>
    <definedName name="tcef">[2]Insumos!$E$706</definedName>
    <definedName name="tcg1\2">[2]Insumos!$E$414</definedName>
    <definedName name="tcg1_2_1" localSheetId="5">[1]Insumos!$H$832</definedName>
    <definedName name="tcg1_2_1">[1]Insumos!$H$832</definedName>
    <definedName name="tcj3_4" localSheetId="5">[1]Insumos!$H$833</definedName>
    <definedName name="tcj3_4">[1]Insumos!$H$833</definedName>
    <definedName name="tcl1\2">[2]Insumos!$E$412</definedName>
    <definedName name="tcl1_2_1_1" localSheetId="5">[1]Insumos!$H$830</definedName>
    <definedName name="tcl1_2_1_1">[1]Insumos!$H$830</definedName>
    <definedName name="tco">[2]Insumos!$E$316</definedName>
    <definedName name="tcop">[2]Insumos!$E$317</definedName>
    <definedName name="tcopsp">[2]Insumos!$E$318</definedName>
    <definedName name="tcpp">[2]Insumos!$E$319</definedName>
    <definedName name="tea1_220L" localSheetId="5">[1]Insumos!$H$803</definedName>
    <definedName name="tea1_220L">[1]Insumos!$H$803</definedName>
    <definedName name="tea3_425L" localSheetId="5">[1]Insumos!$H$804</definedName>
    <definedName name="tea3_425L">[1]Insumos!$H$804</definedName>
    <definedName name="tec" localSheetId="5">[1]Insumos!$H$1161</definedName>
    <definedName name="tec">[1]Insumos!$H$1161</definedName>
    <definedName name="téc" localSheetId="5">[1]Insumos!$H$20</definedName>
    <definedName name="téc">[1]Insumos!$H$20</definedName>
    <definedName name="tei50_40s" localSheetId="5">[1]Insumos!$H$911</definedName>
    <definedName name="tei50_40s">[1]Insumos!$H$911</definedName>
    <definedName name="tei75_40s" localSheetId="5">[1]Insumos!$H$910</definedName>
    <definedName name="tei75_40s">[1]Insumos!$H$910</definedName>
    <definedName name="teid50x3_4_40rs" localSheetId="5">[1]Insumos!$H$916</definedName>
    <definedName name="teid50x3_4_40rs">[1]Insumos!$H$916</definedName>
    <definedName name="tel" localSheetId="5">[1]Insumos!$H$79</definedName>
    <definedName name="tel">[1]Insumos!$H$79</definedName>
    <definedName name="teo" localSheetId="5">[1]Insumos!$H$1413</definedName>
    <definedName name="teo">[1]Insumos!$H$1413</definedName>
    <definedName name="tepx" localSheetId="5">[1]Insumos!$H$1178</definedName>
    <definedName name="tepx">[1]Insumos!$H$1178</definedName>
    <definedName name="tev">[2]Insumos!$E$31</definedName>
    <definedName name="tfg50c" localSheetId="5">[1]Insumos!$H$103</definedName>
    <definedName name="tfg50c">[1]Insumos!$H$103</definedName>
    <definedName name="tfi40_" localSheetId="5">[1]Insumos!$H$117</definedName>
    <definedName name="tfi40_">[1]Insumos!$H$117</definedName>
    <definedName name="tfs">[2]Insumos!$E$591</definedName>
    <definedName name="tim">[2]Insumos!$E$585</definedName>
    <definedName name="_xlnm.Print_Titles" localSheetId="2">'COMP MEDIDOS'!$1:$6</definedName>
    <definedName name="_xlnm.Print_Titles" localSheetId="3">'COMPOSIÇÃO AB'!$1:$6</definedName>
    <definedName name="_xlnm.Print_Titles" localSheetId="7">'COMPOSIÇÃO DE CUSTOS'!$1:$6</definedName>
    <definedName name="_xlnm.Print_Titles" localSheetId="0">'PLANILHA ORÇA - CORREGEDORIA'!$13:$21</definedName>
    <definedName name="_xlnm.Print_Titles" localSheetId="1">'PLANILHA ORÇA - EJUD'!$12:$14</definedName>
    <definedName name="tjf">[2]Insumos!$E$35</definedName>
    <definedName name="tjt">[2]Insumos!$E$248</definedName>
    <definedName name="tjv">[2]Insumos!$E$39</definedName>
    <definedName name="tla14x2">[2]Insumos!$E$57</definedName>
    <definedName name="tll">[2]Insumos!$E$326</definedName>
    <definedName name="tllp">[2]Insumos!$E$327</definedName>
    <definedName name="tllpsp">[2]Insumos!$E$328</definedName>
    <definedName name="tma" localSheetId="5">[1]Insumos!$H$640</definedName>
    <definedName name="tma">[1]Insumos!$H$640</definedName>
    <definedName name="tmap" localSheetId="5">[1]Insumos!$H$641</definedName>
    <definedName name="tmap">[1]Insumos!$H$641</definedName>
    <definedName name="tmf">[2]Insumos!$E$620</definedName>
    <definedName name="tmi">[2]Insumos!$E$329</definedName>
    <definedName name="tmip">[2]Insumos!$E$330</definedName>
    <definedName name="tmk">[2]Insumos!$E$625</definedName>
    <definedName name="tnc1\2">[2]Insumos!$E$411</definedName>
    <definedName name="tnc1_2_1_1" localSheetId="5">[1]Insumos!$H$828</definedName>
    <definedName name="tnc1_2_1_1">[1]Insumos!$H$828</definedName>
    <definedName name="tnc3_4" localSheetId="5">[1]Insumos!$H$829</definedName>
    <definedName name="tnc3_4">[1]Insumos!$H$829</definedName>
    <definedName name="tncb1\2">[2]Insumos!$E$413</definedName>
    <definedName name="tncb1_2_1" localSheetId="5">[1]Insumos!$H$831</definedName>
    <definedName name="tncb1_2_1">[1]Insumos!$H$831</definedName>
    <definedName name="tni1\2">[2]Insumos!$E$410</definedName>
    <definedName name="tni1_2_1" localSheetId="5">[1]Insumos!$H$827</definedName>
    <definedName name="tni1_2_1">[1]Insumos!$H$827</definedName>
    <definedName name="tnp1\2">[2]Insumos!$E$409</definedName>
    <definedName name="tnp1_2_1_1" localSheetId="5">[1]Insumos!$H$826</definedName>
    <definedName name="tnp1_2_1_1">[1]Insumos!$H$826</definedName>
    <definedName name="top" localSheetId="5">[1]Insumos!$H$18</definedName>
    <definedName name="top">[1]Insumos!$H$18</definedName>
    <definedName name="TOT" localSheetId="5">[1]Orçamento!$F$722</definedName>
    <definedName name="TOT">[1]Orçamento!$F$722</definedName>
    <definedName name="tpb">[2]Insumos!$E$490</definedName>
    <definedName name="TPI">[2]Equipamentos!$P$31</definedName>
    <definedName name="tpl1\2">[2]Insumos!$E$408</definedName>
    <definedName name="tpl1_2_1_1" localSheetId="5">[1]Insumos!$H$825</definedName>
    <definedName name="tpl1_2_1_1">[1]Insumos!$H$825</definedName>
    <definedName name="TPP">[2]Equipamentos!$N$31</definedName>
    <definedName name="tpq600f" localSheetId="5">[1]Insumos!$H$1028</definedName>
    <definedName name="tpq600f">[1]Insumos!$H$1028</definedName>
    <definedName name="tpr">[2]Insumos!$E$614</definedName>
    <definedName name="trc">[2]Insumos!$E$252</definedName>
    <definedName name="TRIBUNAL_DE_JUSTIÇA_DO_ESTADO_DO_PIAUÍ" localSheetId="5">#REF!</definedName>
    <definedName name="TRIBUNAL_DE_JUSTIÇA_DO_ESTADO_DO_PIAUÍ" localSheetId="2">#REF!</definedName>
    <definedName name="TRIBUNAL_DE_JUSTIÇA_DO_ESTADO_DO_PIAUÍ" localSheetId="3">#REF!</definedName>
    <definedName name="TRIBUNAL_DE_JUSTIÇA_DO_ESTADO_DO_PIAUÍ">#REF!</definedName>
    <definedName name="tsac" localSheetId="5">[1]Insumos!$H$534</definedName>
    <definedName name="tsac">[1]Insumos!$H$534</definedName>
    <definedName name="tsp">[2]Insumos!$E$321</definedName>
    <definedName name="tspp">[2]Insumos!$E$322</definedName>
    <definedName name="tta">[2]Insumos!$E$529</definedName>
    <definedName name="ttc">[2]Insumos!$E$545</definedName>
    <definedName name="tte">[2]Insumos!$E$540</definedName>
    <definedName name="ttea" localSheetId="5">[1]Insumos!$H$1174</definedName>
    <definedName name="ttea">[1]Insumos!$H$1174</definedName>
    <definedName name="tteaa" localSheetId="5">[1]Insumos!$H$83</definedName>
    <definedName name="tteaa">[1]Insumos!$H$83</definedName>
    <definedName name="tteat" localSheetId="5">[1]Insumos!$H$1176</definedName>
    <definedName name="tteat">[1]Insumos!$H$1176</definedName>
    <definedName name="ttef" localSheetId="5">[1]Insumos!$H$1175</definedName>
    <definedName name="ttef">[1]Insumos!$H$1175</definedName>
    <definedName name="ttel">[2]Insumos!$E$713</definedName>
    <definedName name="tter" localSheetId="5">[1]Insumos!$H$1177</definedName>
    <definedName name="tter">[1]Insumos!$H$1177</definedName>
    <definedName name="ttl">[2]Insumos!$E$530</definedName>
    <definedName name="tto">[2]Insumos!$E$539</definedName>
    <definedName name="ttp">[2]Insumos!$E$702</definedName>
    <definedName name="ttt">[2]Insumos!$E$323</definedName>
    <definedName name="tttp">[2]Insumos!$E$324</definedName>
    <definedName name="tttpsp">[2]Insumos!$E$325</definedName>
    <definedName name="tttrj11" localSheetId="5">[1]Insumos!$H$635</definedName>
    <definedName name="tttrj11">[1]Insumos!$H$635</definedName>
    <definedName name="ttv">[2]Insumos!$E$531</definedName>
    <definedName name="ttva">[2]Insumos!$E$532</definedName>
    <definedName name="tub100ca2">[2]Insumos!$E$506</definedName>
    <definedName name="tub40ps1" localSheetId="5">[1]Insumos!$H$1104</definedName>
    <definedName name="tub40ps1">[1]Insumos!$H$1104</definedName>
    <definedName name="tub60ca2">[2]Insumos!$E$504</definedName>
    <definedName name="tub80ca2">[2]Insumos!$E$505</definedName>
    <definedName name="tubaf110" localSheetId="5">#REF!</definedName>
    <definedName name="tubaf110" localSheetId="2">#REF!</definedName>
    <definedName name="tubaf110" localSheetId="3">#REF!</definedName>
    <definedName name="tubaf110">#REF!</definedName>
    <definedName name="tubaf20">'[11]COMP HIDRAULICA'!$E$9</definedName>
    <definedName name="tubaf25" localSheetId="5">#REF!</definedName>
    <definedName name="tubaf25" localSheetId="2">#REF!</definedName>
    <definedName name="tubaf25" localSheetId="3">#REF!</definedName>
    <definedName name="tubaf25" localSheetId="1">#REF!</definedName>
    <definedName name="tubaf25">#REF!</definedName>
    <definedName name="tubaf32" localSheetId="5">#REF!</definedName>
    <definedName name="tubaf32" localSheetId="2">#REF!</definedName>
    <definedName name="tubaf32" localSheetId="3">#REF!</definedName>
    <definedName name="tubaf32" localSheetId="1">#REF!</definedName>
    <definedName name="tubaf32">#REF!</definedName>
    <definedName name="tubaf50">'[11]COMP HIDRAULICA'!$E$36</definedName>
    <definedName name="tubaf60">'[11]COMP HIDRAULICA'!$E$45</definedName>
    <definedName name="tubaf75">'[11]COMP HIDRAULICA'!$E$54</definedName>
    <definedName name="tubaf85">'[11]COMP HIDRAULICA'!$E$63</definedName>
    <definedName name="tubo20" localSheetId="5">#REF!</definedName>
    <definedName name="tubo20" localSheetId="2">#REF!</definedName>
    <definedName name="tubo20" localSheetId="3">#REF!</definedName>
    <definedName name="tubo20" localSheetId="1">#REF!</definedName>
    <definedName name="tubo20">#REF!</definedName>
    <definedName name="tup">[2]Insumos!$E$314</definedName>
    <definedName name="tus">[2]Insumos!$E$313</definedName>
    <definedName name="tusp1">[2]Insumos!$E$315</definedName>
    <definedName name="txa">[2]Insumos!$E$533</definedName>
    <definedName name="unt" localSheetId="5">[1]Insumos!$H$1461</definedName>
    <definedName name="unt">[1]Insumos!$H$1461</definedName>
    <definedName name="USS">[2]Equipamentos!$A$15</definedName>
    <definedName name="vbi2_CI" localSheetId="5">[1]Insumos!$H$1430</definedName>
    <definedName name="vbi2_CI">[1]Insumos!$H$1430</definedName>
    <definedName name="vbi2_CP" localSheetId="5">[1]Insumos!$H$1429</definedName>
    <definedName name="vbi2_CP">[1]Insumos!$H$1429</definedName>
    <definedName name="vbi2_HP" localSheetId="5">[3]Insumos!$F$1413</definedName>
    <definedName name="vbi2_HP">[3]Insumos!$F$1413</definedName>
    <definedName name="vcc3.5">[2]Insumos!$E$566</definedName>
    <definedName name="vcc3_5_" localSheetId="5">[1]Insumos!$H$1209</definedName>
    <definedName name="vcc3_5_">[1]Insumos!$H$1209</definedName>
    <definedName name="vcpp" localSheetId="5">[1]Insumos!$H$1019</definedName>
    <definedName name="vcpp">[1]Insumos!$H$1019</definedName>
    <definedName name="vep">[2]Insumos!$E$609</definedName>
    <definedName name="vfi3.5">[2]Insumos!$E$557</definedName>
    <definedName name="vfi3_5_" localSheetId="5">[1]Insumos!$H$1207</definedName>
    <definedName name="vfi3_5_">[1]Insumos!$H$1207</definedName>
    <definedName name="VII">[2]Equipamentos!$P$39</definedName>
    <definedName name="VIP">[2]Equipamentos!$N$39</definedName>
    <definedName name="vli">[2]Insumos!$E$457</definedName>
    <definedName name="vlp">[2]Insumos!$E$458</definedName>
    <definedName name="VLR">[2]Equipamentos!$F$16</definedName>
    <definedName name="vmt10x50" localSheetId="5">[1]Insumos!$H$1246</definedName>
    <definedName name="vmt10x50">[1]Insumos!$H$1246</definedName>
    <definedName name="vmt690x10x50" localSheetId="5">[1]Insumos!$H$1247</definedName>
    <definedName name="vmt690x10x50">[1]Insumos!$H$1247</definedName>
    <definedName name="vpma" localSheetId="5">[1]Insumos!$H$462</definedName>
    <definedName name="vpma">[1]Insumos!$H$462</definedName>
    <definedName name="vsb">[2]Insumos!$E$479</definedName>
    <definedName name="vsbc">[2]Insumos!$E$481</definedName>
    <definedName name="vsbpc">[2]Insumos!$E$480</definedName>
    <definedName name="vtt">[2]Insumos!$E$368</definedName>
    <definedName name="vul" localSheetId="5">[1]Insumos!$H$1412</definedName>
    <definedName name="vul">[1]Insumos!$H$1412</definedName>
    <definedName name="WEWRWR">#N/A</definedName>
    <definedName name="wpta" localSheetId="5">[1]Insumos!$H$1187</definedName>
    <definedName name="wpta">[1]Insumos!$H$1187</definedName>
    <definedName name="XXX">#N/A</definedName>
    <definedName name="zba">[2]Insumos!$E$542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9" i="9" l="1"/>
  <c r="D70" i="9"/>
  <c r="BD231" i="1"/>
  <c r="AH970" i="15"/>
  <c r="AK969" i="15"/>
  <c r="I191" i="21"/>
  <c r="BE1140" i="1"/>
  <c r="BD1140" i="1"/>
  <c r="BF1144" i="1"/>
  <c r="BF1143" i="1"/>
  <c r="AK948" i="15"/>
  <c r="AK947" i="15"/>
  <c r="AJ947" i="15"/>
  <c r="AI947" i="15"/>
  <c r="BE1144" i="1"/>
  <c r="BE1143" i="1"/>
  <c r="AI948" i="15"/>
  <c r="BD1144" i="1"/>
  <c r="BD1143" i="1"/>
  <c r="BD108" i="1"/>
  <c r="BD109" i="1"/>
  <c r="BD110" i="1"/>
  <c r="BD101" i="1"/>
  <c r="BD98" i="1"/>
  <c r="BD32" i="1"/>
  <c r="BD28" i="1"/>
  <c r="BE28" i="1" s="1"/>
  <c r="BD26" i="1"/>
  <c r="BD24" i="1"/>
  <c r="BD29" i="1"/>
  <c r="BD31" i="1"/>
  <c r="P19" i="9"/>
  <c r="X40" i="9"/>
  <c r="X28" i="9"/>
  <c r="X30" i="9"/>
  <c r="X32" i="9"/>
  <c r="X34" i="9"/>
  <c r="X36" i="9"/>
  <c r="X38" i="9"/>
  <c r="X42" i="9"/>
  <c r="X44" i="9"/>
  <c r="X46" i="9"/>
  <c r="X48" i="9"/>
  <c r="X50" i="9"/>
  <c r="X52" i="9"/>
  <c r="X54" i="9"/>
  <c r="X56" i="9"/>
  <c r="X58" i="9"/>
  <c r="X60" i="9"/>
  <c r="X22" i="9"/>
  <c r="X24" i="9"/>
  <c r="X26" i="9"/>
  <c r="X20" i="9"/>
  <c r="BB65" i="1" l="1"/>
  <c r="F635" i="20"/>
  <c r="P65" i="9" l="1"/>
  <c r="AZ115" i="1"/>
  <c r="AZ124" i="1"/>
  <c r="AZ123" i="1"/>
  <c r="AZ122" i="1"/>
  <c r="AZ121" i="1"/>
  <c r="AZ120" i="1"/>
  <c r="AZ119" i="1"/>
  <c r="AZ118" i="1"/>
  <c r="AZ117" i="1"/>
  <c r="AZ116" i="1"/>
  <c r="AZ138" i="1"/>
  <c r="AZ139" i="1"/>
  <c r="AZ140" i="1"/>
  <c r="AZ141" i="1"/>
  <c r="AZ142" i="1"/>
  <c r="AZ143" i="1"/>
  <c r="AZ144" i="1"/>
  <c r="AZ145" i="1"/>
  <c r="AZ146" i="1"/>
  <c r="AZ137" i="1"/>
  <c r="AZ103" i="1" l="1"/>
  <c r="AZ104" i="1"/>
  <c r="AZ105" i="1"/>
  <c r="AZ106" i="1"/>
  <c r="AZ107" i="1"/>
  <c r="AZ102" i="1"/>
  <c r="AZ98" i="1"/>
  <c r="AZ99" i="1"/>
  <c r="AE65" i="15"/>
  <c r="AE64" i="15"/>
  <c r="AE69" i="15"/>
  <c r="AE70" i="15"/>
  <c r="AE71" i="15"/>
  <c r="AE72" i="15"/>
  <c r="AE73" i="15"/>
  <c r="AE68" i="15"/>
  <c r="AE82" i="15" l="1"/>
  <c r="G214" i="21"/>
  <c r="G324" i="20"/>
  <c r="G313" i="20"/>
  <c r="F287" i="20"/>
  <c r="F277" i="20"/>
  <c r="G277" i="20" s="1"/>
  <c r="AE920" i="15"/>
  <c r="AE919" i="15"/>
  <c r="AE83" i="15"/>
  <c r="AE84" i="15"/>
  <c r="AE85" i="15"/>
  <c r="AE86" i="15"/>
  <c r="AE87" i="15"/>
  <c r="AE88" i="15"/>
  <c r="AE89" i="15"/>
  <c r="AE90" i="15"/>
  <c r="AE91" i="15"/>
  <c r="AE94" i="15"/>
  <c r="AE95" i="15"/>
  <c r="AE96" i="15"/>
  <c r="AE97" i="15"/>
  <c r="AE98" i="15"/>
  <c r="AE99" i="15"/>
  <c r="AE100" i="15"/>
  <c r="AE101" i="15"/>
  <c r="AE102" i="15"/>
  <c r="AE93" i="15"/>
  <c r="AZ127" i="1"/>
  <c r="AZ128" i="1"/>
  <c r="AZ129" i="1"/>
  <c r="AZ130" i="1"/>
  <c r="AZ131" i="1"/>
  <c r="AZ132" i="1"/>
  <c r="AZ133" i="1"/>
  <c r="AZ134" i="1"/>
  <c r="AZ135" i="1"/>
  <c r="AZ126" i="1"/>
  <c r="AE104" i="15"/>
  <c r="AE105" i="15"/>
  <c r="AE106" i="15"/>
  <c r="AE107" i="15"/>
  <c r="AE108" i="15"/>
  <c r="AE109" i="15"/>
  <c r="AE110" i="15"/>
  <c r="AE111" i="15"/>
  <c r="AE112" i="15"/>
  <c r="AE113" i="15"/>
  <c r="AE115" i="15"/>
  <c r="AE116" i="15"/>
  <c r="AE117" i="15"/>
  <c r="AE118" i="15"/>
  <c r="AE119" i="15"/>
  <c r="AE34" i="15"/>
  <c r="AE35" i="15"/>
  <c r="AE36" i="15"/>
  <c r="AE37" i="15"/>
  <c r="AE38" i="15"/>
  <c r="AE39" i="15"/>
  <c r="AE41" i="15"/>
  <c r="AE42" i="15"/>
  <c r="AE43" i="15"/>
  <c r="AE44" i="15"/>
  <c r="AE45" i="15"/>
  <c r="AE46" i="15"/>
  <c r="AE47" i="15"/>
  <c r="AE48" i="15"/>
  <c r="AE49" i="15"/>
  <c r="AE50" i="15"/>
  <c r="AE52" i="15"/>
  <c r="AE53" i="15"/>
  <c r="AE54" i="15"/>
  <c r="AE55" i="15"/>
  <c r="AE56" i="15"/>
  <c r="AE57" i="15"/>
  <c r="AE58" i="15"/>
  <c r="AE59" i="15"/>
  <c r="AE60" i="15"/>
  <c r="AE61" i="15"/>
  <c r="AE33" i="15"/>
  <c r="AE23" i="15"/>
  <c r="AE25" i="15"/>
  <c r="AE26" i="15"/>
  <c r="AE28" i="15"/>
  <c r="AE29" i="15"/>
  <c r="AE21" i="15"/>
  <c r="F235" i="21"/>
  <c r="F234" i="21"/>
  <c r="F233" i="21"/>
  <c r="F232" i="21"/>
  <c r="F229" i="21"/>
  <c r="F228" i="21"/>
  <c r="F227" i="21"/>
  <c r="F226" i="21"/>
  <c r="F225" i="21"/>
  <c r="F224" i="21"/>
  <c r="H77" i="21"/>
  <c r="I77" i="21" s="1"/>
  <c r="AZ1116" i="1"/>
  <c r="F160" i="21"/>
  <c r="F159" i="21"/>
  <c r="F164" i="21"/>
  <c r="F163" i="21"/>
  <c r="F162" i="21"/>
  <c r="F161" i="21"/>
  <c r="F155" i="21"/>
  <c r="F154" i="21"/>
  <c r="F153" i="21"/>
  <c r="F152" i="21"/>
  <c r="F151" i="21"/>
  <c r="F150" i="21"/>
  <c r="F149" i="21"/>
  <c r="F147" i="21"/>
  <c r="F181" i="21"/>
  <c r="F180" i="21"/>
  <c r="F174" i="21"/>
  <c r="F171" i="21"/>
  <c r="F170" i="21"/>
  <c r="F136" i="21"/>
  <c r="F134" i="21"/>
  <c r="F133" i="21"/>
  <c r="F139" i="21"/>
  <c r="F140" i="21"/>
  <c r="F142" i="21"/>
  <c r="F141" i="21"/>
  <c r="F132" i="21"/>
  <c r="F131" i="21"/>
  <c r="AZ152" i="1"/>
  <c r="AZ151" i="1"/>
  <c r="AZ150" i="1"/>
  <c r="AZ149" i="1"/>
  <c r="AZ148" i="1"/>
  <c r="AZ86" i="1"/>
  <c r="AZ87" i="1"/>
  <c r="AZ88" i="1"/>
  <c r="AZ89" i="1"/>
  <c r="AZ90" i="1"/>
  <c r="AZ91" i="1"/>
  <c r="AZ92" i="1"/>
  <c r="AZ93" i="1"/>
  <c r="AZ94" i="1"/>
  <c r="AZ95" i="1"/>
  <c r="AZ85" i="1"/>
  <c r="AZ73" i="1"/>
  <c r="AZ74" i="1"/>
  <c r="AZ75" i="1"/>
  <c r="AZ76" i="1"/>
  <c r="AZ77" i="1"/>
  <c r="AZ78" i="1"/>
  <c r="AZ79" i="1"/>
  <c r="AZ80" i="1"/>
  <c r="AZ81" i="1"/>
  <c r="AZ82" i="1"/>
  <c r="AZ83" i="1"/>
  <c r="AZ72" i="1"/>
  <c r="AZ64" i="1"/>
  <c r="AZ65" i="1"/>
  <c r="AZ66" i="1"/>
  <c r="AZ67" i="1"/>
  <c r="AZ68" i="1"/>
  <c r="AZ69" i="1"/>
  <c r="AZ70" i="1"/>
  <c r="AZ63" i="1"/>
  <c r="AZ59" i="1"/>
  <c r="AZ58" i="1"/>
  <c r="AZ56" i="1"/>
  <c r="AZ55" i="1"/>
  <c r="AZ53" i="1"/>
  <c r="AZ51" i="1"/>
  <c r="AZ37" i="1"/>
  <c r="AZ39" i="1"/>
  <c r="AZ40" i="1"/>
  <c r="AZ41" i="1"/>
  <c r="AZ42" i="1"/>
  <c r="AZ43" i="1"/>
  <c r="AZ44" i="1"/>
  <c r="AZ36" i="1"/>
  <c r="AZ26" i="1"/>
  <c r="AZ32" i="1"/>
  <c r="AZ30" i="1"/>
  <c r="AZ25" i="1"/>
  <c r="AZ23" i="1"/>
  <c r="F126" i="21"/>
  <c r="F125" i="21"/>
  <c r="F183" i="21" s="1"/>
  <c r="F198" i="21"/>
  <c r="F201" i="21"/>
  <c r="F204" i="21"/>
  <c r="F208" i="21"/>
  <c r="F207" i="21"/>
  <c r="F206" i="21"/>
  <c r="F205" i="21"/>
  <c r="F200" i="21"/>
  <c r="F199" i="21"/>
  <c r="F196" i="21"/>
  <c r="F195" i="21"/>
  <c r="F194" i="21"/>
  <c r="F193" i="21"/>
  <c r="F192" i="21"/>
  <c r="F219" i="21"/>
  <c r="F218" i="21"/>
  <c r="F217" i="21"/>
  <c r="F216" i="21"/>
  <c r="F215" i="21"/>
  <c r="F22" i="21"/>
  <c r="F30" i="21"/>
  <c r="F27" i="21"/>
  <c r="F26" i="21"/>
  <c r="F14" i="21"/>
  <c r="F13" i="21"/>
  <c r="F11" i="21"/>
  <c r="F137" i="21" s="1"/>
  <c r="F114" i="21"/>
  <c r="F173" i="21" s="1"/>
  <c r="F115" i="21"/>
  <c r="F109" i="21"/>
  <c r="F120" i="21" s="1"/>
  <c r="F102" i="21"/>
  <c r="F104" i="21"/>
  <c r="F103" i="21"/>
  <c r="F97" i="21"/>
  <c r="F90" i="21"/>
  <c r="F85" i="21"/>
  <c r="F92" i="21"/>
  <c r="F91" i="21"/>
  <c r="F80" i="21"/>
  <c r="F79" i="21"/>
  <c r="F78" i="21"/>
  <c r="F73" i="21"/>
  <c r="F62" i="21"/>
  <c r="F68" i="21"/>
  <c r="F67" i="21"/>
  <c r="F63" i="21"/>
  <c r="F66" i="21"/>
  <c r="F65" i="21"/>
  <c r="F64" i="21"/>
  <c r="F51" i="21"/>
  <c r="F38" i="21"/>
  <c r="F32" i="21"/>
  <c r="F25" i="21"/>
  <c r="F24" i="21"/>
  <c r="F52" i="21"/>
  <c r="F74" i="21" s="1"/>
  <c r="F86" i="21" s="1"/>
  <c r="F98" i="21" s="1"/>
  <c r="F110" i="21" s="1"/>
  <c r="F121" i="21" s="1"/>
  <c r="F39" i="21"/>
  <c r="F41" i="21"/>
  <c r="F54" i="21" s="1"/>
  <c r="F40" i="21"/>
  <c r="F53" i="21" s="1"/>
  <c r="F45" i="21"/>
  <c r="F44" i="21"/>
  <c r="F56" i="21"/>
  <c r="F43" i="21"/>
  <c r="F169" i="21" l="1"/>
  <c r="F179" i="21" s="1"/>
  <c r="G136" i="21"/>
  <c r="G132" i="21"/>
  <c r="G85" i="21"/>
  <c r="G11" i="21"/>
  <c r="S23" i="21"/>
  <c r="R23" i="21"/>
  <c r="Q63" i="21"/>
  <c r="G63" i="21" s="1"/>
  <c r="Q30" i="21"/>
  <c r="M231" i="21"/>
  <c r="F231" i="21" s="1"/>
  <c r="G231" i="21" s="1"/>
  <c r="M157" i="21"/>
  <c r="F157" i="21" s="1"/>
  <c r="G157" i="21" s="1"/>
  <c r="I235" i="21"/>
  <c r="G235" i="21"/>
  <c r="I234" i="21"/>
  <c r="G234" i="21"/>
  <c r="I233" i="21"/>
  <c r="I232" i="21"/>
  <c r="I231" i="21"/>
  <c r="I230" i="21"/>
  <c r="G230" i="21"/>
  <c r="H229" i="21"/>
  <c r="I229" i="21" s="1"/>
  <c r="H228" i="21"/>
  <c r="I228" i="21" s="1"/>
  <c r="H227" i="21"/>
  <c r="I227" i="21" s="1"/>
  <c r="G227" i="21"/>
  <c r="H226" i="21"/>
  <c r="I226" i="21" s="1"/>
  <c r="G226" i="21"/>
  <c r="H225" i="21"/>
  <c r="I225" i="21" s="1"/>
  <c r="G225" i="21"/>
  <c r="H224" i="21"/>
  <c r="I224" i="21" s="1"/>
  <c r="G224" i="21"/>
  <c r="I223" i="21"/>
  <c r="H219" i="21"/>
  <c r="I219" i="21" s="1"/>
  <c r="G219" i="21"/>
  <c r="H218" i="21"/>
  <c r="I218" i="21" s="1"/>
  <c r="G218" i="21"/>
  <c r="H217" i="21"/>
  <c r="I217" i="21" s="1"/>
  <c r="H216" i="21"/>
  <c r="I216" i="21" s="1"/>
  <c r="H215" i="21"/>
  <c r="I215" i="21" s="1"/>
  <c r="H214" i="21"/>
  <c r="I214" i="21" s="1"/>
  <c r="I213" i="21"/>
  <c r="H208" i="21"/>
  <c r="I208" i="21" s="1"/>
  <c r="G208" i="21"/>
  <c r="H207" i="21"/>
  <c r="I207" i="21" s="1"/>
  <c r="G207" i="21"/>
  <c r="H206" i="21"/>
  <c r="I206" i="21" s="1"/>
  <c r="H205" i="21"/>
  <c r="I205" i="21" s="1"/>
  <c r="H204" i="21"/>
  <c r="I204" i="21" s="1"/>
  <c r="G204" i="21"/>
  <c r="H203" i="21"/>
  <c r="I203" i="21" s="1"/>
  <c r="F203" i="21"/>
  <c r="G203" i="21" s="1"/>
  <c r="H202" i="21"/>
  <c r="I202" i="21" s="1"/>
  <c r="G202" i="21"/>
  <c r="H201" i="21"/>
  <c r="I201" i="21" s="1"/>
  <c r="G201" i="21"/>
  <c r="H200" i="21"/>
  <c r="I200" i="21" s="1"/>
  <c r="H199" i="21"/>
  <c r="I199" i="21" s="1"/>
  <c r="H198" i="21"/>
  <c r="I198" i="21" s="1"/>
  <c r="G198" i="21"/>
  <c r="H197" i="21"/>
  <c r="I197" i="21" s="1"/>
  <c r="G197" i="21"/>
  <c r="H196" i="21"/>
  <c r="I196" i="21" s="1"/>
  <c r="H195" i="21"/>
  <c r="I195" i="21" s="1"/>
  <c r="H194" i="21"/>
  <c r="I194" i="21" s="1"/>
  <c r="G194" i="21"/>
  <c r="H193" i="21"/>
  <c r="I193" i="21" s="1"/>
  <c r="G193" i="21"/>
  <c r="H192" i="21"/>
  <c r="I192" i="21" s="1"/>
  <c r="G192" i="21"/>
  <c r="I184" i="21"/>
  <c r="I183" i="21"/>
  <c r="G183" i="21"/>
  <c r="H182" i="21"/>
  <c r="I182" i="21" s="1"/>
  <c r="G182" i="21"/>
  <c r="H181" i="21"/>
  <c r="I181" i="21" s="1"/>
  <c r="H180" i="21"/>
  <c r="I180" i="21" s="1"/>
  <c r="H179" i="21"/>
  <c r="I179" i="21" s="1"/>
  <c r="G179" i="21"/>
  <c r="I178" i="21"/>
  <c r="H174" i="21"/>
  <c r="I174" i="21" s="1"/>
  <c r="H173" i="21"/>
  <c r="I173" i="21" s="1"/>
  <c r="G173" i="21"/>
  <c r="H172" i="21"/>
  <c r="I172" i="21" s="1"/>
  <c r="G172" i="21"/>
  <c r="H171" i="21"/>
  <c r="I171" i="21" s="1"/>
  <c r="H170" i="21"/>
  <c r="I170" i="21" s="1"/>
  <c r="H169" i="21"/>
  <c r="I169" i="21" s="1"/>
  <c r="G169" i="21"/>
  <c r="I168" i="21"/>
  <c r="I164" i="21"/>
  <c r="G164" i="21"/>
  <c r="I163" i="21"/>
  <c r="G163" i="21"/>
  <c r="I162" i="21"/>
  <c r="I161" i="21"/>
  <c r="I160" i="21"/>
  <c r="G160" i="21"/>
  <c r="I159" i="21"/>
  <c r="G159" i="21"/>
  <c r="I158" i="21"/>
  <c r="F158" i="21"/>
  <c r="G158" i="21" s="1"/>
  <c r="I157" i="21"/>
  <c r="I156" i="21"/>
  <c r="G156" i="21"/>
  <c r="I155" i="21"/>
  <c r="I154" i="21"/>
  <c r="I153" i="21"/>
  <c r="G153" i="21"/>
  <c r="I152" i="21"/>
  <c r="G152" i="21"/>
  <c r="I151" i="21"/>
  <c r="G151" i="21"/>
  <c r="I150" i="21"/>
  <c r="G150" i="21"/>
  <c r="I149" i="21"/>
  <c r="G149" i="21"/>
  <c r="I148" i="21"/>
  <c r="F148" i="21"/>
  <c r="G148" i="21" s="1"/>
  <c r="I147" i="21"/>
  <c r="G147" i="21"/>
  <c r="I142" i="21"/>
  <c r="G142" i="21"/>
  <c r="I141" i="21"/>
  <c r="G141" i="21"/>
  <c r="I140" i="21"/>
  <c r="I139" i="21"/>
  <c r="I138" i="21"/>
  <c r="I137" i="21"/>
  <c r="G137" i="21"/>
  <c r="I136" i="21"/>
  <c r="I135" i="21"/>
  <c r="G135" i="21"/>
  <c r="I134" i="21"/>
  <c r="I133" i="21"/>
  <c r="I132" i="21"/>
  <c r="I131" i="21"/>
  <c r="G131" i="21"/>
  <c r="H126" i="21"/>
  <c r="I126" i="21" s="1"/>
  <c r="H125" i="21"/>
  <c r="I125" i="21" s="1"/>
  <c r="G125" i="21"/>
  <c r="H124" i="21"/>
  <c r="I124" i="21" s="1"/>
  <c r="G124" i="21"/>
  <c r="H123" i="21"/>
  <c r="I123" i="21" s="1"/>
  <c r="H122" i="21"/>
  <c r="I122" i="21" s="1"/>
  <c r="H121" i="21"/>
  <c r="I121" i="21" s="1"/>
  <c r="G121" i="21"/>
  <c r="H120" i="21"/>
  <c r="I120" i="21" s="1"/>
  <c r="G120" i="21"/>
  <c r="I119" i="21"/>
  <c r="H115" i="21"/>
  <c r="I115" i="21" s="1"/>
  <c r="H114" i="21"/>
  <c r="I114" i="21" s="1"/>
  <c r="G114" i="21"/>
  <c r="H112" i="21"/>
  <c r="I112" i="21" s="1"/>
  <c r="H111" i="21"/>
  <c r="I111" i="21" s="1"/>
  <c r="H110" i="21"/>
  <c r="I110" i="21" s="1"/>
  <c r="G110" i="21"/>
  <c r="H109" i="21"/>
  <c r="I109" i="21" s="1"/>
  <c r="G109" i="21"/>
  <c r="I108" i="21"/>
  <c r="H104" i="21"/>
  <c r="I104" i="21" s="1"/>
  <c r="H103" i="21"/>
  <c r="I103" i="21" s="1"/>
  <c r="H102" i="21"/>
  <c r="I102" i="21" s="1"/>
  <c r="G102" i="21"/>
  <c r="H100" i="21"/>
  <c r="I100" i="21" s="1"/>
  <c r="H99" i="21"/>
  <c r="I99" i="21" s="1"/>
  <c r="H98" i="21"/>
  <c r="I98" i="21" s="1"/>
  <c r="G98" i="21"/>
  <c r="H97" i="21"/>
  <c r="I97" i="21" s="1"/>
  <c r="G97" i="21"/>
  <c r="I96" i="21"/>
  <c r="H92" i="21"/>
  <c r="I92" i="21" s="1"/>
  <c r="H91" i="21"/>
  <c r="I91" i="21" s="1"/>
  <c r="H90" i="21"/>
  <c r="I90" i="21" s="1"/>
  <c r="G90" i="21"/>
  <c r="H88" i="21"/>
  <c r="I88" i="21" s="1"/>
  <c r="H87" i="21"/>
  <c r="I87" i="21" s="1"/>
  <c r="H86" i="21"/>
  <c r="G86" i="21"/>
  <c r="H85" i="21"/>
  <c r="I84" i="21" s="1"/>
  <c r="H80" i="21"/>
  <c r="I80" i="21" s="1"/>
  <c r="H79" i="21"/>
  <c r="I79" i="21" s="1"/>
  <c r="H78" i="21"/>
  <c r="I78" i="21" s="1"/>
  <c r="G78" i="21"/>
  <c r="H76" i="21"/>
  <c r="I76" i="21" s="1"/>
  <c r="H75" i="21"/>
  <c r="I75" i="21" s="1"/>
  <c r="H74" i="21"/>
  <c r="I74" i="21" s="1"/>
  <c r="G74" i="21"/>
  <c r="H73" i="21"/>
  <c r="I73" i="21" s="1"/>
  <c r="G73" i="21"/>
  <c r="I72" i="21"/>
  <c r="H68" i="21"/>
  <c r="I68" i="21" s="1"/>
  <c r="G68" i="21"/>
  <c r="H67" i="21"/>
  <c r="I67" i="21" s="1"/>
  <c r="G67" i="21"/>
  <c r="I66" i="21"/>
  <c r="I65" i="21"/>
  <c r="H64" i="21"/>
  <c r="I64" i="21" s="1"/>
  <c r="G64" i="21"/>
  <c r="H63" i="21"/>
  <c r="I63" i="21" s="1"/>
  <c r="H62" i="21"/>
  <c r="I62" i="21" s="1"/>
  <c r="G62" i="21"/>
  <c r="I61" i="21"/>
  <c r="H57" i="21"/>
  <c r="I57" i="21" s="1"/>
  <c r="H56" i="21"/>
  <c r="I56" i="21" s="1"/>
  <c r="G56" i="21"/>
  <c r="H55" i="21"/>
  <c r="I55" i="21" s="1"/>
  <c r="G55" i="21"/>
  <c r="H54" i="21"/>
  <c r="I54" i="21" s="1"/>
  <c r="H53" i="21"/>
  <c r="I53" i="21" s="1"/>
  <c r="H52" i="21"/>
  <c r="I52" i="21" s="1"/>
  <c r="G52" i="21"/>
  <c r="H51" i="21"/>
  <c r="I51" i="21" s="1"/>
  <c r="G51" i="21"/>
  <c r="G23" i="21" l="1"/>
  <c r="I58" i="21"/>
  <c r="I143" i="21"/>
  <c r="I85" i="21"/>
  <c r="I86" i="21"/>
  <c r="I165" i="21"/>
  <c r="I236" i="21"/>
  <c r="I209" i="21"/>
  <c r="I175" i="21"/>
  <c r="I220" i="21"/>
  <c r="I105" i="21"/>
  <c r="I69" i="21"/>
  <c r="I116" i="21"/>
  <c r="I185" i="21"/>
  <c r="I50" i="21"/>
  <c r="I45" i="21"/>
  <c r="I44" i="21"/>
  <c r="I43" i="21"/>
  <c r="G43" i="21"/>
  <c r="H42" i="21"/>
  <c r="I42" i="21" s="1"/>
  <c r="G42" i="21"/>
  <c r="H41" i="21"/>
  <c r="I41" i="21" s="1"/>
  <c r="H40" i="21"/>
  <c r="I40" i="21" s="1"/>
  <c r="H39" i="21"/>
  <c r="I39" i="21" s="1"/>
  <c r="G39" i="21"/>
  <c r="H38" i="21"/>
  <c r="I38" i="21" s="1"/>
  <c r="G38" i="21"/>
  <c r="G31" i="21"/>
  <c r="G30" i="21"/>
  <c r="F29" i="21"/>
  <c r="G29" i="21" s="1"/>
  <c r="G28" i="21"/>
  <c r="G27" i="21"/>
  <c r="G26" i="21"/>
  <c r="G22" i="21"/>
  <c r="F21" i="21"/>
  <c r="G21" i="21" s="1"/>
  <c r="F20" i="21"/>
  <c r="G20" i="21" s="1"/>
  <c r="F12" i="21"/>
  <c r="F10" i="21"/>
  <c r="G10" i="21" s="1"/>
  <c r="G12" i="21" l="1"/>
  <c r="F138" i="21"/>
  <c r="G138" i="21" s="1"/>
  <c r="I15" i="21"/>
  <c r="BG167" i="1"/>
  <c r="BH193" i="1"/>
  <c r="BD193" i="1" s="1"/>
  <c r="BG166" i="1"/>
  <c r="BD166" i="1" s="1"/>
  <c r="BD167" i="1" l="1"/>
  <c r="AI150" i="15"/>
  <c r="AI146" i="15"/>
  <c r="BD189" i="1"/>
  <c r="BD190" i="1"/>
  <c r="BD186" i="1"/>
  <c r="G135" i="15" l="1"/>
  <c r="BG220" i="1"/>
  <c r="BG219" i="1"/>
  <c r="G751" i="20" l="1"/>
  <c r="F808" i="20"/>
  <c r="F859" i="20" l="1"/>
  <c r="G859" i="20" s="1"/>
  <c r="F858" i="20"/>
  <c r="G858" i="20" s="1"/>
  <c r="I857" i="20"/>
  <c r="F851" i="20"/>
  <c r="F850" i="20"/>
  <c r="F843" i="20"/>
  <c r="F842" i="20"/>
  <c r="F504" i="20"/>
  <c r="F497" i="20"/>
  <c r="F496" i="20"/>
  <c r="F495" i="20"/>
  <c r="F494" i="20"/>
  <c r="F493" i="20"/>
  <c r="F492" i="20"/>
  <c r="F486" i="20"/>
  <c r="F485" i="20"/>
  <c r="F483" i="20"/>
  <c r="F473" i="20"/>
  <c r="F472" i="20"/>
  <c r="F459" i="20"/>
  <c r="F458" i="20"/>
  <c r="F452" i="20"/>
  <c r="F440" i="20"/>
  <c r="F439" i="20"/>
  <c r="F438" i="20"/>
  <c r="F430" i="20"/>
  <c r="F429" i="20"/>
  <c r="F427" i="20"/>
  <c r="F426" i="20"/>
  <c r="F418" i="20"/>
  <c r="F416" i="20"/>
  <c r="F408" i="20"/>
  <c r="F407" i="20"/>
  <c r="F396" i="20"/>
  <c r="F394" i="20"/>
  <c r="F386" i="20"/>
  <c r="F385" i="20"/>
  <c r="F384" i="20"/>
  <c r="F383" i="20"/>
  <c r="F382" i="20"/>
  <c r="F381" i="20"/>
  <c r="F380" i="20"/>
  <c r="F379" i="20"/>
  <c r="F378" i="20"/>
  <c r="F369" i="20"/>
  <c r="F359" i="20"/>
  <c r="F303" i="20"/>
  <c r="F299" i="20"/>
  <c r="F294" i="20"/>
  <c r="F270" i="20"/>
  <c r="F268" i="20"/>
  <c r="F267" i="20"/>
  <c r="F266" i="20"/>
  <c r="F265" i="20"/>
  <c r="F264" i="20"/>
  <c r="F263" i="20"/>
  <c r="F262" i="20"/>
  <c r="F261" i="20"/>
  <c r="F253" i="20"/>
  <c r="F251" i="20"/>
  <c r="F248" i="20"/>
  <c r="F247" i="20"/>
  <c r="F240" i="20"/>
  <c r="F239" i="20"/>
  <c r="F230" i="20"/>
  <c r="F223" i="20"/>
  <c r="F213" i="20"/>
  <c r="F202" i="20"/>
  <c r="F197" i="20"/>
  <c r="F193" i="20"/>
  <c r="F192" i="20"/>
  <c r="F191" i="20"/>
  <c r="F182" i="20"/>
  <c r="F178" i="20"/>
  <c r="F172" i="20"/>
  <c r="F168" i="20"/>
  <c r="F158" i="20"/>
  <c r="F157" i="20"/>
  <c r="F156" i="20"/>
  <c r="F151" i="20"/>
  <c r="F147" i="20"/>
  <c r="F146" i="20"/>
  <c r="F137" i="20"/>
  <c r="F135" i="20"/>
  <c r="F131" i="20"/>
  <c r="F130" i="20"/>
  <c r="F124" i="20"/>
  <c r="G124" i="20" s="1"/>
  <c r="F120" i="20"/>
  <c r="F119" i="20"/>
  <c r="F113" i="20"/>
  <c r="G113" i="20" s="1"/>
  <c r="F109" i="20"/>
  <c r="F108" i="20"/>
  <c r="F97" i="20"/>
  <c r="F96" i="20"/>
  <c r="F101" i="20"/>
  <c r="F89" i="20"/>
  <c r="G89" i="20" s="1"/>
  <c r="F85" i="20"/>
  <c r="F84" i="20"/>
  <c r="F77" i="20"/>
  <c r="F73" i="20"/>
  <c r="F72" i="20"/>
  <c r="F62" i="20"/>
  <c r="F61" i="20"/>
  <c r="F55" i="20"/>
  <c r="F51" i="20"/>
  <c r="F50" i="20"/>
  <c r="F43" i="20"/>
  <c r="F39" i="20"/>
  <c r="F38" i="20"/>
  <c r="F30" i="20"/>
  <c r="F29" i="20"/>
  <c r="F23" i="20"/>
  <c r="F22" i="20"/>
  <c r="F21" i="20"/>
  <c r="F20" i="20"/>
  <c r="F12" i="20"/>
  <c r="F11" i="20"/>
  <c r="F10" i="20"/>
  <c r="G492" i="20" l="1"/>
  <c r="G306" i="20"/>
  <c r="G233" i="20"/>
  <c r="G234" i="20"/>
  <c r="G200" i="20"/>
  <c r="G197" i="20"/>
  <c r="H194" i="20"/>
  <c r="I194" i="20" s="1"/>
  <c r="K194" i="20"/>
  <c r="G140" i="20"/>
  <c r="G67" i="20"/>
  <c r="G26" i="20"/>
  <c r="G304" i="20"/>
  <c r="G303" i="20"/>
  <c r="G299" i="20"/>
  <c r="G300" i="20"/>
  <c r="G294" i="20"/>
  <c r="G295" i="20"/>
  <c r="G293" i="20"/>
  <c r="G31" i="20"/>
  <c r="G30" i="20"/>
  <c r="G29" i="20"/>
  <c r="G428" i="20" l="1"/>
  <c r="G415" i="20"/>
  <c r="G476" i="20" l="1"/>
  <c r="G475" i="20"/>
  <c r="G473" i="20"/>
  <c r="G472" i="20"/>
  <c r="G430" i="20"/>
  <c r="G429" i="20"/>
  <c r="G417" i="20"/>
  <c r="G416" i="20"/>
  <c r="G418" i="20"/>
  <c r="G399" i="20"/>
  <c r="G398" i="20"/>
  <c r="G395" i="20"/>
  <c r="G396" i="20"/>
  <c r="G394" i="20"/>
  <c r="G251" i="20"/>
  <c r="G252" i="20"/>
  <c r="G253" i="20"/>
  <c r="G438" i="20"/>
  <c r="G393" i="20"/>
  <c r="G373" i="20"/>
  <c r="G372" i="20"/>
  <c r="G363" i="20"/>
  <c r="G362" i="20"/>
  <c r="G342" i="20"/>
  <c r="G354" i="20" s="1"/>
  <c r="H298" i="20"/>
  <c r="H292" i="20"/>
  <c r="I291" i="20" s="1"/>
  <c r="G305" i="20"/>
  <c r="G292" i="20"/>
  <c r="G287" i="20"/>
  <c r="G269" i="20"/>
  <c r="G270" i="20"/>
  <c r="G240" i="20"/>
  <c r="I270" i="20"/>
  <c r="I271" i="20"/>
  <c r="I272" i="20"/>
  <c r="I256" i="20"/>
  <c r="H255" i="20"/>
  <c r="I250" i="20" s="1"/>
  <c r="H256" i="20"/>
  <c r="I255" i="20" s="1"/>
  <c r="H250" i="20"/>
  <c r="I233" i="20"/>
  <c r="I234" i="20"/>
  <c r="I231" i="20"/>
  <c r="I232" i="20"/>
  <c r="I230" i="20"/>
  <c r="I229" i="20"/>
  <c r="I222" i="20"/>
  <c r="I212" i="20"/>
  <c r="H191" i="20"/>
  <c r="I191" i="20" s="1"/>
  <c r="H197" i="20"/>
  <c r="I197" i="20" s="1"/>
  <c r="H198" i="20"/>
  <c r="I198" i="20" s="1"/>
  <c r="H199" i="20"/>
  <c r="I199" i="20" s="1"/>
  <c r="H200" i="20"/>
  <c r="I200" i="20" s="1"/>
  <c r="H201" i="20"/>
  <c r="I201" i="20" s="1"/>
  <c r="H202" i="20"/>
  <c r="I202" i="20" s="1"/>
  <c r="H203" i="20"/>
  <c r="I203" i="20" s="1"/>
  <c r="H204" i="20"/>
  <c r="I204" i="20" s="1"/>
  <c r="H205" i="20"/>
  <c r="I205" i="20" s="1"/>
  <c r="H206" i="20"/>
  <c r="I206" i="20" s="1"/>
  <c r="H207" i="20"/>
  <c r="I207" i="20" s="1"/>
  <c r="I190" i="20"/>
  <c r="I183" i="20"/>
  <c r="I182" i="20"/>
  <c r="I177" i="20"/>
  <c r="I167" i="20"/>
  <c r="I160" i="20"/>
  <c r="I159" i="20"/>
  <c r="I138" i="20"/>
  <c r="I137" i="20"/>
  <c r="I157" i="20"/>
  <c r="I156" i="20"/>
  <c r="I149" i="20"/>
  <c r="I148" i="20"/>
  <c r="H171" i="20"/>
  <c r="I171" i="20" s="1"/>
  <c r="H172" i="20"/>
  <c r="I172" i="20" s="1"/>
  <c r="H173" i="20"/>
  <c r="I173" i="20" s="1"/>
  <c r="I163" i="20"/>
  <c r="I162" i="20"/>
  <c r="I158" i="20"/>
  <c r="I161" i="20"/>
  <c r="I147" i="20"/>
  <c r="I150" i="20"/>
  <c r="I151" i="20"/>
  <c r="I152" i="20"/>
  <c r="I153" i="20"/>
  <c r="I154" i="20"/>
  <c r="I155" i="20"/>
  <c r="I146" i="20"/>
  <c r="I139" i="20"/>
  <c r="I136" i="20"/>
  <c r="I140" i="20"/>
  <c r="I141" i="20"/>
  <c r="I135" i="20"/>
  <c r="I134" i="20"/>
  <c r="I132" i="20"/>
  <c r="I133" i="20"/>
  <c r="I130" i="20"/>
  <c r="I131" i="20"/>
  <c r="H123" i="20"/>
  <c r="I123" i="20" s="1"/>
  <c r="H124" i="20"/>
  <c r="I124" i="20" s="1"/>
  <c r="H125" i="20"/>
  <c r="I125" i="20" s="1"/>
  <c r="I118" i="20"/>
  <c r="I107" i="20"/>
  <c r="G123" i="20"/>
  <c r="H113" i="20"/>
  <c r="I113" i="20" s="1"/>
  <c r="H114" i="20"/>
  <c r="I114" i="20" s="1"/>
  <c r="I95" i="20"/>
  <c r="H101" i="20"/>
  <c r="I101" i="20" s="1"/>
  <c r="H102" i="20"/>
  <c r="I102" i="20" s="1"/>
  <c r="H103" i="20"/>
  <c r="I103" i="20" s="1"/>
  <c r="H88" i="20"/>
  <c r="I88" i="20" s="1"/>
  <c r="H89" i="20"/>
  <c r="I89" i="20" s="1"/>
  <c r="H90" i="20"/>
  <c r="I90" i="20" s="1"/>
  <c r="H91" i="20"/>
  <c r="I91" i="20" s="1"/>
  <c r="H55" i="20"/>
  <c r="I55" i="20" s="1"/>
  <c r="H56" i="20"/>
  <c r="I56" i="20" s="1"/>
  <c r="H77" i="20"/>
  <c r="I77" i="20" s="1"/>
  <c r="H78" i="20"/>
  <c r="I78" i="20" s="1"/>
  <c r="H79" i="20"/>
  <c r="I79" i="20" s="1"/>
  <c r="H54" i="20"/>
  <c r="I54" i="20" s="1"/>
  <c r="I45" i="20"/>
  <c r="I44" i="20"/>
  <c r="I43" i="20"/>
  <c r="I71" i="20"/>
  <c r="I64" i="20"/>
  <c r="I65" i="20"/>
  <c r="I60" i="20"/>
  <c r="G239" i="20"/>
  <c r="G230" i="20"/>
  <c r="H223" i="20"/>
  <c r="I223" i="20" s="1"/>
  <c r="G217" i="20"/>
  <c r="G229" i="20"/>
  <c r="G155" i="20"/>
  <c r="G203" i="20"/>
  <c r="G206" i="20"/>
  <c r="G207" i="20"/>
  <c r="G202" i="20"/>
  <c r="G182" i="20"/>
  <c r="G178" i="20"/>
  <c r="G172" i="20"/>
  <c r="G168" i="20"/>
  <c r="G157" i="20"/>
  <c r="G158" i="20"/>
  <c r="G159" i="20"/>
  <c r="G162" i="20"/>
  <c r="G163" i="20"/>
  <c r="G156" i="20"/>
  <c r="G135" i="20"/>
  <c r="H10" i="20"/>
  <c r="I10" i="20" s="1"/>
  <c r="G54" i="20"/>
  <c r="I46" i="20"/>
  <c r="I164" i="20" l="1"/>
  <c r="I142" i="20"/>
  <c r="G38" i="20"/>
  <c r="G39" i="20"/>
  <c r="G43" i="20"/>
  <c r="G55" i="20"/>
  <c r="G77" i="20"/>
  <c r="G101" i="20"/>
  <c r="H169" i="20"/>
  <c r="I169" i="20" s="1"/>
  <c r="G149" i="20" l="1"/>
  <c r="G150" i="20"/>
  <c r="G151" i="20"/>
  <c r="G146" i="20"/>
  <c r="G136" i="20"/>
  <c r="G137" i="20"/>
  <c r="G141" i="20"/>
  <c r="G100" i="20"/>
  <c r="G66" i="20"/>
  <c r="G62" i="20"/>
  <c r="G63" i="20"/>
  <c r="G61" i="20"/>
  <c r="G20" i="20"/>
  <c r="G10" i="20"/>
  <c r="H11" i="20"/>
  <c r="I11" i="20" s="1"/>
  <c r="H217" i="20"/>
  <c r="I217" i="20" s="1"/>
  <c r="G147" i="20" l="1"/>
  <c r="G148" i="20"/>
  <c r="G640" i="20"/>
  <c r="G645" i="20" s="1"/>
  <c r="BG1011" i="1" s="1"/>
  <c r="BD1011" i="1" s="1"/>
  <c r="BE1011" i="1" s="1"/>
  <c r="G635" i="20"/>
  <c r="G636" i="20" s="1"/>
  <c r="BG1009" i="1" s="1"/>
  <c r="BD1009" i="1" s="1"/>
  <c r="G770" i="20"/>
  <c r="G771" i="20" s="1"/>
  <c r="BG618" i="1" s="1"/>
  <c r="BD618" i="1" s="1"/>
  <c r="BE618" i="1" s="1"/>
  <c r="BF618" i="1" s="1"/>
  <c r="BE1055" i="1"/>
  <c r="BE1009" i="1" l="1"/>
  <c r="BF1009" i="1" s="1"/>
  <c r="BF1011" i="1"/>
  <c r="AL548" i="15"/>
  <c r="AM11" i="15"/>
  <c r="AI685" i="15" s="1"/>
  <c r="AJ685" i="15" s="1"/>
  <c r="AK685" i="15" s="1"/>
  <c r="BH19" i="1"/>
  <c r="G229" i="21" l="1"/>
  <c r="G199" i="21"/>
  <c r="G195" i="21"/>
  <c r="G171" i="21"/>
  <c r="G161" i="21"/>
  <c r="G154" i="21"/>
  <c r="G140" i="21"/>
  <c r="G217" i="21"/>
  <c r="G133" i="21"/>
  <c r="G126" i="21"/>
  <c r="G104" i="21"/>
  <c r="G215" i="21"/>
  <c r="G228" i="21"/>
  <c r="G200" i="21"/>
  <c r="G162" i="21"/>
  <c r="F57" i="21"/>
  <c r="G57" i="21" s="1"/>
  <c r="G115" i="21"/>
  <c r="G66" i="21"/>
  <c r="G79" i="21"/>
  <c r="G205" i="21"/>
  <c r="G91" i="21"/>
  <c r="F184" i="21"/>
  <c r="G184" i="21" s="1"/>
  <c r="G134" i="21"/>
  <c r="G80" i="21"/>
  <c r="G65" i="21"/>
  <c r="G206" i="21"/>
  <c r="G103" i="21"/>
  <c r="G233" i="21"/>
  <c r="G181" i="21"/>
  <c r="G180" i="21"/>
  <c r="G232" i="21"/>
  <c r="G216" i="21"/>
  <c r="G174" i="21"/>
  <c r="G92" i="21"/>
  <c r="G196" i="21"/>
  <c r="G139" i="21"/>
  <c r="G170" i="21"/>
  <c r="G155" i="21"/>
  <c r="G14" i="21"/>
  <c r="G45" i="21"/>
  <c r="G32" i="21"/>
  <c r="G25" i="21"/>
  <c r="G13" i="21"/>
  <c r="G44" i="21"/>
  <c r="G24" i="21"/>
  <c r="F861" i="20"/>
  <c r="G861" i="20" s="1"/>
  <c r="F860" i="20"/>
  <c r="G860" i="20" s="1"/>
  <c r="F32" i="20"/>
  <c r="G32" i="20" s="1"/>
  <c r="F307" i="20"/>
  <c r="G307" i="20" s="1"/>
  <c r="F232" i="20"/>
  <c r="G232" i="20" s="1"/>
  <c r="F308" i="20"/>
  <c r="G308" i="20" s="1"/>
  <c r="F194" i="20"/>
  <c r="G194" i="20" s="1"/>
  <c r="F271" i="20"/>
  <c r="F297" i="20"/>
  <c r="G297" i="20" s="1"/>
  <c r="F24" i="20"/>
  <c r="G24" i="20" s="1"/>
  <c r="F13" i="20"/>
  <c r="F296" i="20"/>
  <c r="G296" i="20" s="1"/>
  <c r="F431" i="20"/>
  <c r="G431" i="20" s="1"/>
  <c r="F231" i="20"/>
  <c r="G231" i="20" s="1"/>
  <c r="F138" i="20"/>
  <c r="G138" i="20" s="1"/>
  <c r="F419" i="20"/>
  <c r="G419" i="20" s="1"/>
  <c r="F205" i="20"/>
  <c r="G205" i="20" s="1"/>
  <c r="F397" i="20"/>
  <c r="G397" i="20" s="1"/>
  <c r="F204" i="20"/>
  <c r="G204" i="20" s="1"/>
  <c r="F301" i="20"/>
  <c r="G301" i="20" s="1"/>
  <c r="F199" i="20"/>
  <c r="G199" i="20" s="1"/>
  <c r="F198" i="20"/>
  <c r="G198" i="20" s="1"/>
  <c r="F474" i="20"/>
  <c r="G474" i="20" s="1"/>
  <c r="F302" i="20"/>
  <c r="G302" i="20" s="1"/>
  <c r="F161" i="20"/>
  <c r="G161" i="20" s="1"/>
  <c r="F254" i="20"/>
  <c r="G254" i="20" s="1"/>
  <c r="F160" i="20"/>
  <c r="G160" i="20" s="1"/>
  <c r="F139" i="20"/>
  <c r="G139" i="20" s="1"/>
  <c r="F227" i="20"/>
  <c r="F125" i="20"/>
  <c r="G125" i="20" s="1"/>
  <c r="F617" i="20"/>
  <c r="F610" i="20"/>
  <c r="F580" i="20"/>
  <c r="F548" i="20"/>
  <c r="F516" i="20"/>
  <c r="F852" i="20"/>
  <c r="F498" i="20"/>
  <c r="F469" i="20"/>
  <c r="F255" i="20"/>
  <c r="G255" i="20" s="1"/>
  <c r="F153" i="20"/>
  <c r="F433" i="20"/>
  <c r="F241" i="20"/>
  <c r="F91" i="20"/>
  <c r="G91" i="20" s="1"/>
  <c r="F78" i="20"/>
  <c r="G78" i="20" s="1"/>
  <c r="F183" i="20"/>
  <c r="G183" i="20" s="1"/>
  <c r="F79" i="20"/>
  <c r="G79" i="20" s="1"/>
  <c r="F507" i="20"/>
  <c r="F410" i="20"/>
  <c r="F56" i="20"/>
  <c r="G56" i="20" s="1"/>
  <c r="F602" i="20"/>
  <c r="F628" i="20"/>
  <c r="F609" i="20"/>
  <c r="F579" i="20"/>
  <c r="F547" i="20"/>
  <c r="F515" i="20"/>
  <c r="F845" i="20"/>
  <c r="F441" i="20"/>
  <c r="F462" i="20"/>
  <c r="F215" i="20"/>
  <c r="F132" i="20"/>
  <c r="F421" i="20"/>
  <c r="F461" i="20"/>
  <c r="F44" i="20"/>
  <c r="G44" i="20" s="1"/>
  <c r="F228" i="20"/>
  <c r="F41" i="20"/>
  <c r="F571" i="20"/>
  <c r="F837" i="20"/>
  <c r="G837" i="20" s="1"/>
  <c r="F739" i="20"/>
  <c r="F603" i="20"/>
  <c r="F572" i="20"/>
  <c r="F540" i="20"/>
  <c r="F844" i="20"/>
  <c r="F409" i="20"/>
  <c r="F387" i="20"/>
  <c r="F432" i="20"/>
  <c r="F180" i="20"/>
  <c r="F776" i="20"/>
  <c r="F539" i="20"/>
  <c r="F371" i="20"/>
  <c r="F740" i="20"/>
  <c r="F596" i="20"/>
  <c r="F564" i="20"/>
  <c r="F532" i="20"/>
  <c r="F25" i="20"/>
  <c r="F836" i="20"/>
  <c r="G836" i="20" s="1"/>
  <c r="F400" i="20"/>
  <c r="G400" i="20" s="1"/>
  <c r="F65" i="20"/>
  <c r="G65" i="20" s="1"/>
  <c r="F481" i="20"/>
  <c r="F388" i="20"/>
  <c r="F256" i="20"/>
  <c r="F195" i="20"/>
  <c r="F170" i="20"/>
  <c r="F179" i="20"/>
  <c r="F731" i="20"/>
  <c r="F595" i="20"/>
  <c r="F563" i="20"/>
  <c r="F531" i="20"/>
  <c r="F835" i="20"/>
  <c r="G835" i="20" s="1"/>
  <c r="F754" i="20"/>
  <c r="F810" i="20"/>
  <c r="F470" i="20"/>
  <c r="F370" i="20"/>
  <c r="F242" i="20"/>
  <c r="F154" i="20"/>
  <c r="F169" i="20"/>
  <c r="F629" i="20"/>
  <c r="F588" i="20"/>
  <c r="F556" i="20"/>
  <c r="F524" i="20"/>
  <c r="F14" i="20"/>
  <c r="F811" i="20"/>
  <c r="F506" i="20"/>
  <c r="F463" i="20"/>
  <c r="F361" i="20"/>
  <c r="F216" i="20"/>
  <c r="F133" i="20"/>
  <c r="F114" i="20"/>
  <c r="G114" i="20" s="1"/>
  <c r="F102" i="20"/>
  <c r="G102" i="20" s="1"/>
  <c r="F555" i="20"/>
  <c r="F272" i="20"/>
  <c r="F40" i="20"/>
  <c r="G40" i="20" s="1"/>
  <c r="F523" i="20"/>
  <c r="F64" i="20"/>
  <c r="F853" i="20"/>
  <c r="F214" i="20"/>
  <c r="G214" i="20" s="1"/>
  <c r="F753" i="20"/>
  <c r="F499" i="20"/>
  <c r="F173" i="20"/>
  <c r="G173" i="20" s="1"/>
  <c r="F730" i="20"/>
  <c r="F360" i="20"/>
  <c r="F442" i="20"/>
  <c r="F103" i="20"/>
  <c r="G103" i="20" s="1"/>
  <c r="F616" i="20"/>
  <c r="F482" i="20"/>
  <c r="F401" i="20"/>
  <c r="F45" i="20"/>
  <c r="G45" i="20" s="1"/>
  <c r="F587" i="20"/>
  <c r="F420" i="20"/>
  <c r="F90" i="20"/>
  <c r="G90" i="20" s="1"/>
  <c r="AI327" i="15"/>
  <c r="AJ327" i="15" s="1"/>
  <c r="AK327" i="15" s="1"/>
  <c r="AJ146" i="15"/>
  <c r="AK146" i="15" s="1"/>
  <c r="AJ150" i="15"/>
  <c r="AK150" i="15" s="1"/>
  <c r="AI894" i="15"/>
  <c r="AJ894" i="15" s="1"/>
  <c r="AK894" i="15" s="1"/>
  <c r="AI673" i="15"/>
  <c r="AJ673" i="15" s="1"/>
  <c r="AK673" i="15" s="1"/>
  <c r="AI826" i="15"/>
  <c r="AJ826" i="15" s="1"/>
  <c r="AK826" i="15" s="1"/>
  <c r="I33" i="20"/>
  <c r="G185" i="21" l="1"/>
  <c r="BA144" i="1" s="1"/>
  <c r="BB144" i="1" s="1"/>
  <c r="BC144" i="1" s="1"/>
  <c r="G15" i="21"/>
  <c r="G175" i="21"/>
  <c r="BA143" i="1" s="1"/>
  <c r="BB143" i="1" s="1"/>
  <c r="BC143" i="1" s="1"/>
  <c r="G69" i="21"/>
  <c r="BG69" i="1" s="1"/>
  <c r="G143" i="21"/>
  <c r="BA115" i="1" s="1"/>
  <c r="G236" i="21"/>
  <c r="BA137" i="1" s="1"/>
  <c r="BB137" i="1" s="1"/>
  <c r="BC137" i="1" s="1"/>
  <c r="G40" i="21"/>
  <c r="G165" i="21"/>
  <c r="BA126" i="1" s="1"/>
  <c r="BB126" i="1" s="1"/>
  <c r="BC126" i="1" s="1"/>
  <c r="G209" i="21"/>
  <c r="BG87" i="1" s="1"/>
  <c r="BA87" i="1" s="1"/>
  <c r="G33" i="21"/>
  <c r="G220" i="21"/>
  <c r="G41" i="21"/>
  <c r="G862" i="20"/>
  <c r="BG250" i="1" s="1"/>
  <c r="AK149" i="15"/>
  <c r="AP148" i="15"/>
  <c r="G838" i="20"/>
  <c r="BG1080" i="1" s="1"/>
  <c r="BD1080" i="1" s="1"/>
  <c r="BB115" i="1" l="1"/>
  <c r="BC115" i="1" s="1"/>
  <c r="AF82" i="15"/>
  <c r="AG82" i="15" s="1"/>
  <c r="AH82" i="15" s="1"/>
  <c r="BA138" i="1"/>
  <c r="BB138" i="1" s="1"/>
  <c r="BC138" i="1" s="1"/>
  <c r="AF54" i="15"/>
  <c r="AG54" i="15" s="1"/>
  <c r="AH54" i="15" s="1"/>
  <c r="BA135" i="1"/>
  <c r="BG95" i="1"/>
  <c r="BA95" i="1" s="1"/>
  <c r="AF61" i="15" s="1"/>
  <c r="AG61" i="15" s="1"/>
  <c r="AH61" i="15" s="1"/>
  <c r="BA152" i="1"/>
  <c r="BB152" i="1" s="1"/>
  <c r="BC152" i="1" s="1"/>
  <c r="BG65" i="1"/>
  <c r="BA65" i="1" s="1"/>
  <c r="AF35" i="15" s="1"/>
  <c r="BG74" i="1"/>
  <c r="BA74" i="1" s="1"/>
  <c r="BA69" i="1"/>
  <c r="AF38" i="15" s="1"/>
  <c r="BG82" i="1"/>
  <c r="BA82" i="1" s="1"/>
  <c r="G46" i="21"/>
  <c r="BG67" i="1" s="1"/>
  <c r="F76" i="21"/>
  <c r="G54" i="21"/>
  <c r="F75" i="21"/>
  <c r="G53" i="21"/>
  <c r="BD250" i="1"/>
  <c r="BE250" i="1" s="1"/>
  <c r="BF250" i="1" s="1"/>
  <c r="AL203" i="15"/>
  <c r="AI203" i="15" s="1"/>
  <c r="AJ203" i="15" s="1"/>
  <c r="AK203" i="15" s="1"/>
  <c r="AL884" i="15"/>
  <c r="AI884" i="15" s="1"/>
  <c r="AJ884" i="15" s="1"/>
  <c r="AK884" i="15" s="1"/>
  <c r="G21" i="20"/>
  <c r="G22" i="20"/>
  <c r="G23" i="20"/>
  <c r="G25" i="20"/>
  <c r="G27" i="20"/>
  <c r="G28" i="20"/>
  <c r="G807" i="20"/>
  <c r="G808" i="20"/>
  <c r="G809" i="20"/>
  <c r="G810" i="20"/>
  <c r="G811" i="20"/>
  <c r="G806" i="20"/>
  <c r="G745" i="20"/>
  <c r="G746" i="20" s="1"/>
  <c r="G452" i="20"/>
  <c r="G447" i="20"/>
  <c r="G298" i="20"/>
  <c r="G11" i="20"/>
  <c r="G12" i="20"/>
  <c r="G13" i="20"/>
  <c r="G14" i="20"/>
  <c r="G41" i="20"/>
  <c r="G42" i="20"/>
  <c r="H181" i="20"/>
  <c r="I181" i="20" s="1"/>
  <c r="G181" i="20"/>
  <c r="H180" i="20"/>
  <c r="I180" i="20" s="1"/>
  <c r="G180" i="20"/>
  <c r="H179" i="20"/>
  <c r="I179" i="20" s="1"/>
  <c r="G179" i="20"/>
  <c r="H178" i="20"/>
  <c r="I178" i="20" s="1"/>
  <c r="G171" i="20"/>
  <c r="H170" i="20"/>
  <c r="I170" i="20" s="1"/>
  <c r="G170" i="20"/>
  <c r="G169" i="20"/>
  <c r="H168" i="20"/>
  <c r="I168" i="20" s="1"/>
  <c r="G152" i="20"/>
  <c r="G154" i="20"/>
  <c r="G153" i="20"/>
  <c r="G134" i="20"/>
  <c r="G133" i="20"/>
  <c r="G132" i="20"/>
  <c r="G131" i="20"/>
  <c r="G130" i="20"/>
  <c r="AG38" i="15" l="1"/>
  <c r="AH38" i="15" s="1"/>
  <c r="AF49" i="15"/>
  <c r="AG49" i="15" s="1"/>
  <c r="AH49" i="15" s="1"/>
  <c r="AG35" i="15"/>
  <c r="AH35" i="15" s="1"/>
  <c r="AF43" i="15"/>
  <c r="AG43" i="15" s="1"/>
  <c r="AH43" i="15" s="1"/>
  <c r="BB135" i="1"/>
  <c r="BC135" i="1" s="1"/>
  <c r="BA146" i="1"/>
  <c r="BB146" i="1" s="1"/>
  <c r="BC146" i="1" s="1"/>
  <c r="BA67" i="1"/>
  <c r="AF47" i="15" s="1"/>
  <c r="AG47" i="15" s="1"/>
  <c r="AH47" i="15" s="1"/>
  <c r="BG79" i="1"/>
  <c r="BA79" i="1" s="1"/>
  <c r="G58" i="21"/>
  <c r="BG68" i="1" s="1"/>
  <c r="F87" i="21"/>
  <c r="G75" i="21"/>
  <c r="G76" i="21"/>
  <c r="F88" i="21"/>
  <c r="G812" i="20"/>
  <c r="BG196" i="1" s="1"/>
  <c r="AL153" i="15" s="1"/>
  <c r="G164" i="20"/>
  <c r="G283" i="20"/>
  <c r="I184" i="20"/>
  <c r="I174" i="20"/>
  <c r="G46" i="20"/>
  <c r="G33" i="20"/>
  <c r="G184" i="20"/>
  <c r="BG144" i="1" s="1"/>
  <c r="G142" i="20"/>
  <c r="BG115" i="1" s="1"/>
  <c r="G174" i="20"/>
  <c r="BG143" i="1" s="1"/>
  <c r="G15" i="20"/>
  <c r="G359" i="20"/>
  <c r="G360" i="20"/>
  <c r="G361" i="20"/>
  <c r="G358" i="20"/>
  <c r="G369" i="20"/>
  <c r="G370" i="20"/>
  <c r="G371" i="20"/>
  <c r="G368" i="20"/>
  <c r="G458" i="20"/>
  <c r="G459" i="20"/>
  <c r="G460" i="20"/>
  <c r="G461" i="20"/>
  <c r="G462" i="20"/>
  <c r="G463" i="20"/>
  <c r="G457" i="20"/>
  <c r="G498" i="20"/>
  <c r="G499" i="20"/>
  <c r="G508" i="20"/>
  <c r="G507" i="20"/>
  <c r="G506" i="20"/>
  <c r="G505" i="20"/>
  <c r="G504" i="20"/>
  <c r="G851" i="20"/>
  <c r="G852" i="20"/>
  <c r="G853" i="20"/>
  <c r="G850" i="20"/>
  <c r="G845" i="20"/>
  <c r="G844" i="20"/>
  <c r="G843" i="20"/>
  <c r="G842" i="20"/>
  <c r="G752" i="20"/>
  <c r="G753" i="20"/>
  <c r="G754" i="20"/>
  <c r="H853" i="20"/>
  <c r="I852" i="20" s="1"/>
  <c r="H852" i="20"/>
  <c r="I851" i="20" s="1"/>
  <c r="H851" i="20"/>
  <c r="I850" i="20" s="1"/>
  <c r="H850" i="20"/>
  <c r="I849" i="20" s="1"/>
  <c r="H845" i="20"/>
  <c r="I844" i="20" s="1"/>
  <c r="H844" i="20"/>
  <c r="I843" i="20" s="1"/>
  <c r="H843" i="20"/>
  <c r="I842" i="20" s="1"/>
  <c r="H842" i="20"/>
  <c r="I841" i="20" s="1"/>
  <c r="G482" i="20"/>
  <c r="G483" i="20"/>
  <c r="G484" i="20"/>
  <c r="G485" i="20"/>
  <c r="G486" i="20"/>
  <c r="G487" i="20"/>
  <c r="G481" i="20"/>
  <c r="G471" i="20"/>
  <c r="G470" i="20"/>
  <c r="G469" i="20"/>
  <c r="G442" i="20"/>
  <c r="G441" i="20"/>
  <c r="G440" i="20"/>
  <c r="G439" i="20"/>
  <c r="G432" i="20"/>
  <c r="G433" i="20"/>
  <c r="G427" i="20"/>
  <c r="G426" i="20"/>
  <c r="I421" i="20"/>
  <c r="G421" i="20"/>
  <c r="G420" i="20"/>
  <c r="G409" i="20"/>
  <c r="G410" i="20"/>
  <c r="I410" i="20"/>
  <c r="G408" i="20"/>
  <c r="G407" i="20"/>
  <c r="G406" i="20"/>
  <c r="I401" i="20"/>
  <c r="G401" i="20"/>
  <c r="G402" i="20" s="1"/>
  <c r="G388" i="20"/>
  <c r="G379" i="20"/>
  <c r="G380" i="20"/>
  <c r="G381" i="20"/>
  <c r="G382" i="20"/>
  <c r="G383" i="20"/>
  <c r="G384" i="20"/>
  <c r="G385" i="20"/>
  <c r="G386" i="20"/>
  <c r="G387" i="20"/>
  <c r="G378" i="20"/>
  <c r="H373" i="20"/>
  <c r="I372" i="20" s="1"/>
  <c r="H372" i="20"/>
  <c r="I371" i="20" s="1"/>
  <c r="H371" i="20"/>
  <c r="I370" i="20" s="1"/>
  <c r="H370" i="20"/>
  <c r="I369" i="20" s="1"/>
  <c r="H369" i="20"/>
  <c r="I368" i="20" s="1"/>
  <c r="H368" i="20"/>
  <c r="I367" i="20" s="1"/>
  <c r="H363" i="20"/>
  <c r="I362" i="20" s="1"/>
  <c r="H362" i="20"/>
  <c r="I361" i="20" s="1"/>
  <c r="H361" i="20"/>
  <c r="I360" i="20" s="1"/>
  <c r="H360" i="20"/>
  <c r="I359" i="20" s="1"/>
  <c r="H359" i="20"/>
  <c r="I358" i="20" s="1"/>
  <c r="H358" i="20"/>
  <c r="I357" i="20" s="1"/>
  <c r="G256" i="20"/>
  <c r="G262" i="20"/>
  <c r="G263" i="20"/>
  <c r="G264" i="20"/>
  <c r="G265" i="20"/>
  <c r="G266" i="20"/>
  <c r="G267" i="20"/>
  <c r="G268" i="20"/>
  <c r="G271" i="20"/>
  <c r="G272" i="20"/>
  <c r="G261" i="20"/>
  <c r="H270" i="20"/>
  <c r="I269" i="20" s="1"/>
  <c r="H269" i="20"/>
  <c r="I268" i="20" s="1"/>
  <c r="H268" i="20"/>
  <c r="I267" i="20" s="1"/>
  <c r="H267" i="20"/>
  <c r="I266" i="20" s="1"/>
  <c r="I249" i="20"/>
  <c r="G250" i="20"/>
  <c r="H249" i="20"/>
  <c r="I248" i="20" s="1"/>
  <c r="G249" i="20"/>
  <c r="H248" i="20"/>
  <c r="I247" i="20" s="1"/>
  <c r="G248" i="20"/>
  <c r="H247" i="20"/>
  <c r="I246" i="20" s="1"/>
  <c r="G247" i="20"/>
  <c r="G64" i="20"/>
  <c r="G68" i="20" s="1"/>
  <c r="H67" i="20"/>
  <c r="I67" i="20" s="1"/>
  <c r="H66" i="20"/>
  <c r="I66" i="20" s="1"/>
  <c r="H63" i="20"/>
  <c r="I63" i="20" s="1"/>
  <c r="H62" i="20"/>
  <c r="I62" i="20" s="1"/>
  <c r="H61" i="20"/>
  <c r="I61" i="20" s="1"/>
  <c r="G241" i="20"/>
  <c r="G242" i="20"/>
  <c r="G224" i="20"/>
  <c r="G225" i="20"/>
  <c r="G226" i="20"/>
  <c r="G227" i="20"/>
  <c r="G228" i="20"/>
  <c r="G223" i="20"/>
  <c r="G215" i="20"/>
  <c r="G216" i="20"/>
  <c r="G218" i="20"/>
  <c r="G213" i="20"/>
  <c r="G192" i="20"/>
  <c r="G193" i="20"/>
  <c r="G195" i="20"/>
  <c r="G196" i="20"/>
  <c r="G201" i="20"/>
  <c r="G191" i="20"/>
  <c r="G112" i="20"/>
  <c r="G88" i="20"/>
  <c r="G76" i="20"/>
  <c r="F53" i="20"/>
  <c r="F75" i="20" s="1"/>
  <c r="F52" i="20"/>
  <c r="G51" i="20"/>
  <c r="G50" i="20"/>
  <c r="H100" i="20"/>
  <c r="I100" i="20" s="1"/>
  <c r="H99" i="20"/>
  <c r="I99" i="20" s="1"/>
  <c r="H98" i="20"/>
  <c r="I98" i="20" s="1"/>
  <c r="H97" i="20"/>
  <c r="I97" i="20" s="1"/>
  <c r="H96" i="20"/>
  <c r="I96" i="20" s="1"/>
  <c r="H122" i="20"/>
  <c r="I122" i="20" s="1"/>
  <c r="H121" i="20"/>
  <c r="I121" i="20" s="1"/>
  <c r="H120" i="20"/>
  <c r="I120" i="20" s="1"/>
  <c r="H119" i="20"/>
  <c r="I119" i="20" s="1"/>
  <c r="H112" i="20"/>
  <c r="I112" i="20" s="1"/>
  <c r="H111" i="20"/>
  <c r="I111" i="20" s="1"/>
  <c r="H110" i="20"/>
  <c r="I110" i="20" s="1"/>
  <c r="H109" i="20"/>
  <c r="I109" i="20" s="1"/>
  <c r="H108" i="20"/>
  <c r="I108" i="20" s="1"/>
  <c r="H87" i="20"/>
  <c r="I87" i="20" s="1"/>
  <c r="H86" i="20"/>
  <c r="I86" i="20" s="1"/>
  <c r="H85" i="20"/>
  <c r="H84" i="20"/>
  <c r="I83" i="20" s="1"/>
  <c r="H76" i="20"/>
  <c r="I76" i="20" s="1"/>
  <c r="H75" i="20"/>
  <c r="I75" i="20" s="1"/>
  <c r="H74" i="20"/>
  <c r="I74" i="20" s="1"/>
  <c r="H73" i="20"/>
  <c r="I73" i="20" s="1"/>
  <c r="H72" i="20"/>
  <c r="I72" i="20" s="1"/>
  <c r="H53" i="20"/>
  <c r="I53" i="20" s="1"/>
  <c r="H52" i="20"/>
  <c r="I52" i="20" s="1"/>
  <c r="H51" i="20"/>
  <c r="I51" i="20" s="1"/>
  <c r="H50" i="20"/>
  <c r="H42" i="20"/>
  <c r="I42" i="20" s="1"/>
  <c r="H41" i="20"/>
  <c r="I41" i="20" s="1"/>
  <c r="H40" i="20"/>
  <c r="I40" i="20" s="1"/>
  <c r="H39" i="20"/>
  <c r="I39" i="20" s="1"/>
  <c r="H38" i="20"/>
  <c r="I38" i="20" s="1"/>
  <c r="G707" i="20"/>
  <c r="G708" i="20" s="1"/>
  <c r="AL882" i="15" s="1"/>
  <c r="AI882" i="15" s="1"/>
  <c r="AJ882" i="15" s="1"/>
  <c r="H707" i="20"/>
  <c r="I706" i="20" s="1"/>
  <c r="I707" i="20" s="1"/>
  <c r="G712" i="20"/>
  <c r="G713" i="20" s="1"/>
  <c r="AL883" i="15" s="1"/>
  <c r="AI883" i="15" s="1"/>
  <c r="AJ883" i="15" s="1"/>
  <c r="G830" i="20"/>
  <c r="G831" i="20" s="1"/>
  <c r="AL878" i="15" s="1"/>
  <c r="AI878" i="15" s="1"/>
  <c r="AJ878" i="15" s="1"/>
  <c r="G825" i="20"/>
  <c r="G826" i="20" s="1"/>
  <c r="AL877" i="15" s="1"/>
  <c r="AI877" i="15" s="1"/>
  <c r="AJ877" i="15" s="1"/>
  <c r="G820" i="20"/>
  <c r="G821" i="20" s="1"/>
  <c r="AL876" i="15" s="1"/>
  <c r="AI876" i="15" s="1"/>
  <c r="AJ876" i="15" s="1"/>
  <c r="BG80" i="1" l="1"/>
  <c r="BA80" i="1" s="1"/>
  <c r="BA68" i="1"/>
  <c r="AF37" i="15" s="1"/>
  <c r="G88" i="21"/>
  <c r="F100" i="21"/>
  <c r="G81" i="21"/>
  <c r="G87" i="21"/>
  <c r="F99" i="21"/>
  <c r="BD144" i="1"/>
  <c r="BE144" i="1" s="1"/>
  <c r="BF144" i="1" s="1"/>
  <c r="AL111" i="15"/>
  <c r="AI111" i="15" s="1"/>
  <c r="AJ111" i="15" s="1"/>
  <c r="AK111" i="15" s="1"/>
  <c r="BD143" i="1"/>
  <c r="BE143" i="1" s="1"/>
  <c r="BF143" i="1" s="1"/>
  <c r="AL110" i="15"/>
  <c r="AI110" i="15" s="1"/>
  <c r="AJ110" i="15" s="1"/>
  <c r="AK110" i="15" s="1"/>
  <c r="BD115" i="1"/>
  <c r="BE115" i="1" s="1"/>
  <c r="BF115" i="1" s="1"/>
  <c r="AL82" i="15"/>
  <c r="AI82" i="15" s="1"/>
  <c r="AJ82" i="15" s="1"/>
  <c r="AK82" i="15" s="1"/>
  <c r="G464" i="20"/>
  <c r="G257" i="20"/>
  <c r="BG98" i="1" s="1"/>
  <c r="G509" i="20"/>
  <c r="G434" i="20"/>
  <c r="BG226" i="1" s="1"/>
  <c r="I84" i="20"/>
  <c r="I85" i="20"/>
  <c r="I126" i="20"/>
  <c r="I273" i="20"/>
  <c r="I80" i="20"/>
  <c r="I68" i="20"/>
  <c r="I257" i="20"/>
  <c r="I49" i="20"/>
  <c r="I50" i="20"/>
  <c r="I57" i="20" s="1"/>
  <c r="I115" i="20"/>
  <c r="I104" i="20"/>
  <c r="G208" i="20"/>
  <c r="G219" i="20"/>
  <c r="G477" i="20"/>
  <c r="G488" i="20"/>
  <c r="G500" i="20"/>
  <c r="G243" i="20"/>
  <c r="F74" i="20"/>
  <c r="F86" i="20" s="1"/>
  <c r="G52" i="20"/>
  <c r="G235" i="20"/>
  <c r="BG126" i="1"/>
  <c r="BG154" i="1"/>
  <c r="G854" i="20"/>
  <c r="G755" i="20"/>
  <c r="BG1121" i="1" s="1"/>
  <c r="BD1121" i="1" s="1"/>
  <c r="G364" i="20"/>
  <c r="BG199" i="1" s="1"/>
  <c r="G374" i="20"/>
  <c r="BG200" i="1" s="1"/>
  <c r="AL157" i="15" s="1"/>
  <c r="G846" i="20"/>
  <c r="I853" i="20"/>
  <c r="I845" i="20"/>
  <c r="G411" i="20"/>
  <c r="BG213" i="1" s="1"/>
  <c r="AL170" i="15" s="1"/>
  <c r="G443" i="20"/>
  <c r="BG228" i="1" s="1"/>
  <c r="G422" i="20"/>
  <c r="BG218" i="1" s="1"/>
  <c r="AL169" i="15" s="1"/>
  <c r="G389" i="20"/>
  <c r="BG207" i="1" s="1"/>
  <c r="AL164" i="15" s="1"/>
  <c r="BG211" i="1"/>
  <c r="BD211" i="1" s="1"/>
  <c r="G73" i="20"/>
  <c r="I388" i="20"/>
  <c r="I373" i="20"/>
  <c r="G273" i="20"/>
  <c r="BG101" i="1" s="1"/>
  <c r="I363" i="20"/>
  <c r="F87" i="20"/>
  <c r="G75" i="20"/>
  <c r="G53" i="20"/>
  <c r="AK883" i="15"/>
  <c r="AK882" i="15"/>
  <c r="AK878" i="15"/>
  <c r="AK877" i="15"/>
  <c r="AK876" i="15"/>
  <c r="BE98" i="1" l="1"/>
  <c r="BF98" i="1" s="1"/>
  <c r="AF48" i="15"/>
  <c r="AG48" i="15" s="1"/>
  <c r="AH48" i="15" s="1"/>
  <c r="AG37" i="15"/>
  <c r="AH37" i="15" s="1"/>
  <c r="BG89" i="1"/>
  <c r="BA89" i="1" s="1"/>
  <c r="AF56" i="15" s="1"/>
  <c r="AG56" i="15" s="1"/>
  <c r="AH56" i="15" s="1"/>
  <c r="BA117" i="1"/>
  <c r="AF84" i="15" s="1"/>
  <c r="AG84" i="15" s="1"/>
  <c r="AH84" i="15" s="1"/>
  <c r="G93" i="21"/>
  <c r="G99" i="21"/>
  <c r="F111" i="21"/>
  <c r="G100" i="21"/>
  <c r="F112" i="21"/>
  <c r="BE101" i="1"/>
  <c r="BF101" i="1" s="1"/>
  <c r="AL67" i="15"/>
  <c r="AI67" i="15" s="1"/>
  <c r="AJ67" i="15" s="1"/>
  <c r="AK67" i="15" s="1"/>
  <c r="BD154" i="1"/>
  <c r="BE154" i="1" s="1"/>
  <c r="BF154" i="1" s="1"/>
  <c r="AL121" i="15"/>
  <c r="AI121" i="15" s="1"/>
  <c r="AJ121" i="15" s="1"/>
  <c r="AK121" i="15" s="1"/>
  <c r="AL64" i="15"/>
  <c r="AI64" i="15" s="1"/>
  <c r="AJ64" i="15" s="1"/>
  <c r="AK64" i="15" s="1"/>
  <c r="BD126" i="1"/>
  <c r="BE126" i="1" s="1"/>
  <c r="BF126" i="1" s="1"/>
  <c r="AL93" i="15"/>
  <c r="AI93" i="15" s="1"/>
  <c r="AJ93" i="15" s="1"/>
  <c r="AK93" i="15" s="1"/>
  <c r="G74" i="20"/>
  <c r="G57" i="20"/>
  <c r="I92" i="20"/>
  <c r="G84" i="20"/>
  <c r="BD218" i="1"/>
  <c r="AI169" i="15"/>
  <c r="AJ169" i="15" s="1"/>
  <c r="AK169" i="15" s="1"/>
  <c r="BD199" i="1"/>
  <c r="AL156" i="15"/>
  <c r="AI156" i="15" s="1"/>
  <c r="AJ156" i="15" s="1"/>
  <c r="AK156" i="15" s="1"/>
  <c r="BD207" i="1"/>
  <c r="AI164" i="15"/>
  <c r="AJ164" i="15" s="1"/>
  <c r="AK164" i="15" s="1"/>
  <c r="BD200" i="1"/>
  <c r="AI157" i="15"/>
  <c r="AJ157" i="15" s="1"/>
  <c r="AK157" i="15" s="1"/>
  <c r="BE211" i="1"/>
  <c r="BF211" i="1" s="1"/>
  <c r="BG1102" i="1"/>
  <c r="BD1102" i="1" s="1"/>
  <c r="AL907" i="15"/>
  <c r="AI907" i="15" s="1"/>
  <c r="AJ907" i="15" s="1"/>
  <c r="AK907" i="15" s="1"/>
  <c r="BG1109" i="1"/>
  <c r="BD1109" i="1" s="1"/>
  <c r="BE1109" i="1" s="1"/>
  <c r="AL914" i="15"/>
  <c r="AI914" i="15" s="1"/>
  <c r="AJ914" i="15" s="1"/>
  <c r="AK914" i="15" s="1"/>
  <c r="BD226" i="1"/>
  <c r="AL179" i="15"/>
  <c r="AI179" i="15" s="1"/>
  <c r="AJ179" i="15" s="1"/>
  <c r="AK179" i="15" s="1"/>
  <c r="AL925" i="15"/>
  <c r="AI925" i="15" s="1"/>
  <c r="AJ925" i="15" s="1"/>
  <c r="AK925" i="15" s="1"/>
  <c r="BD228" i="1"/>
  <c r="BE228" i="1" s="1"/>
  <c r="AL180" i="15"/>
  <c r="AI180" i="15" s="1"/>
  <c r="AJ180" i="15" s="1"/>
  <c r="AK180" i="15" s="1"/>
  <c r="BD213" i="1"/>
  <c r="AI170" i="15"/>
  <c r="AJ170" i="15" s="1"/>
  <c r="AK170" i="15" s="1"/>
  <c r="G72" i="20"/>
  <c r="F99" i="20"/>
  <c r="F111" i="20" s="1"/>
  <c r="G87" i="20"/>
  <c r="F98" i="20"/>
  <c r="F110" i="20" s="1"/>
  <c r="G86" i="20"/>
  <c r="H627" i="20"/>
  <c r="F627" i="20" s="1"/>
  <c r="G627" i="20" s="1"/>
  <c r="H626" i="20"/>
  <c r="G629" i="20"/>
  <c r="G628" i="20"/>
  <c r="G626" i="20"/>
  <c r="G815" i="20"/>
  <c r="G816" i="20" s="1"/>
  <c r="AL594" i="15" s="1"/>
  <c r="AI594" i="15" s="1"/>
  <c r="AI548" i="15"/>
  <c r="G765" i="20"/>
  <c r="G766" i="20" s="1"/>
  <c r="G801" i="20"/>
  <c r="G802" i="20" s="1"/>
  <c r="G723" i="20"/>
  <c r="G724" i="20" s="1"/>
  <c r="BG514" i="1" s="1"/>
  <c r="AL434" i="15" s="1"/>
  <c r="AI434" i="15" s="1"/>
  <c r="BG91" i="1" l="1"/>
  <c r="BA91" i="1" s="1"/>
  <c r="AF57" i="15" s="1"/>
  <c r="AG57" i="15" s="1"/>
  <c r="AH57" i="15" s="1"/>
  <c r="BA119" i="1"/>
  <c r="AF86" i="15" s="1"/>
  <c r="AG86" i="15" s="1"/>
  <c r="AH86" i="15" s="1"/>
  <c r="BA128" i="1"/>
  <c r="BB128" i="1" s="1"/>
  <c r="BC128" i="1" s="1"/>
  <c r="BB117" i="1"/>
  <c r="BC117" i="1" s="1"/>
  <c r="G112" i="21"/>
  <c r="F123" i="21"/>
  <c r="G123" i="21" s="1"/>
  <c r="G111" i="21"/>
  <c r="F122" i="21"/>
  <c r="G122" i="21" s="1"/>
  <c r="G105" i="21"/>
  <c r="G80" i="20"/>
  <c r="BG157" i="1" s="1"/>
  <c r="AJ434" i="15"/>
  <c r="AK434" i="15" s="1"/>
  <c r="BE200" i="1"/>
  <c r="BF200" i="1" s="1"/>
  <c r="BE1121" i="1"/>
  <c r="BF1121" i="1" s="1"/>
  <c r="BE218" i="1"/>
  <c r="BF218" i="1" s="1"/>
  <c r="BE226" i="1"/>
  <c r="BF226" i="1" s="1"/>
  <c r="BE199" i="1"/>
  <c r="BF199" i="1" s="1"/>
  <c r="BE213" i="1"/>
  <c r="BF213" i="1" s="1"/>
  <c r="AJ594" i="15"/>
  <c r="AK594" i="15" s="1"/>
  <c r="BE1102" i="1"/>
  <c r="BF1102" i="1" s="1"/>
  <c r="BE207" i="1"/>
  <c r="BF207" i="1" s="1"/>
  <c r="BF206" i="1" s="1"/>
  <c r="AJ548" i="15"/>
  <c r="AK548" i="15" s="1"/>
  <c r="G85" i="20"/>
  <c r="G92" i="20" s="1"/>
  <c r="G96" i="20"/>
  <c r="G98" i="20"/>
  <c r="G97" i="20"/>
  <c r="G99" i="20"/>
  <c r="G108" i="20"/>
  <c r="G119" i="20"/>
  <c r="AL547" i="15"/>
  <c r="AI547" i="15" s="1"/>
  <c r="BG617" i="1"/>
  <c r="BD617" i="1" s="1"/>
  <c r="BG513" i="1"/>
  <c r="BD513" i="1" s="1"/>
  <c r="AL433" i="15"/>
  <c r="AI433" i="15" s="1"/>
  <c r="G630" i="20"/>
  <c r="AL848" i="15" s="1"/>
  <c r="AI848" i="15" s="1"/>
  <c r="G775" i="20"/>
  <c r="G615" i="20"/>
  <c r="BG92" i="1" l="1"/>
  <c r="BA92" i="1" s="1"/>
  <c r="AF58" i="15" s="1"/>
  <c r="AG58" i="15" s="1"/>
  <c r="AH58" i="15" s="1"/>
  <c r="BA120" i="1"/>
  <c r="AF87" i="15" s="1"/>
  <c r="AG87" i="15" s="1"/>
  <c r="AH87" i="15" s="1"/>
  <c r="BA130" i="1"/>
  <c r="BB130" i="1" s="1"/>
  <c r="BC130" i="1" s="1"/>
  <c r="BB119" i="1"/>
  <c r="BC119" i="1" s="1"/>
  <c r="G127" i="21"/>
  <c r="BA122" i="1" s="1"/>
  <c r="AF89" i="15" s="1"/>
  <c r="AG89" i="15" s="1"/>
  <c r="AH89" i="15" s="1"/>
  <c r="G116" i="21"/>
  <c r="BG117" i="1"/>
  <c r="BD117" i="1" s="1"/>
  <c r="BE117" i="1" s="1"/>
  <c r="BF117" i="1" s="1"/>
  <c r="BG128" i="1"/>
  <c r="BD128" i="1" s="1"/>
  <c r="BE128" i="1" s="1"/>
  <c r="BF128" i="1" s="1"/>
  <c r="BD157" i="1"/>
  <c r="BE157" i="1" s="1"/>
  <c r="BF157" i="1" s="1"/>
  <c r="AL124" i="15"/>
  <c r="AI124" i="15" s="1"/>
  <c r="AJ124" i="15" s="1"/>
  <c r="AK124" i="15" s="1"/>
  <c r="G104" i="20"/>
  <c r="BG131" i="1" s="1"/>
  <c r="BE513" i="1"/>
  <c r="BF513" i="1" s="1"/>
  <c r="AJ547" i="15"/>
  <c r="AK547" i="15" s="1"/>
  <c r="AK546" i="15" s="1"/>
  <c r="BE617" i="1"/>
  <c r="BF617" i="1" s="1"/>
  <c r="BF616" i="1" s="1"/>
  <c r="AJ433" i="15"/>
  <c r="AK433" i="15" s="1"/>
  <c r="AJ848" i="15"/>
  <c r="AK848" i="15" s="1"/>
  <c r="BG119" i="1"/>
  <c r="BG130" i="1"/>
  <c r="BG159" i="1"/>
  <c r="F122" i="20"/>
  <c r="G122" i="20" s="1"/>
  <c r="G111" i="20"/>
  <c r="G110" i="20"/>
  <c r="F121" i="20"/>
  <c r="G121" i="20" s="1"/>
  <c r="G109" i="20"/>
  <c r="G120" i="20"/>
  <c r="BG1031" i="1"/>
  <c r="BD1031" i="1" s="1"/>
  <c r="BG989" i="1"/>
  <c r="BD989" i="1" s="1"/>
  <c r="BD514" i="1"/>
  <c r="I795" i="20"/>
  <c r="I796" i="20" s="1"/>
  <c r="G796" i="20"/>
  <c r="G797" i="20" s="1"/>
  <c r="BG517" i="1" s="1"/>
  <c r="H608" i="20"/>
  <c r="G610" i="20"/>
  <c r="G609" i="20"/>
  <c r="G608" i="20"/>
  <c r="H601" i="20"/>
  <c r="G603" i="20"/>
  <c r="G602" i="20"/>
  <c r="G601" i="20"/>
  <c r="H593" i="20"/>
  <c r="G596" i="20"/>
  <c r="G595" i="20"/>
  <c r="H594" i="20"/>
  <c r="F594" i="20" s="1"/>
  <c r="G594" i="20" s="1"/>
  <c r="G593" i="20"/>
  <c r="H585" i="20"/>
  <c r="G588" i="20"/>
  <c r="G587" i="20"/>
  <c r="H586" i="20"/>
  <c r="F586" i="20" s="1"/>
  <c r="G586" i="20" s="1"/>
  <c r="G585" i="20"/>
  <c r="H577" i="20"/>
  <c r="G580" i="20"/>
  <c r="G579" i="20"/>
  <c r="H578" i="20"/>
  <c r="F578" i="20" s="1"/>
  <c r="G578" i="20" s="1"/>
  <c r="G577" i="20"/>
  <c r="H569" i="20"/>
  <c r="G572" i="20"/>
  <c r="G571" i="20"/>
  <c r="H570" i="20"/>
  <c r="F570" i="20" s="1"/>
  <c r="G570" i="20" s="1"/>
  <c r="G569" i="20"/>
  <c r="H561" i="20"/>
  <c r="G564" i="20"/>
  <c r="G563" i="20"/>
  <c r="H562" i="20"/>
  <c r="F562" i="20" s="1"/>
  <c r="G562" i="20" s="1"/>
  <c r="G561" i="20"/>
  <c r="H553" i="20"/>
  <c r="G556" i="20"/>
  <c r="G555" i="20"/>
  <c r="H554" i="20"/>
  <c r="F554" i="20" s="1"/>
  <c r="G554" i="20" s="1"/>
  <c r="G553" i="20"/>
  <c r="H545" i="20"/>
  <c r="G548" i="20"/>
  <c r="G547" i="20"/>
  <c r="H546" i="20"/>
  <c r="F546" i="20" s="1"/>
  <c r="G546" i="20" s="1"/>
  <c r="G545" i="20"/>
  <c r="H537" i="20"/>
  <c r="G540" i="20"/>
  <c r="G539" i="20"/>
  <c r="H538" i="20"/>
  <c r="F538" i="20" s="1"/>
  <c r="G538" i="20" s="1"/>
  <c r="G537" i="20"/>
  <c r="H529" i="20"/>
  <c r="G532" i="20"/>
  <c r="G531" i="20"/>
  <c r="H530" i="20"/>
  <c r="F530" i="20" s="1"/>
  <c r="G530" i="20" s="1"/>
  <c r="G529" i="20"/>
  <c r="H521" i="20"/>
  <c r="G524" i="20"/>
  <c r="G523" i="20"/>
  <c r="H522" i="20"/>
  <c r="G521" i="20"/>
  <c r="H513" i="20"/>
  <c r="H514" i="20"/>
  <c r="G513" i="20"/>
  <c r="G516" i="20"/>
  <c r="G515" i="20"/>
  <c r="BG316" i="1"/>
  <c r="BG279" i="1"/>
  <c r="BG238" i="1"/>
  <c r="BG237" i="1"/>
  <c r="G453" i="20"/>
  <c r="G448" i="20"/>
  <c r="G338" i="20"/>
  <c r="G320" i="20"/>
  <c r="G309" i="20"/>
  <c r="BG172" i="1" s="1"/>
  <c r="G288" i="20"/>
  <c r="BG145" i="1"/>
  <c r="BG137" i="1"/>
  <c r="BG155" i="1"/>
  <c r="G649" i="20"/>
  <c r="G650" i="20" s="1"/>
  <c r="BG1013" i="1" s="1"/>
  <c r="BD1013" i="1" s="1"/>
  <c r="BE1013" i="1" s="1"/>
  <c r="G621" i="20"/>
  <c r="G622" i="20" s="1"/>
  <c r="BG662" i="1" s="1"/>
  <c r="BD662" i="1" s="1"/>
  <c r="BE662" i="1" s="1"/>
  <c r="G791" i="20"/>
  <c r="BG512" i="1" s="1"/>
  <c r="G786" i="20"/>
  <c r="G787" i="20" s="1"/>
  <c r="G781" i="20"/>
  <c r="G782" i="20" s="1"/>
  <c r="G737" i="20"/>
  <c r="BA131" i="1" l="1"/>
  <c r="BB131" i="1" s="1"/>
  <c r="BC131" i="1" s="1"/>
  <c r="BB120" i="1"/>
  <c r="BC120" i="1" s="1"/>
  <c r="BA133" i="1"/>
  <c r="BB133" i="1" s="1"/>
  <c r="BC133" i="1" s="1"/>
  <c r="BB122" i="1"/>
  <c r="BC122" i="1" s="1"/>
  <c r="BG93" i="1"/>
  <c r="BA93" i="1" s="1"/>
  <c r="AF59" i="15" s="1"/>
  <c r="AG59" i="15" s="1"/>
  <c r="AH59" i="15" s="1"/>
  <c r="BA121" i="1"/>
  <c r="AF88" i="15" s="1"/>
  <c r="AG88" i="15" s="1"/>
  <c r="AH88" i="15" s="1"/>
  <c r="AL84" i="15"/>
  <c r="AI84" i="15" s="1"/>
  <c r="AJ84" i="15" s="1"/>
  <c r="AK84" i="15" s="1"/>
  <c r="AL95" i="15"/>
  <c r="AI95" i="15" s="1"/>
  <c r="AJ95" i="15" s="1"/>
  <c r="AK95" i="15" s="1"/>
  <c r="F522" i="20"/>
  <c r="G522" i="20" s="1"/>
  <c r="G525" i="20" s="1"/>
  <c r="BG654" i="1" s="1"/>
  <c r="BD172" i="1"/>
  <c r="AL135" i="15"/>
  <c r="AI135" i="15" s="1"/>
  <c r="AJ135" i="15" s="1"/>
  <c r="AK135" i="15" s="1"/>
  <c r="BD155" i="1"/>
  <c r="BE155" i="1" s="1"/>
  <c r="BF155" i="1" s="1"/>
  <c r="AL122" i="15"/>
  <c r="AI122" i="15" s="1"/>
  <c r="AJ122" i="15" s="1"/>
  <c r="BD137" i="1"/>
  <c r="BE137" i="1" s="1"/>
  <c r="BF137" i="1" s="1"/>
  <c r="AL104" i="15"/>
  <c r="AI104" i="15" s="1"/>
  <c r="AJ104" i="15" s="1"/>
  <c r="AK104" i="15" s="1"/>
  <c r="BD145" i="1"/>
  <c r="BE145" i="1" s="1"/>
  <c r="BF145" i="1" s="1"/>
  <c r="AL112" i="15"/>
  <c r="AI112" i="15" s="1"/>
  <c r="AJ112" i="15" s="1"/>
  <c r="AK112" i="15" s="1"/>
  <c r="BD130" i="1"/>
  <c r="BE130" i="1" s="1"/>
  <c r="BF130" i="1" s="1"/>
  <c r="AL97" i="15"/>
  <c r="AI97" i="15" s="1"/>
  <c r="AJ97" i="15" s="1"/>
  <c r="AK97" i="15" s="1"/>
  <c r="BD159" i="1"/>
  <c r="BE159" i="1" s="1"/>
  <c r="BF159" i="1" s="1"/>
  <c r="AL126" i="15"/>
  <c r="AI126" i="15" s="1"/>
  <c r="AJ126" i="15" s="1"/>
  <c r="AK126" i="15" s="1"/>
  <c r="BD119" i="1"/>
  <c r="BE119" i="1" s="1"/>
  <c r="BF119" i="1" s="1"/>
  <c r="AL86" i="15"/>
  <c r="AI86" i="15" s="1"/>
  <c r="AJ86" i="15" s="1"/>
  <c r="AK86" i="15" s="1"/>
  <c r="BD131" i="1"/>
  <c r="BE131" i="1" s="1"/>
  <c r="BF131" i="1" s="1"/>
  <c r="AL98" i="15"/>
  <c r="AI98" i="15" s="1"/>
  <c r="AJ98" i="15" s="1"/>
  <c r="AK98" i="15" s="1"/>
  <c r="F514" i="20"/>
  <c r="G514" i="20" s="1"/>
  <c r="G517" i="20" s="1"/>
  <c r="G533" i="20"/>
  <c r="G126" i="20"/>
  <c r="BG133" i="1" s="1"/>
  <c r="G115" i="20"/>
  <c r="BE514" i="1"/>
  <c r="BF514" i="1" s="1"/>
  <c r="BD196" i="1"/>
  <c r="AI153" i="15"/>
  <c r="AJ153" i="15" s="1"/>
  <c r="AK153" i="15" s="1"/>
  <c r="AK152" i="15" s="1"/>
  <c r="BE189" i="1"/>
  <c r="BF189" i="1" s="1"/>
  <c r="BE186" i="1"/>
  <c r="BF186" i="1" s="1"/>
  <c r="BD238" i="1"/>
  <c r="AL191" i="15"/>
  <c r="AI191" i="15" s="1"/>
  <c r="AJ191" i="15" s="1"/>
  <c r="AK191" i="15" s="1"/>
  <c r="BE190" i="1"/>
  <c r="BF190" i="1" s="1"/>
  <c r="BD237" i="1"/>
  <c r="BE237" i="1" s="1"/>
  <c r="AL190" i="15"/>
  <c r="AI190" i="15" s="1"/>
  <c r="AJ190" i="15" s="1"/>
  <c r="AK190" i="15" s="1"/>
  <c r="BE1031" i="1"/>
  <c r="BF1031" i="1" s="1"/>
  <c r="BE989" i="1"/>
  <c r="BF989" i="1" s="1"/>
  <c r="BD279" i="1"/>
  <c r="BE279" i="1" s="1"/>
  <c r="AL232" i="15"/>
  <c r="AI232" i="15" s="1"/>
  <c r="BD316" i="1"/>
  <c r="AL272" i="15"/>
  <c r="AI272" i="15" s="1"/>
  <c r="BG135" i="1"/>
  <c r="BG152" i="1"/>
  <c r="BG146" i="1"/>
  <c r="BG138" i="1"/>
  <c r="BD219" i="1"/>
  <c r="BD220" i="1"/>
  <c r="BG120" i="1"/>
  <c r="BG160" i="1"/>
  <c r="BD512" i="1"/>
  <c r="BE512" i="1" s="1"/>
  <c r="AL432" i="15"/>
  <c r="AI432" i="15" s="1"/>
  <c r="BD517" i="1"/>
  <c r="BE517" i="1" s="1"/>
  <c r="AL437" i="15"/>
  <c r="AI437" i="15" s="1"/>
  <c r="G611" i="20"/>
  <c r="BG566" i="1" s="1"/>
  <c r="BG511" i="1"/>
  <c r="G792" i="20"/>
  <c r="G565" i="20"/>
  <c r="BG493" i="1" s="1"/>
  <c r="G604" i="20"/>
  <c r="G597" i="20"/>
  <c r="BG1037" i="1" s="1"/>
  <c r="BD1037" i="1" s="1"/>
  <c r="BE1037" i="1" s="1"/>
  <c r="G589" i="20"/>
  <c r="G581" i="20"/>
  <c r="BG495" i="1" s="1"/>
  <c r="G573" i="20"/>
  <c r="BG494" i="1" s="1"/>
  <c r="G557" i="20"/>
  <c r="BG492" i="1" s="1"/>
  <c r="G549" i="20"/>
  <c r="BG491" i="1" s="1"/>
  <c r="G541" i="20"/>
  <c r="BG490" i="1" s="1"/>
  <c r="BG510" i="1"/>
  <c r="BE172" i="1" l="1"/>
  <c r="BF172" i="1" s="1"/>
  <c r="BA132" i="1"/>
  <c r="BB132" i="1" s="1"/>
  <c r="BC132" i="1" s="1"/>
  <c r="BB121" i="1"/>
  <c r="BC121" i="1" s="1"/>
  <c r="BD138" i="1"/>
  <c r="BE138" i="1" s="1"/>
  <c r="BF138" i="1" s="1"/>
  <c r="AL105" i="15"/>
  <c r="AI105" i="15" s="1"/>
  <c r="AJ105" i="15" s="1"/>
  <c r="AK105" i="15" s="1"/>
  <c r="BD163" i="1"/>
  <c r="BE163" i="1" s="1"/>
  <c r="BF163" i="1" s="1"/>
  <c r="AL129" i="15"/>
  <c r="AI129" i="15" s="1"/>
  <c r="AJ129" i="15" s="1"/>
  <c r="AK129" i="15" s="1"/>
  <c r="BD160" i="1"/>
  <c r="BE160" i="1" s="1"/>
  <c r="BF160" i="1" s="1"/>
  <c r="AL127" i="15"/>
  <c r="AI127" i="15" s="1"/>
  <c r="AJ127" i="15" s="1"/>
  <c r="AK127" i="15" s="1"/>
  <c r="BD152" i="1"/>
  <c r="BE152" i="1" s="1"/>
  <c r="BF152" i="1" s="1"/>
  <c r="AL119" i="15"/>
  <c r="AI119" i="15" s="1"/>
  <c r="AJ119" i="15" s="1"/>
  <c r="AK119" i="15" s="1"/>
  <c r="BD120" i="1"/>
  <c r="BE120" i="1" s="1"/>
  <c r="BF120" i="1" s="1"/>
  <c r="AL87" i="15"/>
  <c r="AI87" i="15" s="1"/>
  <c r="AJ87" i="15" s="1"/>
  <c r="AK87" i="15" s="1"/>
  <c r="BD135" i="1"/>
  <c r="BE135" i="1" s="1"/>
  <c r="BF135" i="1" s="1"/>
  <c r="AL102" i="15"/>
  <c r="AI102" i="15" s="1"/>
  <c r="AJ102" i="15" s="1"/>
  <c r="AK102" i="15" s="1"/>
  <c r="BD146" i="1"/>
  <c r="BE146" i="1" s="1"/>
  <c r="BF146" i="1" s="1"/>
  <c r="AL113" i="15"/>
  <c r="AI113" i="15" s="1"/>
  <c r="AJ113" i="15" s="1"/>
  <c r="AK113" i="15" s="1"/>
  <c r="BD133" i="1"/>
  <c r="BE133" i="1" s="1"/>
  <c r="BF133" i="1" s="1"/>
  <c r="AL100" i="15"/>
  <c r="AI100" i="15" s="1"/>
  <c r="AJ100" i="15" s="1"/>
  <c r="AK100" i="15" s="1"/>
  <c r="AJ432" i="15"/>
  <c r="AK432" i="15" s="1"/>
  <c r="BE316" i="1"/>
  <c r="BF316" i="1" s="1"/>
  <c r="AJ272" i="15"/>
  <c r="AK272" i="15" s="1"/>
  <c r="BE220" i="1"/>
  <c r="BF220" i="1" s="1"/>
  <c r="AJ437" i="15"/>
  <c r="AK437" i="15" s="1"/>
  <c r="BE219" i="1"/>
  <c r="BF219" i="1" s="1"/>
  <c r="BE196" i="1"/>
  <c r="BE238" i="1"/>
  <c r="BF238" i="1" s="1"/>
  <c r="AJ232" i="15"/>
  <c r="AK232" i="15" s="1"/>
  <c r="BG121" i="1"/>
  <c r="BG132" i="1"/>
  <c r="BG162" i="1"/>
  <c r="BD162" i="1" s="1"/>
  <c r="BG161" i="1"/>
  <c r="BG122" i="1"/>
  <c r="BD654" i="1"/>
  <c r="AL586" i="15"/>
  <c r="AI586" i="15" s="1"/>
  <c r="BD510" i="1"/>
  <c r="BE510" i="1" s="1"/>
  <c r="AL430" i="15"/>
  <c r="AI430" i="15" s="1"/>
  <c r="BD494" i="1"/>
  <c r="BE494" i="1" s="1"/>
  <c r="AL418" i="15"/>
  <c r="AI418" i="15" s="1"/>
  <c r="BD566" i="1"/>
  <c r="BE566" i="1" s="1"/>
  <c r="AL481" i="15"/>
  <c r="AI481" i="15" s="1"/>
  <c r="BD491" i="1"/>
  <c r="BE491" i="1" s="1"/>
  <c r="AL415" i="15"/>
  <c r="AI415" i="15" s="1"/>
  <c r="BD490" i="1"/>
  <c r="BE490" i="1" s="1"/>
  <c r="AL414" i="15"/>
  <c r="AI414" i="15" s="1"/>
  <c r="BD493" i="1"/>
  <c r="BE493" i="1" s="1"/>
  <c r="AL417" i="15"/>
  <c r="AI417" i="15" s="1"/>
  <c r="BD495" i="1"/>
  <c r="BE495" i="1" s="1"/>
  <c r="AL419" i="15"/>
  <c r="AI419" i="15" s="1"/>
  <c r="BD492" i="1"/>
  <c r="BE492" i="1" s="1"/>
  <c r="AL416" i="15"/>
  <c r="AI416" i="15" s="1"/>
  <c r="BD511" i="1"/>
  <c r="BE511" i="1" s="1"/>
  <c r="AL431" i="15"/>
  <c r="AI431" i="15" s="1"/>
  <c r="BG564" i="1"/>
  <c r="BG612" i="1"/>
  <c r="BD612" i="1" s="1"/>
  <c r="BG672" i="1"/>
  <c r="BG487" i="1"/>
  <c r="BD487" i="1" s="1"/>
  <c r="BE487" i="1" s="1"/>
  <c r="BG730" i="1"/>
  <c r="BG1035" i="1"/>
  <c r="BD1035" i="1" s="1"/>
  <c r="BE1035" i="1" s="1"/>
  <c r="BG653" i="1"/>
  <c r="BG496" i="1"/>
  <c r="BD496" i="1" s="1"/>
  <c r="BE496" i="1" s="1"/>
  <c r="BG1036" i="1"/>
  <c r="BD1036" i="1" s="1"/>
  <c r="BE1036" i="1" s="1"/>
  <c r="BD121" i="1" l="1"/>
  <c r="BE121" i="1" s="1"/>
  <c r="BF121" i="1" s="1"/>
  <c r="AL88" i="15"/>
  <c r="AI88" i="15" s="1"/>
  <c r="AJ88" i="15" s="1"/>
  <c r="AK88" i="15" s="1"/>
  <c r="BD161" i="1"/>
  <c r="AL128" i="15"/>
  <c r="AI128" i="15" s="1"/>
  <c r="AJ128" i="15" s="1"/>
  <c r="AK128" i="15" s="1"/>
  <c r="BD122" i="1"/>
  <c r="BE122" i="1" s="1"/>
  <c r="BF122" i="1" s="1"/>
  <c r="AL89" i="15"/>
  <c r="AI89" i="15" s="1"/>
  <c r="AJ89" i="15" s="1"/>
  <c r="AK89" i="15" s="1"/>
  <c r="BD132" i="1"/>
  <c r="BE132" i="1" s="1"/>
  <c r="BF132" i="1" s="1"/>
  <c r="AL99" i="15"/>
  <c r="AI99" i="15" s="1"/>
  <c r="AJ99" i="15" s="1"/>
  <c r="AK99" i="15" s="1"/>
  <c r="BF196" i="1"/>
  <c r="BF195" i="1" s="1"/>
  <c r="C37" i="9" s="1"/>
  <c r="AJ431" i="15"/>
  <c r="AK431" i="15" s="1"/>
  <c r="BE162" i="1"/>
  <c r="BF162" i="1" s="1"/>
  <c r="AJ430" i="15"/>
  <c r="AK430" i="15" s="1"/>
  <c r="AJ481" i="15"/>
  <c r="AK481" i="15" s="1"/>
  <c r="BE612" i="1"/>
  <c r="BF612" i="1" s="1"/>
  <c r="AJ419" i="15"/>
  <c r="AK419" i="15" s="1"/>
  <c r="AJ418" i="15"/>
  <c r="AK418" i="15" s="1"/>
  <c r="AJ417" i="15"/>
  <c r="AK417" i="15" s="1"/>
  <c r="AJ416" i="15"/>
  <c r="AK416" i="15" s="1"/>
  <c r="AJ415" i="15"/>
  <c r="AK415" i="15" s="1"/>
  <c r="AJ414" i="15"/>
  <c r="AK414" i="15" s="1"/>
  <c r="AJ586" i="15"/>
  <c r="AK586" i="15" s="1"/>
  <c r="BE654" i="1"/>
  <c r="BF654" i="1" s="1"/>
  <c r="BD672" i="1"/>
  <c r="AL598" i="15"/>
  <c r="AI598" i="15" s="1"/>
  <c r="BD730" i="1"/>
  <c r="AL646" i="15"/>
  <c r="AI646" i="15" s="1"/>
  <c r="BD653" i="1"/>
  <c r="AL585" i="15"/>
  <c r="AI585" i="15" s="1"/>
  <c r="BD564" i="1"/>
  <c r="AL479" i="15"/>
  <c r="G729" i="20"/>
  <c r="G686" i="20"/>
  <c r="G688" i="20" s="1"/>
  <c r="BG1073" i="1" s="1"/>
  <c r="BD1073" i="1" s="1"/>
  <c r="BE1073" i="1" s="1"/>
  <c r="G680" i="20"/>
  <c r="G682" i="20" s="1"/>
  <c r="BG1072" i="1" s="1"/>
  <c r="BD1072" i="1" s="1"/>
  <c r="BE1072" i="1" s="1"/>
  <c r="G674" i="20"/>
  <c r="G676" i="20" s="1"/>
  <c r="BG1071" i="1" s="1"/>
  <c r="BD1071" i="1" s="1"/>
  <c r="BE1071" i="1" s="1"/>
  <c r="G668" i="20"/>
  <c r="G670" i="20" s="1"/>
  <c r="BG1070" i="1" s="1"/>
  <c r="BD1070" i="1" s="1"/>
  <c r="BE1070" i="1" s="1"/>
  <c r="G661" i="20"/>
  <c r="G664" i="20" s="1"/>
  <c r="BG1048" i="1" s="1"/>
  <c r="BD1048" i="1" s="1"/>
  <c r="G654" i="20"/>
  <c r="G702" i="20"/>
  <c r="G703" i="20" s="1"/>
  <c r="BG1076" i="1" s="1"/>
  <c r="G697" i="20"/>
  <c r="G698" i="20" s="1"/>
  <c r="BG1075" i="1" s="1"/>
  <c r="G692" i="20"/>
  <c r="G693" i="20" s="1"/>
  <c r="BG1074" i="1" s="1"/>
  <c r="BD1074" i="1" s="1"/>
  <c r="BE1074" i="1" s="1"/>
  <c r="G760" i="20"/>
  <c r="G761" i="20" s="1"/>
  <c r="BG1099" i="1" s="1"/>
  <c r="K836" i="20"/>
  <c r="H837" i="20"/>
  <c r="I836" i="20" s="1"/>
  <c r="K835" i="20"/>
  <c r="H836" i="20"/>
  <c r="I835" i="20" s="1"/>
  <c r="K834" i="20"/>
  <c r="H835" i="20"/>
  <c r="I834" i="20" s="1"/>
  <c r="H830" i="20"/>
  <c r="I829" i="20" s="1"/>
  <c r="I830" i="20" s="1"/>
  <c r="H825" i="20"/>
  <c r="I824" i="20" s="1"/>
  <c r="I825" i="20" s="1"/>
  <c r="H820" i="20"/>
  <c r="I819" i="20" s="1"/>
  <c r="I820" i="20" s="1"/>
  <c r="H815" i="20"/>
  <c r="I814" i="20" s="1"/>
  <c r="I815" i="20" s="1"/>
  <c r="K810" i="20"/>
  <c r="H811" i="20"/>
  <c r="I810" i="20" s="1"/>
  <c r="K809" i="20"/>
  <c r="H810" i="20"/>
  <c r="I809" i="20" s="1"/>
  <c r="K808" i="20"/>
  <c r="H809" i="20"/>
  <c r="I808" i="20" s="1"/>
  <c r="K807" i="20"/>
  <c r="H808" i="20"/>
  <c r="I807" i="20" s="1"/>
  <c r="K806" i="20"/>
  <c r="H807" i="20"/>
  <c r="I806" i="20" s="1"/>
  <c r="K805" i="20"/>
  <c r="H806" i="20"/>
  <c r="I805" i="20" s="1"/>
  <c r="H801" i="20"/>
  <c r="I800" i="20" s="1"/>
  <c r="I801" i="20" s="1"/>
  <c r="H791" i="20"/>
  <c r="I790" i="20" s="1"/>
  <c r="I791" i="20" s="1"/>
  <c r="H786" i="20"/>
  <c r="I785" i="20" s="1"/>
  <c r="I786" i="20" s="1"/>
  <c r="H781" i="20"/>
  <c r="I780" i="20" s="1"/>
  <c r="I781" i="20" s="1"/>
  <c r="K775" i="20"/>
  <c r="H776" i="20"/>
  <c r="K774" i="20"/>
  <c r="H775" i="20"/>
  <c r="I774" i="20" s="1"/>
  <c r="K769" i="20"/>
  <c r="H770" i="20"/>
  <c r="I769" i="20" s="1"/>
  <c r="I770" i="20" s="1"/>
  <c r="K764" i="20"/>
  <c r="H765" i="20"/>
  <c r="I764" i="20" s="1"/>
  <c r="I765" i="20" s="1"/>
  <c r="K759" i="20"/>
  <c r="H760" i="20"/>
  <c r="I759" i="20" s="1"/>
  <c r="I760" i="20" s="1"/>
  <c r="K753" i="20"/>
  <c r="H754" i="20"/>
  <c r="I753" i="20" s="1"/>
  <c r="K752" i="20"/>
  <c r="H753" i="20"/>
  <c r="I752" i="20" s="1"/>
  <c r="K751" i="20"/>
  <c r="H752" i="20"/>
  <c r="I751" i="20" s="1"/>
  <c r="K750" i="20"/>
  <c r="H751" i="20"/>
  <c r="I750" i="20" s="1"/>
  <c r="K744" i="20"/>
  <c r="H745" i="20"/>
  <c r="I744" i="20" s="1"/>
  <c r="I745" i="20" s="1"/>
  <c r="K739" i="20"/>
  <c r="H740" i="20"/>
  <c r="I739" i="20" s="1"/>
  <c r="K738" i="20"/>
  <c r="H739" i="20"/>
  <c r="I738" i="20" s="1"/>
  <c r="K737" i="20"/>
  <c r="H738" i="20"/>
  <c r="I737" i="20" s="1"/>
  <c r="K736" i="20"/>
  <c r="H737" i="20"/>
  <c r="I736" i="20" s="1"/>
  <c r="K730" i="20"/>
  <c r="H731" i="20"/>
  <c r="I730" i="20" s="1"/>
  <c r="K729" i="20"/>
  <c r="H730" i="20"/>
  <c r="I729" i="20" s="1"/>
  <c r="H729" i="20"/>
  <c r="I728" i="20" s="1"/>
  <c r="K722" i="20"/>
  <c r="H723" i="20"/>
  <c r="I722" i="20" s="1"/>
  <c r="I723" i="20" s="1"/>
  <c r="K716" i="20"/>
  <c r="H717" i="20"/>
  <c r="I716" i="20" s="1"/>
  <c r="I717" i="20" s="1"/>
  <c r="H712" i="20"/>
  <c r="I711" i="20" s="1"/>
  <c r="I712" i="20" s="1"/>
  <c r="H702" i="20"/>
  <c r="I701" i="20" s="1"/>
  <c r="I702" i="20" s="1"/>
  <c r="H697" i="20"/>
  <c r="I696" i="20" s="1"/>
  <c r="I697" i="20" s="1"/>
  <c r="H692" i="20"/>
  <c r="I691" i="20" s="1"/>
  <c r="I692" i="20" s="1"/>
  <c r="H687" i="20"/>
  <c r="I686" i="20" s="1"/>
  <c r="H686" i="20"/>
  <c r="I685" i="20" s="1"/>
  <c r="H681" i="20"/>
  <c r="I680" i="20" s="1"/>
  <c r="H680" i="20"/>
  <c r="I679" i="20" s="1"/>
  <c r="H675" i="20"/>
  <c r="I674" i="20" s="1"/>
  <c r="H674" i="20"/>
  <c r="I673" i="20" s="1"/>
  <c r="H669" i="20"/>
  <c r="I668" i="20" s="1"/>
  <c r="H668" i="20"/>
  <c r="I667" i="20" s="1"/>
  <c r="K662" i="20"/>
  <c r="H663" i="20"/>
  <c r="I662" i="20" s="1"/>
  <c r="K661" i="20"/>
  <c r="H662" i="20"/>
  <c r="I661" i="20" s="1"/>
  <c r="H661" i="20"/>
  <c r="I660" i="20" s="1"/>
  <c r="K655" i="20"/>
  <c r="H656" i="20"/>
  <c r="I655" i="20" s="1"/>
  <c r="K654" i="20"/>
  <c r="H655" i="20"/>
  <c r="I654" i="20" s="1"/>
  <c r="K653" i="20"/>
  <c r="H654" i="20"/>
  <c r="I653" i="20" s="1"/>
  <c r="I648" i="20"/>
  <c r="I649" i="20" s="1"/>
  <c r="K643" i="20"/>
  <c r="H644" i="20"/>
  <c r="I643" i="20" s="1"/>
  <c r="K642" i="20"/>
  <c r="H643" i="20"/>
  <c r="I642" i="20" s="1"/>
  <c r="K641" i="20"/>
  <c r="H642" i="20"/>
  <c r="I641" i="20" s="1"/>
  <c r="K640" i="20"/>
  <c r="H641" i="20"/>
  <c r="I640" i="20" s="1"/>
  <c r="H635" i="20"/>
  <c r="I634" i="20" s="1"/>
  <c r="I635" i="20" s="1"/>
  <c r="H621" i="20"/>
  <c r="I620" i="20" s="1"/>
  <c r="I621" i="20" s="1"/>
  <c r="K616" i="20"/>
  <c r="H617" i="20"/>
  <c r="K615" i="20"/>
  <c r="H616" i="20"/>
  <c r="K614" i="20"/>
  <c r="H615" i="20"/>
  <c r="I614" i="20" s="1"/>
  <c r="K507" i="20"/>
  <c r="H508" i="20"/>
  <c r="I507" i="20" s="1"/>
  <c r="K506" i="20"/>
  <c r="H507" i="20"/>
  <c r="I506" i="20" s="1"/>
  <c r="K505" i="20"/>
  <c r="H506" i="20"/>
  <c r="I505" i="20" s="1"/>
  <c r="K504" i="20"/>
  <c r="H505" i="20"/>
  <c r="I504" i="20" s="1"/>
  <c r="K503" i="20"/>
  <c r="H504" i="20"/>
  <c r="I503" i="20" s="1"/>
  <c r="K498" i="20"/>
  <c r="H499" i="20"/>
  <c r="I498" i="20" s="1"/>
  <c r="K497" i="20"/>
  <c r="H498" i="20"/>
  <c r="I497" i="20" s="1"/>
  <c r="K496" i="20"/>
  <c r="H497" i="20"/>
  <c r="I496" i="20" s="1"/>
  <c r="K495" i="20"/>
  <c r="H496" i="20"/>
  <c r="I495" i="20" s="1"/>
  <c r="K494" i="20"/>
  <c r="H495" i="20"/>
  <c r="I494" i="20" s="1"/>
  <c r="K493" i="20"/>
  <c r="H494" i="20"/>
  <c r="I493" i="20" s="1"/>
  <c r="K492" i="20"/>
  <c r="H493" i="20"/>
  <c r="I492" i="20" s="1"/>
  <c r="K491" i="20"/>
  <c r="H492" i="20"/>
  <c r="I491" i="20" s="1"/>
  <c r="K486" i="20"/>
  <c r="H487" i="20"/>
  <c r="I486" i="20" s="1"/>
  <c r="K485" i="20"/>
  <c r="H486" i="20"/>
  <c r="I485" i="20" s="1"/>
  <c r="K484" i="20"/>
  <c r="H485" i="20"/>
  <c r="I484" i="20" s="1"/>
  <c r="K483" i="20"/>
  <c r="H484" i="20"/>
  <c r="I483" i="20" s="1"/>
  <c r="K482" i="20"/>
  <c r="H483" i="20"/>
  <c r="I482" i="20" s="1"/>
  <c r="K481" i="20"/>
  <c r="H482" i="20"/>
  <c r="I481" i="20" s="1"/>
  <c r="K480" i="20"/>
  <c r="H481" i="20"/>
  <c r="I480" i="20" s="1"/>
  <c r="K470" i="20"/>
  <c r="H471" i="20"/>
  <c r="I470" i="20" s="1"/>
  <c r="K469" i="20"/>
  <c r="H470" i="20"/>
  <c r="I469" i="20" s="1"/>
  <c r="K468" i="20"/>
  <c r="H469" i="20"/>
  <c r="I468" i="20" s="1"/>
  <c r="K462" i="20"/>
  <c r="H463" i="20"/>
  <c r="I462" i="20" s="1"/>
  <c r="K461" i="20"/>
  <c r="H462" i="20"/>
  <c r="I461" i="20" s="1"/>
  <c r="K460" i="20"/>
  <c r="H461" i="20"/>
  <c r="I460" i="20" s="1"/>
  <c r="K459" i="20"/>
  <c r="H460" i="20"/>
  <c r="I459" i="20" s="1"/>
  <c r="K458" i="20"/>
  <c r="H459" i="20"/>
  <c r="I458" i="20" s="1"/>
  <c r="K457" i="20"/>
  <c r="H458" i="20"/>
  <c r="I457" i="20" s="1"/>
  <c r="K456" i="20"/>
  <c r="H457" i="20"/>
  <c r="I456" i="20" s="1"/>
  <c r="K451" i="20"/>
  <c r="H452" i="20"/>
  <c r="I451" i="20" s="1"/>
  <c r="I452" i="20" s="1"/>
  <c r="K446" i="20"/>
  <c r="H447" i="20"/>
  <c r="I446" i="20" s="1"/>
  <c r="I447" i="20" s="1"/>
  <c r="K352" i="20"/>
  <c r="H353" i="20"/>
  <c r="I352" i="20" s="1"/>
  <c r="K347" i="20"/>
  <c r="H352" i="20"/>
  <c r="I347" i="20" s="1"/>
  <c r="K346" i="20"/>
  <c r="H347" i="20"/>
  <c r="I346" i="20" s="1"/>
  <c r="K345" i="20"/>
  <c r="H346" i="20"/>
  <c r="I345" i="20" s="1"/>
  <c r="K344" i="20"/>
  <c r="H345" i="20"/>
  <c r="I344" i="20" s="1"/>
  <c r="K343" i="20"/>
  <c r="H344" i="20"/>
  <c r="I343" i="20" s="1"/>
  <c r="K342" i="20"/>
  <c r="H343" i="20"/>
  <c r="I342" i="20" s="1"/>
  <c r="K341" i="20"/>
  <c r="H342" i="20"/>
  <c r="I341" i="20" s="1"/>
  <c r="K336" i="20"/>
  <c r="H337" i="20"/>
  <c r="I336" i="20" s="1"/>
  <c r="K335" i="20"/>
  <c r="H336" i="20"/>
  <c r="I335" i="20" s="1"/>
  <c r="K330" i="20"/>
  <c r="H335" i="20"/>
  <c r="I330" i="20" s="1"/>
  <c r="K329" i="20"/>
  <c r="H330" i="20"/>
  <c r="I329" i="20" s="1"/>
  <c r="K328" i="20"/>
  <c r="H329" i="20"/>
  <c r="I328" i="20" s="1"/>
  <c r="K327" i="20"/>
  <c r="H328" i="20"/>
  <c r="I327" i="20" s="1"/>
  <c r="K326" i="20"/>
  <c r="H327" i="20"/>
  <c r="I326" i="20" s="1"/>
  <c r="K325" i="20"/>
  <c r="H326" i="20"/>
  <c r="I325" i="20" s="1"/>
  <c r="K324" i="20"/>
  <c r="H325" i="20"/>
  <c r="I324" i="20" s="1"/>
  <c r="K323" i="20"/>
  <c r="H324" i="20"/>
  <c r="I323" i="20" s="1"/>
  <c r="K318" i="20"/>
  <c r="H319" i="20"/>
  <c r="I318" i="20" s="1"/>
  <c r="K317" i="20"/>
  <c r="H318" i="20"/>
  <c r="I317" i="20" s="1"/>
  <c r="K316" i="20"/>
  <c r="H317" i="20"/>
  <c r="I316" i="20" s="1"/>
  <c r="K315" i="20"/>
  <c r="H316" i="20"/>
  <c r="I315" i="20" s="1"/>
  <c r="K314" i="20"/>
  <c r="H315" i="20"/>
  <c r="I314" i="20" s="1"/>
  <c r="K313" i="20"/>
  <c r="H314" i="20"/>
  <c r="I313" i="20" s="1"/>
  <c r="K312" i="20"/>
  <c r="H313" i="20"/>
  <c r="I312" i="20" s="1"/>
  <c r="K304" i="20"/>
  <c r="H305" i="20"/>
  <c r="I304" i="20" s="1"/>
  <c r="K303" i="20"/>
  <c r="H304" i="20"/>
  <c r="I303" i="20" s="1"/>
  <c r="K298" i="20"/>
  <c r="H303" i="20"/>
  <c r="I298" i="20" s="1"/>
  <c r="K292" i="20"/>
  <c r="I292" i="20"/>
  <c r="K291" i="20"/>
  <c r="K286" i="20"/>
  <c r="H287" i="20"/>
  <c r="I286" i="20" s="1"/>
  <c r="I287" i="20" s="1"/>
  <c r="K280" i="20"/>
  <c r="H281" i="20"/>
  <c r="I280" i="20" s="1"/>
  <c r="K279" i="20"/>
  <c r="H280" i="20"/>
  <c r="I279" i="20" s="1"/>
  <c r="K278" i="20"/>
  <c r="H279" i="20"/>
  <c r="I278" i="20" s="1"/>
  <c r="K277" i="20"/>
  <c r="H278" i="20"/>
  <c r="I277" i="20" s="1"/>
  <c r="K276" i="20"/>
  <c r="H277" i="20"/>
  <c r="I276" i="20" s="1"/>
  <c r="K241" i="20"/>
  <c r="H242" i="20"/>
  <c r="I241" i="20" s="1"/>
  <c r="K240" i="20"/>
  <c r="H241" i="20"/>
  <c r="I240" i="20" s="1"/>
  <c r="K239" i="20"/>
  <c r="H240" i="20"/>
  <c r="I239" i="20" s="1"/>
  <c r="K238" i="20"/>
  <c r="H239" i="20"/>
  <c r="I238" i="20" s="1"/>
  <c r="K228" i="20"/>
  <c r="K227" i="20"/>
  <c r="H228" i="20"/>
  <c r="I228" i="20" s="1"/>
  <c r="K226" i="20"/>
  <c r="H227" i="20"/>
  <c r="I227" i="20" s="1"/>
  <c r="K225" i="20"/>
  <c r="H226" i="20"/>
  <c r="I226" i="20" s="1"/>
  <c r="K224" i="20"/>
  <c r="H225" i="20"/>
  <c r="I225" i="20" s="1"/>
  <c r="K223" i="20"/>
  <c r="H224" i="20"/>
  <c r="I224" i="20" s="1"/>
  <c r="K222" i="20"/>
  <c r="K217" i="20"/>
  <c r="H218" i="20"/>
  <c r="I218" i="20" s="1"/>
  <c r="K216" i="20"/>
  <c r="K215" i="20"/>
  <c r="H216" i="20"/>
  <c r="I216" i="20" s="1"/>
  <c r="K214" i="20"/>
  <c r="H215" i="20"/>
  <c r="I215" i="20" s="1"/>
  <c r="K213" i="20"/>
  <c r="H214" i="20"/>
  <c r="I214" i="20" s="1"/>
  <c r="K212" i="20"/>
  <c r="H213" i="20"/>
  <c r="I213" i="20" s="1"/>
  <c r="K196" i="20"/>
  <c r="K195" i="20"/>
  <c r="H196" i="20"/>
  <c r="I196" i="20" s="1"/>
  <c r="H195" i="20"/>
  <c r="I195" i="20" s="1"/>
  <c r="K193" i="20"/>
  <c r="K192" i="20"/>
  <c r="H193" i="20"/>
  <c r="I193" i="20" s="1"/>
  <c r="K191" i="20"/>
  <c r="H192" i="20"/>
  <c r="I192" i="20" s="1"/>
  <c r="K190" i="20"/>
  <c r="K14" i="20"/>
  <c r="H14" i="20"/>
  <c r="I14" i="20" s="1"/>
  <c r="K13" i="20"/>
  <c r="H13" i="20"/>
  <c r="I13" i="20" s="1"/>
  <c r="K12" i="20"/>
  <c r="H12" i="20"/>
  <c r="I12" i="20" s="1"/>
  <c r="K11" i="20"/>
  <c r="K10" i="20"/>
  <c r="BF1055" i="1"/>
  <c r="BF487" i="1"/>
  <c r="BF1035" i="1"/>
  <c r="BF517" i="1"/>
  <c r="BF511" i="1"/>
  <c r="BF510" i="1"/>
  <c r="BF512" i="1"/>
  <c r="BF566" i="1"/>
  <c r="BF490" i="1"/>
  <c r="BF495" i="1"/>
  <c r="BF494" i="1"/>
  <c r="BF493" i="1"/>
  <c r="BF492" i="1"/>
  <c r="BF491" i="1"/>
  <c r="BF496" i="1"/>
  <c r="BF1037" i="1"/>
  <c r="BF1036" i="1"/>
  <c r="BF1013" i="1"/>
  <c r="BF662" i="1"/>
  <c r="BE161" i="1" l="1"/>
  <c r="BF161" i="1" s="1"/>
  <c r="I305" i="20"/>
  <c r="I242" i="20"/>
  <c r="I282" i="20"/>
  <c r="I235" i="20"/>
  <c r="I208" i="20"/>
  <c r="I219" i="20"/>
  <c r="BE1048" i="1"/>
  <c r="BF1048" i="1" s="1"/>
  <c r="BE564" i="1"/>
  <c r="BF564" i="1" s="1"/>
  <c r="AJ598" i="15"/>
  <c r="AK598" i="15" s="1"/>
  <c r="BE672" i="1"/>
  <c r="BF672" i="1" s="1"/>
  <c r="AJ585" i="15"/>
  <c r="AK585" i="15" s="1"/>
  <c r="BE730" i="1"/>
  <c r="BF730" i="1" s="1"/>
  <c r="AJ646" i="15"/>
  <c r="AK646" i="15" s="1"/>
  <c r="BE653" i="1"/>
  <c r="BF653" i="1" s="1"/>
  <c r="AI479" i="15"/>
  <c r="AL541" i="15"/>
  <c r="AI541" i="15" s="1"/>
  <c r="BF1074" i="1"/>
  <c r="BF1072" i="1"/>
  <c r="BF1071" i="1"/>
  <c r="BF1073" i="1"/>
  <c r="BF1070" i="1"/>
  <c r="I616" i="20"/>
  <c r="G617" i="20"/>
  <c r="I775" i="20"/>
  <c r="I776" i="20" s="1"/>
  <c r="G776" i="20"/>
  <c r="G777" i="20" s="1"/>
  <c r="BG690" i="1" s="1"/>
  <c r="BD690" i="1" s="1"/>
  <c r="I615" i="20"/>
  <c r="G616" i="20"/>
  <c r="BD1075" i="1"/>
  <c r="BE1075" i="1" s="1"/>
  <c r="AL879" i="15"/>
  <c r="AI879" i="15" s="1"/>
  <c r="AJ879" i="15" s="1"/>
  <c r="BD1099" i="1"/>
  <c r="AL904" i="15"/>
  <c r="AI904" i="15" s="1"/>
  <c r="BD1076" i="1"/>
  <c r="BE1076" i="1" s="1"/>
  <c r="AL881" i="15"/>
  <c r="G740" i="20"/>
  <c r="G730" i="20"/>
  <c r="G731" i="20"/>
  <c r="G739" i="20"/>
  <c r="G657" i="20"/>
  <c r="BG1047" i="1" s="1"/>
  <c r="BD1047" i="1" s="1"/>
  <c r="I681" i="20"/>
  <c r="I687" i="20"/>
  <c r="I644" i="20"/>
  <c r="I811" i="20"/>
  <c r="I337" i="20"/>
  <c r="I656" i="20"/>
  <c r="I675" i="20"/>
  <c r="I15" i="20"/>
  <c r="I663" i="20"/>
  <c r="I353" i="20"/>
  <c r="I471" i="20"/>
  <c r="I499" i="20"/>
  <c r="I740" i="20"/>
  <c r="I487" i="20"/>
  <c r="I319" i="20"/>
  <c r="I463" i="20"/>
  <c r="I508" i="20"/>
  <c r="I731" i="20"/>
  <c r="I837" i="20"/>
  <c r="I669" i="20"/>
  <c r="I754" i="20"/>
  <c r="BE1099" i="1" l="1"/>
  <c r="BF1099" i="1" s="1"/>
  <c r="BE1047" i="1"/>
  <c r="BF1047" i="1" s="1"/>
  <c r="AJ904" i="15"/>
  <c r="AK904" i="15" s="1"/>
  <c r="BE690" i="1"/>
  <c r="BF690" i="1" s="1"/>
  <c r="AJ479" i="15"/>
  <c r="AK479" i="15" s="1"/>
  <c r="AJ541" i="15"/>
  <c r="AK541" i="15" s="1"/>
  <c r="BF1075" i="1"/>
  <c r="AK879" i="15"/>
  <c r="BF1076" i="1"/>
  <c r="AI881" i="15"/>
  <c r="AJ881" i="15" s="1"/>
  <c r="AL880" i="15"/>
  <c r="AI880" i="15" s="1"/>
  <c r="AJ880" i="15" s="1"/>
  <c r="I617" i="20"/>
  <c r="G618" i="20"/>
  <c r="BG420" i="1" s="1"/>
  <c r="G732" i="20"/>
  <c r="BG565" i="1" s="1"/>
  <c r="AL480" i="15" s="1"/>
  <c r="AI480" i="15" s="1"/>
  <c r="G741" i="20"/>
  <c r="BG687" i="1" s="1"/>
  <c r="F10" i="4"/>
  <c r="AJ480" i="15" l="1"/>
  <c r="AK480" i="15" s="1"/>
  <c r="AK881" i="15"/>
  <c r="AK880" i="15"/>
  <c r="AL376" i="15"/>
  <c r="AI376" i="15" s="1"/>
  <c r="BD420" i="1"/>
  <c r="BD687" i="1"/>
  <c r="AL608" i="15"/>
  <c r="AI608" i="15" s="1"/>
  <c r="BD565" i="1"/>
  <c r="BE687" i="1" l="1"/>
  <c r="BF687" i="1" s="1"/>
  <c r="AJ608" i="15"/>
  <c r="AK608" i="15" s="1"/>
  <c r="BE565" i="1"/>
  <c r="BF565" i="1" s="1"/>
  <c r="AJ376" i="15"/>
  <c r="AK376" i="15" s="1"/>
  <c r="BE420" i="1"/>
  <c r="BF420" i="1" s="1"/>
  <c r="D30" i="18"/>
  <c r="O22" i="15" l="1"/>
  <c r="O24" i="15"/>
  <c r="O27" i="15"/>
  <c r="O30" i="15"/>
  <c r="O31" i="15"/>
  <c r="O32" i="15"/>
  <c r="O40" i="15"/>
  <c r="O51" i="15"/>
  <c r="O62" i="15"/>
  <c r="O63" i="15"/>
  <c r="O78" i="15"/>
  <c r="O79" i="15"/>
  <c r="O80" i="15"/>
  <c r="O81" i="15"/>
  <c r="O92" i="15"/>
  <c r="O103" i="15"/>
  <c r="O114" i="15"/>
  <c r="O120" i="15"/>
  <c r="O130" i="15"/>
  <c r="O131" i="15"/>
  <c r="O133" i="15"/>
  <c r="O134" i="15"/>
  <c r="O138" i="15"/>
  <c r="O139" i="15"/>
  <c r="O140" i="15"/>
  <c r="O145" i="15"/>
  <c r="O148" i="15"/>
  <c r="O149" i="15"/>
  <c r="O151" i="15"/>
  <c r="O152" i="15"/>
  <c r="O154" i="15"/>
  <c r="O155" i="15"/>
  <c r="O162" i="15"/>
  <c r="O163" i="15"/>
  <c r="O166" i="15"/>
  <c r="O167" i="15"/>
  <c r="O177" i="15"/>
  <c r="O178" i="15"/>
  <c r="O185" i="15"/>
  <c r="O186" i="15"/>
  <c r="O192" i="15"/>
  <c r="O193" i="15"/>
  <c r="O194" i="15"/>
  <c r="O195" i="15"/>
  <c r="O196" i="15"/>
  <c r="O231" i="15"/>
  <c r="O250" i="15"/>
  <c r="O252" i="15"/>
  <c r="O259" i="15"/>
  <c r="O265" i="15"/>
  <c r="O266" i="15"/>
  <c r="O287" i="15"/>
  <c r="O292" i="15"/>
  <c r="O293" i="15"/>
  <c r="O327" i="15"/>
  <c r="O331" i="15"/>
  <c r="O332" i="15"/>
  <c r="O340" i="15"/>
  <c r="O345" i="15"/>
  <c r="O346" i="15"/>
  <c r="O347" i="15"/>
  <c r="O348" i="15"/>
  <c r="O363" i="15"/>
  <c r="O382" i="15"/>
  <c r="O383" i="15"/>
  <c r="O384" i="15"/>
  <c r="O385" i="15"/>
  <c r="O408" i="15"/>
  <c r="O412" i="15"/>
  <c r="O420" i="15"/>
  <c r="O424" i="15"/>
  <c r="O425" i="15"/>
  <c r="O426" i="15"/>
  <c r="O447" i="15"/>
  <c r="O478" i="15"/>
  <c r="O482" i="15"/>
  <c r="O485" i="15"/>
  <c r="O487" i="15"/>
  <c r="O491" i="15"/>
  <c r="O492" i="15"/>
  <c r="O493" i="15"/>
  <c r="O495" i="15"/>
  <c r="O504" i="15"/>
  <c r="O507" i="15"/>
  <c r="O510" i="15"/>
  <c r="O511" i="15"/>
  <c r="O512" i="15"/>
  <c r="O518" i="15"/>
  <c r="O525" i="15"/>
  <c r="O540" i="15"/>
  <c r="O542" i="15"/>
  <c r="O545" i="15"/>
  <c r="O546" i="15"/>
  <c r="O549" i="15"/>
  <c r="O550" i="15"/>
  <c r="O551" i="15"/>
  <c r="O572" i="15"/>
  <c r="O579" i="15"/>
  <c r="O584" i="15"/>
  <c r="O587" i="15"/>
  <c r="O591" i="15"/>
  <c r="O592" i="15"/>
  <c r="O593" i="15"/>
  <c r="O595" i="15"/>
  <c r="O597" i="15"/>
  <c r="O599" i="15"/>
  <c r="O604" i="15"/>
  <c r="O605" i="15"/>
  <c r="O606" i="15"/>
  <c r="O613" i="15"/>
  <c r="O631" i="15"/>
  <c r="O635" i="15"/>
  <c r="O645" i="15"/>
  <c r="O647" i="15"/>
  <c r="O657" i="15"/>
  <c r="O659" i="15"/>
  <c r="O660" i="15"/>
  <c r="O661" i="15"/>
  <c r="O673" i="15"/>
  <c r="O685" i="15"/>
  <c r="O697" i="15"/>
  <c r="O710" i="15"/>
  <c r="O725" i="15"/>
  <c r="O738" i="15"/>
  <c r="O750" i="15"/>
  <c r="O765" i="15"/>
  <c r="O780" i="15"/>
  <c r="O795" i="15"/>
  <c r="O800" i="15"/>
  <c r="O806" i="15"/>
  <c r="O811" i="15"/>
  <c r="O816" i="15"/>
  <c r="O817" i="15"/>
  <c r="O818" i="15"/>
  <c r="O826" i="15"/>
  <c r="O829" i="15"/>
  <c r="O834" i="15"/>
  <c r="O845" i="15"/>
  <c r="O846" i="15"/>
  <c r="O847" i="15"/>
  <c r="O854" i="15"/>
  <c r="O857" i="15"/>
  <c r="O864" i="15"/>
  <c r="O865" i="15"/>
  <c r="O866" i="15"/>
  <c r="O867" i="15"/>
  <c r="O872" i="15"/>
  <c r="O875" i="15"/>
  <c r="O889" i="15"/>
  <c r="O894" i="15"/>
  <c r="O903" i="15"/>
  <c r="O905" i="15"/>
  <c r="O906" i="15"/>
  <c r="O917" i="15"/>
  <c r="O918" i="15"/>
  <c r="O922" i="15"/>
  <c r="O923" i="15"/>
  <c r="O926" i="15"/>
  <c r="O927" i="15"/>
  <c r="O928" i="15"/>
  <c r="O930" i="15"/>
  <c r="O934" i="15"/>
  <c r="O945" i="15"/>
  <c r="O946" i="15"/>
  <c r="G24" i="1" l="1"/>
  <c r="G25" i="1"/>
  <c r="BA25" i="1" s="1"/>
  <c r="BB25" i="1" s="1"/>
  <c r="BC25" i="1" s="1"/>
  <c r="G26" i="1"/>
  <c r="G27" i="1"/>
  <c r="BA27" i="1" s="1"/>
  <c r="BB27" i="1" s="1"/>
  <c r="BC27" i="1" s="1"/>
  <c r="G28" i="1"/>
  <c r="G29" i="1"/>
  <c r="BA29" i="1" s="1"/>
  <c r="BB29" i="1" s="1"/>
  <c r="BC29" i="1" s="1"/>
  <c r="G30" i="1"/>
  <c r="BA30" i="1" s="1"/>
  <c r="BB30" i="1" s="1"/>
  <c r="BC30" i="1" s="1"/>
  <c r="G31" i="1"/>
  <c r="G32" i="1"/>
  <c r="BA32" i="1" s="1"/>
  <c r="BB32" i="1" s="1"/>
  <c r="BC32" i="1" s="1"/>
  <c r="L33" i="1"/>
  <c r="L34" i="1"/>
  <c r="L35" i="1"/>
  <c r="G36" i="1"/>
  <c r="BA36" i="1" s="1"/>
  <c r="BB36" i="1" s="1"/>
  <c r="BC36" i="1" s="1"/>
  <c r="G37" i="1"/>
  <c r="BA37" i="1" s="1"/>
  <c r="BB37" i="1" s="1"/>
  <c r="BC37" i="1" s="1"/>
  <c r="G38" i="1"/>
  <c r="BA38" i="1" s="1"/>
  <c r="BB38" i="1" s="1"/>
  <c r="G39" i="1"/>
  <c r="BA39" i="1" s="1"/>
  <c r="BB39" i="1" s="1"/>
  <c r="BC39" i="1" s="1"/>
  <c r="G40" i="1"/>
  <c r="BA40" i="1" s="1"/>
  <c r="BB40" i="1" s="1"/>
  <c r="BC40" i="1" s="1"/>
  <c r="G41" i="1"/>
  <c r="BA41" i="1" s="1"/>
  <c r="BB41" i="1" s="1"/>
  <c r="BC41" i="1" s="1"/>
  <c r="G42" i="1"/>
  <c r="BA42" i="1" s="1"/>
  <c r="BB42" i="1" s="1"/>
  <c r="BC42" i="1" s="1"/>
  <c r="G43" i="1"/>
  <c r="BA43" i="1" s="1"/>
  <c r="BB43" i="1" s="1"/>
  <c r="BC43" i="1" s="1"/>
  <c r="G44" i="1"/>
  <c r="BA44" i="1" s="1"/>
  <c r="BB44" i="1" s="1"/>
  <c r="BC44" i="1" s="1"/>
  <c r="G45" i="1"/>
  <c r="BA45" i="1" s="1"/>
  <c r="BB45" i="1" s="1"/>
  <c r="L46" i="1"/>
  <c r="G47" i="1"/>
  <c r="BA47" i="1" s="1"/>
  <c r="BB47" i="1" s="1"/>
  <c r="L48" i="1"/>
  <c r="L49" i="1"/>
  <c r="L50" i="1"/>
  <c r="G51" i="1"/>
  <c r="BA51" i="1" s="1"/>
  <c r="BB51" i="1" s="1"/>
  <c r="BC51" i="1" s="1"/>
  <c r="L52" i="1"/>
  <c r="G53" i="1"/>
  <c r="BA53" i="1" s="1"/>
  <c r="BB53" i="1" s="1"/>
  <c r="BC53" i="1" s="1"/>
  <c r="L54" i="1"/>
  <c r="G55" i="1"/>
  <c r="BA55" i="1" s="1"/>
  <c r="BB55" i="1" s="1"/>
  <c r="BC55" i="1" s="1"/>
  <c r="G56" i="1"/>
  <c r="BA56" i="1" s="1"/>
  <c r="BB56" i="1" s="1"/>
  <c r="BC56" i="1" s="1"/>
  <c r="L57" i="1"/>
  <c r="G58" i="1"/>
  <c r="BA58" i="1" s="1"/>
  <c r="BB58" i="1" s="1"/>
  <c r="BC58" i="1" s="1"/>
  <c r="G59" i="1"/>
  <c r="BA59" i="1" s="1"/>
  <c r="BB59" i="1" s="1"/>
  <c r="BC59" i="1" s="1"/>
  <c r="L60" i="1"/>
  <c r="L61" i="1"/>
  <c r="L62" i="1"/>
  <c r="G63" i="1"/>
  <c r="BA63" i="1" s="1"/>
  <c r="BB63" i="1" s="1"/>
  <c r="BC63" i="1" s="1"/>
  <c r="G64" i="1"/>
  <c r="BA64" i="1" s="1"/>
  <c r="BB64" i="1" s="1"/>
  <c r="BC64" i="1" s="1"/>
  <c r="G65" i="1"/>
  <c r="G66" i="1"/>
  <c r="BA66" i="1" s="1"/>
  <c r="BB66" i="1" s="1"/>
  <c r="BC66" i="1" s="1"/>
  <c r="G67" i="1"/>
  <c r="G68" i="1"/>
  <c r="G69" i="1"/>
  <c r="G70" i="1"/>
  <c r="BA70" i="1" s="1"/>
  <c r="BB70" i="1" s="1"/>
  <c r="BC70" i="1" s="1"/>
  <c r="L71" i="1"/>
  <c r="G72" i="1"/>
  <c r="BA72" i="1" s="1"/>
  <c r="BB72" i="1" s="1"/>
  <c r="BC72" i="1" s="1"/>
  <c r="G73" i="1"/>
  <c r="BA73" i="1" s="1"/>
  <c r="BB73" i="1" s="1"/>
  <c r="BC73" i="1" s="1"/>
  <c r="G74" i="1"/>
  <c r="G75" i="1"/>
  <c r="BA75" i="1" s="1"/>
  <c r="BB75" i="1" s="1"/>
  <c r="BC75" i="1" s="1"/>
  <c r="G76" i="1"/>
  <c r="BA76" i="1" s="1"/>
  <c r="BB76" i="1" s="1"/>
  <c r="BC76" i="1" s="1"/>
  <c r="G77" i="1"/>
  <c r="BA77" i="1" s="1"/>
  <c r="BB77" i="1" s="1"/>
  <c r="BC77" i="1" s="1"/>
  <c r="G78" i="1"/>
  <c r="BA78" i="1" s="1"/>
  <c r="BB78" i="1" s="1"/>
  <c r="BC78" i="1" s="1"/>
  <c r="G79" i="1"/>
  <c r="G80" i="1"/>
  <c r="G81" i="1"/>
  <c r="BA81" i="1" s="1"/>
  <c r="BB81" i="1" s="1"/>
  <c r="BC81" i="1" s="1"/>
  <c r="G82" i="1"/>
  <c r="G83" i="1"/>
  <c r="BA83" i="1" s="1"/>
  <c r="BB83" i="1" s="1"/>
  <c r="BC83" i="1" s="1"/>
  <c r="L84" i="1"/>
  <c r="G85" i="1"/>
  <c r="BA85" i="1" s="1"/>
  <c r="BB85" i="1" s="1"/>
  <c r="BC85" i="1" s="1"/>
  <c r="G86" i="1"/>
  <c r="BA86" i="1" s="1"/>
  <c r="BB86" i="1" s="1"/>
  <c r="BC86" i="1" s="1"/>
  <c r="G87" i="1"/>
  <c r="G88" i="1"/>
  <c r="BA88" i="1" s="1"/>
  <c r="BB88" i="1" s="1"/>
  <c r="BC88" i="1" s="1"/>
  <c r="G89" i="1"/>
  <c r="G90" i="1"/>
  <c r="BA90" i="1" s="1"/>
  <c r="BB90" i="1" s="1"/>
  <c r="BC90" i="1" s="1"/>
  <c r="G91" i="1"/>
  <c r="G92" i="1"/>
  <c r="G93" i="1"/>
  <c r="G94" i="1"/>
  <c r="BA94" i="1" s="1"/>
  <c r="BB94" i="1" s="1"/>
  <c r="BC94" i="1" s="1"/>
  <c r="G95" i="1"/>
  <c r="L96" i="1"/>
  <c r="L97" i="1"/>
  <c r="G98" i="1"/>
  <c r="BA98" i="1" s="1"/>
  <c r="BB98" i="1" s="1"/>
  <c r="BC98" i="1" s="1"/>
  <c r="G99" i="1"/>
  <c r="G100" i="1"/>
  <c r="G101" i="1"/>
  <c r="L101" i="1" s="1"/>
  <c r="G102" i="1"/>
  <c r="BA102" i="1" s="1"/>
  <c r="BB102" i="1" s="1"/>
  <c r="BC102" i="1" s="1"/>
  <c r="G103" i="1"/>
  <c r="BA103" i="1" s="1"/>
  <c r="BB103" i="1" s="1"/>
  <c r="BC103" i="1" s="1"/>
  <c r="G104" i="1"/>
  <c r="BA104" i="1" s="1"/>
  <c r="BB104" i="1" s="1"/>
  <c r="BC104" i="1" s="1"/>
  <c r="G105" i="1"/>
  <c r="BA105" i="1" s="1"/>
  <c r="BB105" i="1" s="1"/>
  <c r="BC105" i="1" s="1"/>
  <c r="G106" i="1"/>
  <c r="BA106" i="1" s="1"/>
  <c r="BB106" i="1" s="1"/>
  <c r="BC106" i="1" s="1"/>
  <c r="G107" i="1"/>
  <c r="BA107" i="1" s="1"/>
  <c r="BB107" i="1" s="1"/>
  <c r="BC107" i="1" s="1"/>
  <c r="G108" i="1"/>
  <c r="G109" i="1"/>
  <c r="G110" i="1"/>
  <c r="L111" i="1"/>
  <c r="L112" i="1"/>
  <c r="L113" i="1"/>
  <c r="L114" i="1"/>
  <c r="G115" i="1"/>
  <c r="L115" i="1" s="1"/>
  <c r="G116" i="1"/>
  <c r="BA116" i="1" s="1"/>
  <c r="BB116" i="1" s="1"/>
  <c r="BC116" i="1" s="1"/>
  <c r="G117" i="1"/>
  <c r="L117" i="1" s="1"/>
  <c r="G118" i="1"/>
  <c r="BA118" i="1" s="1"/>
  <c r="BB118" i="1" s="1"/>
  <c r="BC118" i="1" s="1"/>
  <c r="G119" i="1"/>
  <c r="L119" i="1" s="1"/>
  <c r="G120" i="1"/>
  <c r="L120" i="1" s="1"/>
  <c r="G121" i="1"/>
  <c r="L121" i="1" s="1"/>
  <c r="G122" i="1"/>
  <c r="L122" i="1" s="1"/>
  <c r="G123" i="1"/>
  <c r="BA123" i="1" s="1"/>
  <c r="BB123" i="1" s="1"/>
  <c r="BC123" i="1" s="1"/>
  <c r="G124" i="1"/>
  <c r="BA124" i="1" s="1"/>
  <c r="BB124" i="1" s="1"/>
  <c r="BC124" i="1" s="1"/>
  <c r="L125" i="1"/>
  <c r="G126" i="1"/>
  <c r="L126" i="1" s="1"/>
  <c r="G127" i="1"/>
  <c r="BA127" i="1" s="1"/>
  <c r="BB127" i="1" s="1"/>
  <c r="BC127" i="1" s="1"/>
  <c r="G128" i="1"/>
  <c r="L128" i="1" s="1"/>
  <c r="G129" i="1"/>
  <c r="BA129" i="1" s="1"/>
  <c r="BB129" i="1" s="1"/>
  <c r="BC129" i="1" s="1"/>
  <c r="G130" i="1"/>
  <c r="L130" i="1" s="1"/>
  <c r="G131" i="1"/>
  <c r="L131" i="1" s="1"/>
  <c r="G132" i="1"/>
  <c r="L132" i="1" s="1"/>
  <c r="G133" i="1"/>
  <c r="L133" i="1" s="1"/>
  <c r="G134" i="1"/>
  <c r="BA134" i="1" s="1"/>
  <c r="BB134" i="1" s="1"/>
  <c r="BC134" i="1" s="1"/>
  <c r="G135" i="1"/>
  <c r="L135" i="1" s="1"/>
  <c r="L136" i="1"/>
  <c r="G137" i="1"/>
  <c r="L137" i="1" s="1"/>
  <c r="G138" i="1"/>
  <c r="L138" i="1" s="1"/>
  <c r="G139" i="1"/>
  <c r="BA139" i="1" s="1"/>
  <c r="BB139" i="1" s="1"/>
  <c r="BC139" i="1" s="1"/>
  <c r="G140" i="1"/>
  <c r="BA140" i="1" s="1"/>
  <c r="BB140" i="1" s="1"/>
  <c r="BC140" i="1" s="1"/>
  <c r="G141" i="1"/>
  <c r="BA141" i="1" s="1"/>
  <c r="BB141" i="1" s="1"/>
  <c r="BC141" i="1" s="1"/>
  <c r="G142" i="1"/>
  <c r="BA142" i="1" s="1"/>
  <c r="BB142" i="1" s="1"/>
  <c r="BC142" i="1" s="1"/>
  <c r="G143" i="1"/>
  <c r="L143" i="1" s="1"/>
  <c r="G144" i="1"/>
  <c r="L144" i="1" s="1"/>
  <c r="G145" i="1"/>
  <c r="G146" i="1"/>
  <c r="L146" i="1" s="1"/>
  <c r="L147" i="1"/>
  <c r="G148" i="1"/>
  <c r="BA148" i="1" s="1"/>
  <c r="BB148" i="1" s="1"/>
  <c r="BC148" i="1" s="1"/>
  <c r="G149" i="1"/>
  <c r="BA149" i="1" s="1"/>
  <c r="BB149" i="1" s="1"/>
  <c r="BC149" i="1" s="1"/>
  <c r="G150" i="1"/>
  <c r="BA150" i="1" s="1"/>
  <c r="BB150" i="1" s="1"/>
  <c r="BC150" i="1" s="1"/>
  <c r="G151" i="1"/>
  <c r="BA151" i="1" s="1"/>
  <c r="BB151" i="1" s="1"/>
  <c r="BC151" i="1" s="1"/>
  <c r="G152" i="1"/>
  <c r="L152" i="1" s="1"/>
  <c r="L153" i="1"/>
  <c r="G154" i="1"/>
  <c r="L154" i="1" s="1"/>
  <c r="G155" i="1"/>
  <c r="L155" i="1" s="1"/>
  <c r="G156" i="1"/>
  <c r="G157" i="1"/>
  <c r="L157" i="1" s="1"/>
  <c r="G158" i="1"/>
  <c r="G159" i="1"/>
  <c r="L159" i="1" s="1"/>
  <c r="G160" i="1"/>
  <c r="L160" i="1" s="1"/>
  <c r="G161" i="1"/>
  <c r="L161" i="1" s="1"/>
  <c r="G162" i="1"/>
  <c r="L162" i="1" s="1"/>
  <c r="G163" i="1"/>
  <c r="L163" i="1" s="1"/>
  <c r="L164" i="1"/>
  <c r="L165" i="1"/>
  <c r="G166" i="1"/>
  <c r="G167" i="1"/>
  <c r="L168" i="1"/>
  <c r="G169" i="1"/>
  <c r="L170" i="1"/>
  <c r="L171" i="1"/>
  <c r="G172" i="1"/>
  <c r="L172" i="1" s="1"/>
  <c r="G173" i="1"/>
  <c r="L174" i="1"/>
  <c r="L175" i="1"/>
  <c r="L176" i="1"/>
  <c r="G177" i="1"/>
  <c r="G178" i="1"/>
  <c r="G179" i="1"/>
  <c r="G180" i="1"/>
  <c r="G181" i="1"/>
  <c r="G182" i="1"/>
  <c r="G183" i="1"/>
  <c r="G184" i="1"/>
  <c r="L185" i="1"/>
  <c r="G186" i="1"/>
  <c r="L186" i="1" s="1"/>
  <c r="L187" i="1"/>
  <c r="L188" i="1"/>
  <c r="G189" i="1"/>
  <c r="L189" i="1" s="1"/>
  <c r="G190" i="1"/>
  <c r="L190" i="1" s="1"/>
  <c r="G191" i="1"/>
  <c r="G192" i="1"/>
  <c r="G193" i="1"/>
  <c r="L194" i="1"/>
  <c r="L195" i="1"/>
  <c r="G196" i="1"/>
  <c r="L197" i="1"/>
  <c r="L198" i="1"/>
  <c r="G199" i="1"/>
  <c r="L199" i="1" s="1"/>
  <c r="G200" i="1"/>
  <c r="L200" i="1" s="1"/>
  <c r="G201" i="1"/>
  <c r="G202" i="1"/>
  <c r="G203" i="1"/>
  <c r="G204" i="1"/>
  <c r="L205" i="1"/>
  <c r="L206" i="1"/>
  <c r="G207" i="1"/>
  <c r="L207" i="1" s="1"/>
  <c r="L208" i="1"/>
  <c r="L209" i="1"/>
  <c r="G210" i="1"/>
  <c r="G211" i="1"/>
  <c r="L211" i="1" s="1"/>
  <c r="G212" i="1"/>
  <c r="BD212" i="1" s="1"/>
  <c r="BE212" i="1" s="1"/>
  <c r="G213" i="1"/>
  <c r="L213" i="1" s="1"/>
  <c r="G214" i="1"/>
  <c r="G215" i="1"/>
  <c r="G216" i="1"/>
  <c r="G217" i="1"/>
  <c r="G218" i="1"/>
  <c r="L218" i="1" s="1"/>
  <c r="G219" i="1"/>
  <c r="L219" i="1" s="1"/>
  <c r="G220" i="1"/>
  <c r="L220" i="1" s="1"/>
  <c r="G221" i="1"/>
  <c r="G222" i="1"/>
  <c r="G223" i="1"/>
  <c r="L224" i="1"/>
  <c r="L225" i="1"/>
  <c r="G226" i="1"/>
  <c r="L226" i="1" s="1"/>
  <c r="G227" i="1"/>
  <c r="G228" i="1"/>
  <c r="G229" i="1"/>
  <c r="G230" i="1"/>
  <c r="G231" i="1"/>
  <c r="L232" i="1"/>
  <c r="L233" i="1"/>
  <c r="G234" i="1"/>
  <c r="G235" i="1"/>
  <c r="G236" i="1"/>
  <c r="G237" i="1"/>
  <c r="G238" i="1"/>
  <c r="L238" i="1" s="1"/>
  <c r="L239" i="1"/>
  <c r="L240" i="1"/>
  <c r="L241" i="1"/>
  <c r="L242" i="1"/>
  <c r="L243" i="1"/>
  <c r="G244" i="1"/>
  <c r="G245" i="1"/>
  <c r="G246" i="1"/>
  <c r="G247" i="1"/>
  <c r="G248" i="1"/>
  <c r="G249" i="1"/>
  <c r="G250" i="1"/>
  <c r="L250" i="1" s="1"/>
  <c r="G251" i="1"/>
  <c r="BD251" i="1" s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L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L295" i="1"/>
  <c r="G296" i="1"/>
  <c r="L297" i="1"/>
  <c r="G298" i="1"/>
  <c r="G299" i="1"/>
  <c r="G300" i="1"/>
  <c r="G301" i="1"/>
  <c r="G302" i="1"/>
  <c r="G303" i="1"/>
  <c r="L304" i="1"/>
  <c r="G305" i="1"/>
  <c r="G306" i="1"/>
  <c r="G307" i="1"/>
  <c r="G308" i="1"/>
  <c r="L309" i="1"/>
  <c r="L310" i="1"/>
  <c r="G311" i="1"/>
  <c r="G312" i="1"/>
  <c r="G313" i="1"/>
  <c r="G314" i="1"/>
  <c r="G315" i="1"/>
  <c r="G316" i="1"/>
  <c r="L316" i="1" s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L331" i="1"/>
  <c r="G332" i="1"/>
  <c r="G333" i="1"/>
  <c r="G334" i="1"/>
  <c r="G335" i="1"/>
  <c r="L336" i="1"/>
  <c r="L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L371" i="1"/>
  <c r="G372" i="1"/>
  <c r="G373" i="1"/>
  <c r="G374" i="1"/>
  <c r="L375" i="1"/>
  <c r="L376" i="1"/>
  <c r="G377" i="1"/>
  <c r="G378" i="1"/>
  <c r="G379" i="1"/>
  <c r="G380" i="1"/>
  <c r="G381" i="1"/>
  <c r="G382" i="1"/>
  <c r="G383" i="1"/>
  <c r="L384" i="1"/>
  <c r="G385" i="1"/>
  <c r="G386" i="1"/>
  <c r="G387" i="1"/>
  <c r="G388" i="1"/>
  <c r="L389" i="1"/>
  <c r="L390" i="1"/>
  <c r="L391" i="1"/>
  <c r="L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L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L420" i="1" s="1"/>
  <c r="G421" i="1"/>
  <c r="G422" i="1"/>
  <c r="G423" i="1"/>
  <c r="G424" i="1"/>
  <c r="G425" i="1"/>
  <c r="L426" i="1"/>
  <c r="L427" i="1"/>
  <c r="L428" i="1"/>
  <c r="L429" i="1"/>
  <c r="G430" i="1"/>
  <c r="BD430" i="1" s="1"/>
  <c r="BE430" i="1" s="1"/>
  <c r="G431" i="1"/>
  <c r="BD431" i="1" s="1"/>
  <c r="BE431" i="1" s="1"/>
  <c r="G432" i="1"/>
  <c r="BD432" i="1" s="1"/>
  <c r="BE432" i="1" s="1"/>
  <c r="G433" i="1"/>
  <c r="G434" i="1"/>
  <c r="BD434" i="1" s="1"/>
  <c r="BE434" i="1" s="1"/>
  <c r="G435" i="1"/>
  <c r="BD435" i="1" s="1"/>
  <c r="BE435" i="1" s="1"/>
  <c r="G436" i="1"/>
  <c r="BD436" i="1" s="1"/>
  <c r="BE436" i="1" s="1"/>
  <c r="G437" i="1"/>
  <c r="BD437" i="1" s="1"/>
  <c r="BE437" i="1" s="1"/>
  <c r="G438" i="1"/>
  <c r="G439" i="1"/>
  <c r="G440" i="1"/>
  <c r="BD440" i="1" s="1"/>
  <c r="BE440" i="1" s="1"/>
  <c r="G441" i="1"/>
  <c r="BD441" i="1" s="1"/>
  <c r="BE441" i="1" s="1"/>
  <c r="G442" i="1"/>
  <c r="BD442" i="1" s="1"/>
  <c r="BE442" i="1" s="1"/>
  <c r="G443" i="1"/>
  <c r="G444" i="1"/>
  <c r="G445" i="1"/>
  <c r="G446" i="1"/>
  <c r="G447" i="1"/>
  <c r="BD447" i="1" s="1"/>
  <c r="BE447" i="1" s="1"/>
  <c r="G448" i="1"/>
  <c r="BD448" i="1" s="1"/>
  <c r="BE448" i="1" s="1"/>
  <c r="G449" i="1"/>
  <c r="BD449" i="1" s="1"/>
  <c r="BE449" i="1" s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L478" i="1"/>
  <c r="G479" i="1"/>
  <c r="G480" i="1"/>
  <c r="G481" i="1"/>
  <c r="G482" i="1"/>
  <c r="G483" i="1"/>
  <c r="G484" i="1"/>
  <c r="G485" i="1"/>
  <c r="L486" i="1"/>
  <c r="G487" i="1"/>
  <c r="L487" i="1" s="1"/>
  <c r="G488" i="1"/>
  <c r="G489" i="1"/>
  <c r="G490" i="1"/>
  <c r="L490" i="1" s="1"/>
  <c r="G491" i="1"/>
  <c r="L491" i="1" s="1"/>
  <c r="G492" i="1"/>
  <c r="L492" i="1" s="1"/>
  <c r="G493" i="1"/>
  <c r="L493" i="1" s="1"/>
  <c r="G494" i="1"/>
  <c r="L494" i="1" s="1"/>
  <c r="G495" i="1"/>
  <c r="L495" i="1" s="1"/>
  <c r="G496" i="1"/>
  <c r="L496" i="1" s="1"/>
  <c r="L497" i="1"/>
  <c r="G498" i="1"/>
  <c r="G499" i="1"/>
  <c r="G500" i="1"/>
  <c r="G501" i="1"/>
  <c r="G502" i="1"/>
  <c r="G503" i="1"/>
  <c r="L504" i="1"/>
  <c r="L505" i="1"/>
  <c r="L506" i="1"/>
  <c r="G507" i="1"/>
  <c r="G508" i="1"/>
  <c r="G509" i="1"/>
  <c r="G510" i="1"/>
  <c r="L510" i="1" s="1"/>
  <c r="G511" i="1"/>
  <c r="L511" i="1" s="1"/>
  <c r="G512" i="1"/>
  <c r="L512" i="1" s="1"/>
  <c r="G513" i="1"/>
  <c r="L513" i="1" s="1"/>
  <c r="G514" i="1"/>
  <c r="L514" i="1" s="1"/>
  <c r="G515" i="1"/>
  <c r="G516" i="1"/>
  <c r="BD516" i="1" s="1"/>
  <c r="BE516" i="1" s="1"/>
  <c r="G517" i="1"/>
  <c r="L517" i="1" s="1"/>
  <c r="G518" i="1"/>
  <c r="G519" i="1"/>
  <c r="G520" i="1"/>
  <c r="G521" i="1"/>
  <c r="G522" i="1"/>
  <c r="G523" i="1"/>
  <c r="G524" i="1"/>
  <c r="L525" i="1"/>
  <c r="G526" i="1"/>
  <c r="G527" i="1"/>
  <c r="G528" i="1"/>
  <c r="G529" i="1"/>
  <c r="G530" i="1"/>
  <c r="G531" i="1"/>
  <c r="G532" i="1"/>
  <c r="G533" i="1"/>
  <c r="G534" i="1"/>
  <c r="G535" i="1"/>
  <c r="G536" i="1"/>
  <c r="BD536" i="1" s="1"/>
  <c r="BE536" i="1" s="1"/>
  <c r="G537" i="1"/>
  <c r="BD537" i="1" s="1"/>
  <c r="BE537" i="1" s="1"/>
  <c r="G538" i="1"/>
  <c r="BD538" i="1" s="1"/>
  <c r="BE538" i="1" s="1"/>
  <c r="G539" i="1"/>
  <c r="G540" i="1"/>
  <c r="G541" i="1"/>
  <c r="G542" i="1"/>
  <c r="G543" i="1"/>
  <c r="BD543" i="1" s="1"/>
  <c r="BE543" i="1" s="1"/>
  <c r="G544" i="1"/>
  <c r="G545" i="1"/>
  <c r="BD545" i="1" s="1"/>
  <c r="BE545" i="1" s="1"/>
  <c r="G546" i="1"/>
  <c r="G547" i="1"/>
  <c r="G548" i="1"/>
  <c r="G549" i="1"/>
  <c r="G550" i="1"/>
  <c r="G551" i="1"/>
  <c r="G552" i="1"/>
  <c r="G553" i="1"/>
  <c r="G554" i="1"/>
  <c r="BD554" i="1" s="1"/>
  <c r="G555" i="1"/>
  <c r="BD555" i="1" s="1"/>
  <c r="G556" i="1"/>
  <c r="BD556" i="1" s="1"/>
  <c r="G557" i="1"/>
  <c r="G558" i="1"/>
  <c r="BD558" i="1" s="1"/>
  <c r="BE558" i="1" s="1"/>
  <c r="G559" i="1"/>
  <c r="G560" i="1"/>
  <c r="BD560" i="1" s="1"/>
  <c r="BE560" i="1" s="1"/>
  <c r="G561" i="1"/>
  <c r="G562" i="1"/>
  <c r="L563" i="1"/>
  <c r="G564" i="1"/>
  <c r="L564" i="1" s="1"/>
  <c r="G565" i="1"/>
  <c r="L565" i="1" s="1"/>
  <c r="G566" i="1"/>
  <c r="L566" i="1" s="1"/>
  <c r="G567" i="1"/>
  <c r="L567" i="1" s="1"/>
  <c r="G568" i="1"/>
  <c r="G569" i="1"/>
  <c r="L570" i="1"/>
  <c r="G571" i="1"/>
  <c r="G572" i="1"/>
  <c r="G573" i="1"/>
  <c r="G574" i="1"/>
  <c r="G575" i="1"/>
  <c r="G576" i="1"/>
  <c r="G577" i="1"/>
  <c r="BD577" i="1" s="1"/>
  <c r="L578" i="1"/>
  <c r="G579" i="1"/>
  <c r="G580" i="1"/>
  <c r="G581" i="1"/>
  <c r="BD581" i="1" s="1"/>
  <c r="G582" i="1"/>
  <c r="BD582" i="1" s="1"/>
  <c r="G583" i="1"/>
  <c r="L584" i="1"/>
  <c r="L585" i="1"/>
  <c r="L586" i="1"/>
  <c r="G587" i="1"/>
  <c r="BD587" i="1" s="1"/>
  <c r="BE587" i="1" s="1"/>
  <c r="G588" i="1"/>
  <c r="G589" i="1"/>
  <c r="G590" i="1"/>
  <c r="G591" i="1"/>
  <c r="L592" i="1"/>
  <c r="G593" i="1"/>
  <c r="G594" i="1"/>
  <c r="G595" i="1"/>
  <c r="G596" i="1"/>
  <c r="G597" i="1"/>
  <c r="G598" i="1"/>
  <c r="G599" i="1"/>
  <c r="G600" i="1"/>
  <c r="G601" i="1"/>
  <c r="G602" i="1"/>
  <c r="L603" i="1"/>
  <c r="G604" i="1"/>
  <c r="G605" i="1"/>
  <c r="G606" i="1"/>
  <c r="G607" i="1"/>
  <c r="G608" i="1"/>
  <c r="G609" i="1"/>
  <c r="G610" i="1"/>
  <c r="L611" i="1"/>
  <c r="G612" i="1"/>
  <c r="L612" i="1" s="1"/>
  <c r="L613" i="1"/>
  <c r="G614" i="1"/>
  <c r="L615" i="1"/>
  <c r="L616" i="1"/>
  <c r="G617" i="1"/>
  <c r="L617" i="1" s="1"/>
  <c r="G618" i="1"/>
  <c r="L618" i="1" s="1"/>
  <c r="L619" i="1"/>
  <c r="L620" i="1"/>
  <c r="L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L641" i="1"/>
  <c r="G642" i="1"/>
  <c r="G643" i="1"/>
  <c r="G644" i="1"/>
  <c r="G645" i="1"/>
  <c r="G646" i="1"/>
  <c r="L647" i="1"/>
  <c r="G648" i="1"/>
  <c r="G649" i="1"/>
  <c r="G650" i="1"/>
  <c r="G651" i="1"/>
  <c r="L652" i="1"/>
  <c r="G653" i="1"/>
  <c r="L653" i="1" s="1"/>
  <c r="G654" i="1"/>
  <c r="L654" i="1" s="1"/>
  <c r="L655" i="1"/>
  <c r="G656" i="1"/>
  <c r="G657" i="1"/>
  <c r="G658" i="1"/>
  <c r="L659" i="1"/>
  <c r="L660" i="1"/>
  <c r="L661" i="1"/>
  <c r="G662" i="1"/>
  <c r="L662" i="1" s="1"/>
  <c r="L663" i="1"/>
  <c r="G664" i="1"/>
  <c r="G665" i="1"/>
  <c r="G666" i="1"/>
  <c r="G667" i="1"/>
  <c r="G668" i="1"/>
  <c r="G669" i="1"/>
  <c r="G670" i="1"/>
  <c r="L671" i="1"/>
  <c r="G672" i="1"/>
  <c r="L672" i="1" s="1"/>
  <c r="L673" i="1"/>
  <c r="G674" i="1"/>
  <c r="G675" i="1"/>
  <c r="G676" i="1"/>
  <c r="G677" i="1"/>
  <c r="G678" i="1"/>
  <c r="G679" i="1"/>
  <c r="L680" i="1"/>
  <c r="G681" i="1"/>
  <c r="G682" i="1"/>
  <c r="L683" i="1"/>
  <c r="L684" i="1"/>
  <c r="L685" i="1"/>
  <c r="G686" i="1"/>
  <c r="G687" i="1"/>
  <c r="L687" i="1" s="1"/>
  <c r="G688" i="1"/>
  <c r="G689" i="1"/>
  <c r="G690" i="1"/>
  <c r="L690" i="1" s="1"/>
  <c r="G691" i="1"/>
  <c r="G692" i="1"/>
  <c r="L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L712" i="1"/>
  <c r="G713" i="1"/>
  <c r="G714" i="1"/>
  <c r="G715" i="1"/>
  <c r="G716" i="1"/>
  <c r="L717" i="1"/>
  <c r="G718" i="1"/>
  <c r="G719" i="1"/>
  <c r="G720" i="1"/>
  <c r="G721" i="1"/>
  <c r="G722" i="1"/>
  <c r="G723" i="1"/>
  <c r="G724" i="1"/>
  <c r="G725" i="1"/>
  <c r="G726" i="1"/>
  <c r="G727" i="1"/>
  <c r="G728" i="1"/>
  <c r="L729" i="1"/>
  <c r="G730" i="1"/>
  <c r="L730" i="1" s="1"/>
  <c r="L731" i="1"/>
  <c r="G732" i="1"/>
  <c r="G733" i="1"/>
  <c r="G734" i="1"/>
  <c r="G735" i="1"/>
  <c r="G736" i="1"/>
  <c r="G737" i="1"/>
  <c r="G738" i="1"/>
  <c r="G739" i="1"/>
  <c r="G740" i="1"/>
  <c r="G741" i="1"/>
  <c r="L742" i="1"/>
  <c r="G743" i="1"/>
  <c r="L744" i="1"/>
  <c r="L745" i="1"/>
  <c r="L746" i="1"/>
  <c r="G747" i="1"/>
  <c r="G748" i="1"/>
  <c r="G749" i="1"/>
  <c r="G750" i="1"/>
  <c r="G751" i="1"/>
  <c r="G752" i="1"/>
  <c r="G753" i="1"/>
  <c r="L754" i="1"/>
  <c r="G755" i="1"/>
  <c r="G756" i="1"/>
  <c r="G757" i="1"/>
  <c r="G758" i="1"/>
  <c r="G759" i="1"/>
  <c r="G760" i="1"/>
  <c r="G761" i="1"/>
  <c r="L762" i="1"/>
  <c r="G763" i="1"/>
  <c r="G764" i="1"/>
  <c r="G765" i="1"/>
  <c r="G766" i="1"/>
  <c r="G767" i="1"/>
  <c r="G768" i="1"/>
  <c r="L769" i="1"/>
  <c r="G770" i="1"/>
  <c r="G771" i="1"/>
  <c r="G772" i="1"/>
  <c r="G773" i="1"/>
  <c r="G774" i="1"/>
  <c r="G775" i="1"/>
  <c r="G776" i="1"/>
  <c r="G777" i="1"/>
  <c r="G778" i="1"/>
  <c r="G779" i="1"/>
  <c r="G780" i="1"/>
  <c r="L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L794" i="1"/>
  <c r="G795" i="1"/>
  <c r="G796" i="1"/>
  <c r="G797" i="1"/>
  <c r="G798" i="1"/>
  <c r="G799" i="1"/>
  <c r="G800" i="1"/>
  <c r="G801" i="1"/>
  <c r="G802" i="1"/>
  <c r="G803" i="1"/>
  <c r="G804" i="1"/>
  <c r="G805" i="1"/>
  <c r="L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L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L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L849" i="1"/>
  <c r="G850" i="1"/>
  <c r="G851" i="1"/>
  <c r="G852" i="1"/>
  <c r="G853" i="1"/>
  <c r="G854" i="1"/>
  <c r="G855" i="1"/>
  <c r="G856" i="1"/>
  <c r="G857" i="1"/>
  <c r="G858" i="1"/>
  <c r="G859" i="1"/>
  <c r="G860" i="1"/>
  <c r="L861" i="1"/>
  <c r="G862" i="1"/>
  <c r="G863" i="1"/>
  <c r="G864" i="1"/>
  <c r="G865" i="1"/>
  <c r="G866" i="1"/>
  <c r="G867" i="1"/>
  <c r="G868" i="1"/>
  <c r="G869" i="1"/>
  <c r="G870" i="1"/>
  <c r="G871" i="1"/>
  <c r="G872" i="1"/>
  <c r="L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L888" i="1"/>
  <c r="G889" i="1"/>
  <c r="G890" i="1"/>
  <c r="G891" i="1"/>
  <c r="G892" i="1"/>
  <c r="L893" i="1"/>
  <c r="G894" i="1"/>
  <c r="G895" i="1"/>
  <c r="G896" i="1"/>
  <c r="G897" i="1"/>
  <c r="L898" i="1"/>
  <c r="G899" i="1"/>
  <c r="G900" i="1"/>
  <c r="G901" i="1"/>
  <c r="G902" i="1"/>
  <c r="L903" i="1"/>
  <c r="G904" i="1"/>
  <c r="G905" i="1"/>
  <c r="G906" i="1"/>
  <c r="G907" i="1"/>
  <c r="L908" i="1"/>
  <c r="G909" i="1"/>
  <c r="G910" i="1"/>
  <c r="G911" i="1"/>
  <c r="G912" i="1"/>
  <c r="G913" i="1"/>
  <c r="G914" i="1"/>
  <c r="G915" i="1"/>
  <c r="G916" i="1"/>
  <c r="L917" i="1"/>
  <c r="G918" i="1"/>
  <c r="G919" i="1"/>
  <c r="G920" i="1"/>
  <c r="G921" i="1"/>
  <c r="G922" i="1"/>
  <c r="G923" i="1"/>
  <c r="G924" i="1"/>
  <c r="L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L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L955" i="1"/>
  <c r="L956" i="1"/>
  <c r="L957" i="1"/>
  <c r="G958" i="1"/>
  <c r="G959" i="1"/>
  <c r="G960" i="1"/>
  <c r="G961" i="1"/>
  <c r="G962" i="1"/>
  <c r="G963" i="1"/>
  <c r="G964" i="1"/>
  <c r="G965" i="1"/>
  <c r="L966" i="1"/>
  <c r="G967" i="1"/>
  <c r="G968" i="1"/>
  <c r="L969" i="1"/>
  <c r="G970" i="1"/>
  <c r="G971" i="1"/>
  <c r="G972" i="1"/>
  <c r="G973" i="1"/>
  <c r="G974" i="1"/>
  <c r="L975" i="1"/>
  <c r="G976" i="1"/>
  <c r="G977" i="1"/>
  <c r="G978" i="1"/>
  <c r="G979" i="1"/>
  <c r="G980" i="1"/>
  <c r="G981" i="1"/>
  <c r="G982" i="1"/>
  <c r="G983" i="1"/>
  <c r="G984" i="1"/>
  <c r="G985" i="1"/>
  <c r="L986" i="1"/>
  <c r="L987" i="1"/>
  <c r="L988" i="1"/>
  <c r="G989" i="1"/>
  <c r="L989" i="1" s="1"/>
  <c r="G990" i="1"/>
  <c r="G991" i="1"/>
  <c r="G992" i="1"/>
  <c r="G993" i="1"/>
  <c r="G994" i="1"/>
  <c r="L995" i="1"/>
  <c r="G996" i="1"/>
  <c r="G997" i="1"/>
  <c r="L998" i="1"/>
  <c r="G999" i="1"/>
  <c r="G1000" i="1"/>
  <c r="G1001" i="1"/>
  <c r="G1002" i="1"/>
  <c r="G1003" i="1"/>
  <c r="G1004" i="1"/>
  <c r="BD1004" i="1" s="1"/>
  <c r="BE1004" i="1" s="1"/>
  <c r="L1005" i="1"/>
  <c r="L1006" i="1"/>
  <c r="L1007" i="1"/>
  <c r="L1008" i="1"/>
  <c r="G1009" i="1"/>
  <c r="L1009" i="1" s="1"/>
  <c r="L1010" i="1"/>
  <c r="G1011" i="1"/>
  <c r="L1011" i="1" s="1"/>
  <c r="L1012" i="1"/>
  <c r="G1013" i="1"/>
  <c r="L1013" i="1" s="1"/>
  <c r="G1014" i="1"/>
  <c r="L1015" i="1"/>
  <c r="G1016" i="1"/>
  <c r="G1017" i="1"/>
  <c r="G1018" i="1"/>
  <c r="G1019" i="1"/>
  <c r="G1020" i="1"/>
  <c r="G1021" i="1"/>
  <c r="G1022" i="1"/>
  <c r="G1023" i="1"/>
  <c r="L1024" i="1"/>
  <c r="G1025" i="1"/>
  <c r="G1026" i="1"/>
  <c r="G1027" i="1"/>
  <c r="G1028" i="1"/>
  <c r="L1029" i="1"/>
  <c r="G1030" i="1"/>
  <c r="G1031" i="1"/>
  <c r="L1031" i="1" s="1"/>
  <c r="G1032" i="1"/>
  <c r="G1033" i="1"/>
  <c r="L1034" i="1"/>
  <c r="G1035" i="1"/>
  <c r="L1035" i="1" s="1"/>
  <c r="G1036" i="1"/>
  <c r="L1036" i="1" s="1"/>
  <c r="G1037" i="1"/>
  <c r="L1037" i="1" s="1"/>
  <c r="G1038" i="1"/>
  <c r="G1039" i="1"/>
  <c r="BD1039" i="1" s="1"/>
  <c r="BE1039" i="1" s="1"/>
  <c r="L1040" i="1"/>
  <c r="G1041" i="1"/>
  <c r="G1042" i="1"/>
  <c r="G1043" i="1"/>
  <c r="G1044" i="1"/>
  <c r="G1045" i="1"/>
  <c r="L1046" i="1"/>
  <c r="G1047" i="1"/>
  <c r="L1047" i="1" s="1"/>
  <c r="G1048" i="1"/>
  <c r="L1048" i="1" s="1"/>
  <c r="L1049" i="1"/>
  <c r="G1050" i="1"/>
  <c r="G1051" i="1"/>
  <c r="G1052" i="1"/>
  <c r="L1053" i="1"/>
  <c r="G1054" i="1"/>
  <c r="G1055" i="1"/>
  <c r="L1055" i="1" s="1"/>
  <c r="G1056" i="1"/>
  <c r="G1057" i="1"/>
  <c r="G1058" i="1"/>
  <c r="L1059" i="1"/>
  <c r="L1060" i="1"/>
  <c r="L1061" i="1"/>
  <c r="L1062" i="1"/>
  <c r="G1063" i="1"/>
  <c r="G1064" i="1"/>
  <c r="G1065" i="1"/>
  <c r="G1066" i="1"/>
  <c r="L1067" i="1"/>
  <c r="G1068" i="1"/>
  <c r="L1069" i="1"/>
  <c r="G1070" i="1"/>
  <c r="L1070" i="1" s="1"/>
  <c r="G1071" i="1"/>
  <c r="L1071" i="1" s="1"/>
  <c r="G1072" i="1"/>
  <c r="L1072" i="1" s="1"/>
  <c r="G1073" i="1"/>
  <c r="L1073" i="1" s="1"/>
  <c r="G1074" i="1"/>
  <c r="L1074" i="1" s="1"/>
  <c r="G1075" i="1"/>
  <c r="L1075" i="1" s="1"/>
  <c r="G1076" i="1"/>
  <c r="L1076" i="1" s="1"/>
  <c r="G1077" i="1"/>
  <c r="G1078" i="1"/>
  <c r="G1079" i="1"/>
  <c r="G1080" i="1"/>
  <c r="G1081" i="1"/>
  <c r="G1082" i="1"/>
  <c r="G1083" i="1"/>
  <c r="G1084" i="1"/>
  <c r="BD1084" i="1" s="1"/>
  <c r="BE1084" i="1" s="1"/>
  <c r="L1085" i="1"/>
  <c r="G1086" i="1"/>
  <c r="G1087" i="1"/>
  <c r="G1088" i="1"/>
  <c r="G1090" i="1"/>
  <c r="G1091" i="1"/>
  <c r="G1092" i="1"/>
  <c r="G1093" i="1"/>
  <c r="G1094" i="1"/>
  <c r="G1095" i="1"/>
  <c r="G1096" i="1"/>
  <c r="G1097" i="1"/>
  <c r="L1098" i="1"/>
  <c r="G1099" i="1"/>
  <c r="L1099" i="1" s="1"/>
  <c r="L1100" i="1"/>
  <c r="L1101" i="1"/>
  <c r="G1102" i="1"/>
  <c r="L1102" i="1" s="1"/>
  <c r="G1103" i="1"/>
  <c r="G1104" i="1"/>
  <c r="BD1104" i="1" s="1"/>
  <c r="BE1104" i="1" s="1"/>
  <c r="G1105" i="1"/>
  <c r="G1106" i="1"/>
  <c r="G1107" i="1"/>
  <c r="G1108" i="1"/>
  <c r="BD1108" i="1" s="1"/>
  <c r="BE1108" i="1" s="1"/>
  <c r="G1109" i="1"/>
  <c r="G1110" i="1"/>
  <c r="BD1110" i="1" s="1"/>
  <c r="BE1110" i="1" s="1"/>
  <c r="G1111" i="1"/>
  <c r="G1112" i="1"/>
  <c r="L1113" i="1"/>
  <c r="L1114" i="1"/>
  <c r="G1115" i="1"/>
  <c r="BA1115" i="1" s="1"/>
  <c r="BB1115" i="1" s="1"/>
  <c r="G1116" i="1"/>
  <c r="BA1116" i="1" s="1"/>
  <c r="BB1116" i="1" s="1"/>
  <c r="BC1116" i="1" s="1"/>
  <c r="G1117" i="1"/>
  <c r="BD1117" i="1" s="1"/>
  <c r="BE1117" i="1" s="1"/>
  <c r="L1118" i="1"/>
  <c r="L1119" i="1"/>
  <c r="G1120" i="1"/>
  <c r="G1121" i="1"/>
  <c r="L1122" i="1"/>
  <c r="L1123" i="1"/>
  <c r="L1124" i="1"/>
  <c r="G1125" i="1"/>
  <c r="L1126" i="1"/>
  <c r="G1127" i="1"/>
  <c r="G1128" i="1"/>
  <c r="G1129" i="1"/>
  <c r="L1130" i="1"/>
  <c r="G1131" i="1"/>
  <c r="G1132" i="1"/>
  <c r="G1133" i="1"/>
  <c r="G1134" i="1"/>
  <c r="G1135" i="1"/>
  <c r="G1136" i="1"/>
  <c r="G1137" i="1"/>
  <c r="G1138" i="1"/>
  <c r="G1139" i="1"/>
  <c r="G1140" i="1"/>
  <c r="L1141" i="1"/>
  <c r="L1142" i="1"/>
  <c r="G1143" i="1"/>
  <c r="G1144" i="1"/>
  <c r="G23" i="1"/>
  <c r="BA23" i="1" s="1"/>
  <c r="BB23" i="1" s="1"/>
  <c r="BC23" i="1" s="1"/>
  <c r="M22" i="15"/>
  <c r="M24" i="15"/>
  <c r="M27" i="15"/>
  <c r="M30" i="15"/>
  <c r="M31" i="15"/>
  <c r="M32" i="15"/>
  <c r="M40" i="15"/>
  <c r="M51" i="15"/>
  <c r="M62" i="15"/>
  <c r="M63" i="15"/>
  <c r="M78" i="15"/>
  <c r="M79" i="15"/>
  <c r="M80" i="15"/>
  <c r="M81" i="15"/>
  <c r="M120" i="15"/>
  <c r="M130" i="15"/>
  <c r="M131" i="15"/>
  <c r="M133" i="15"/>
  <c r="M134" i="15"/>
  <c r="M145" i="15"/>
  <c r="M148" i="15"/>
  <c r="M149" i="15"/>
  <c r="M151" i="15"/>
  <c r="M152" i="15"/>
  <c r="M162" i="15"/>
  <c r="M163" i="15"/>
  <c r="M166" i="15"/>
  <c r="M167" i="15"/>
  <c r="M177" i="15"/>
  <c r="M178" i="15"/>
  <c r="M185" i="15"/>
  <c r="M186" i="15"/>
  <c r="M192" i="15"/>
  <c r="M193" i="15"/>
  <c r="M194" i="15"/>
  <c r="M195" i="15"/>
  <c r="M196" i="15"/>
  <c r="M231" i="15"/>
  <c r="M250" i="15"/>
  <c r="M252" i="15"/>
  <c r="M265" i="15"/>
  <c r="M266" i="15"/>
  <c r="M287" i="15"/>
  <c r="M292" i="15"/>
  <c r="M293" i="15"/>
  <c r="M327" i="15"/>
  <c r="M331" i="15"/>
  <c r="M332" i="15"/>
  <c r="M340" i="15"/>
  <c r="M345" i="15"/>
  <c r="M346" i="15"/>
  <c r="M347" i="15"/>
  <c r="M348" i="15"/>
  <c r="M363" i="15"/>
  <c r="M382" i="15"/>
  <c r="M383" i="15"/>
  <c r="M384" i="15"/>
  <c r="M385" i="15"/>
  <c r="M408" i="15"/>
  <c r="M412" i="15"/>
  <c r="M420" i="15"/>
  <c r="M424" i="15"/>
  <c r="M425" i="15"/>
  <c r="M426" i="15"/>
  <c r="M447" i="15"/>
  <c r="M478" i="15"/>
  <c r="M482" i="15"/>
  <c r="M485" i="15"/>
  <c r="M487" i="15"/>
  <c r="M491" i="15"/>
  <c r="M492" i="15"/>
  <c r="M493" i="15"/>
  <c r="M495" i="15"/>
  <c r="M504" i="15"/>
  <c r="M507" i="15"/>
  <c r="M510" i="15"/>
  <c r="M511" i="15"/>
  <c r="M512" i="15"/>
  <c r="M518" i="15"/>
  <c r="M525" i="15"/>
  <c r="M540" i="15"/>
  <c r="M542" i="15"/>
  <c r="M545" i="15"/>
  <c r="M546" i="15"/>
  <c r="M549" i="15"/>
  <c r="M550" i="15"/>
  <c r="M551" i="15"/>
  <c r="M572" i="15"/>
  <c r="M579" i="15"/>
  <c r="M584" i="15"/>
  <c r="M587" i="15"/>
  <c r="M591" i="15"/>
  <c r="M592" i="15"/>
  <c r="M593" i="15"/>
  <c r="M595" i="15"/>
  <c r="M597" i="15"/>
  <c r="M599" i="15"/>
  <c r="M604" i="15"/>
  <c r="M605" i="15"/>
  <c r="M606" i="15"/>
  <c r="M613" i="15"/>
  <c r="M631" i="15"/>
  <c r="M635" i="15"/>
  <c r="M645" i="15"/>
  <c r="M647" i="15"/>
  <c r="M657" i="15"/>
  <c r="M659" i="15"/>
  <c r="M660" i="15"/>
  <c r="M661" i="15"/>
  <c r="M673" i="15"/>
  <c r="M685" i="15"/>
  <c r="M697" i="15"/>
  <c r="M710" i="15"/>
  <c r="M725" i="15"/>
  <c r="M738" i="15"/>
  <c r="M750" i="15"/>
  <c r="M765" i="15"/>
  <c r="M780" i="15"/>
  <c r="M795" i="15"/>
  <c r="M800" i="15"/>
  <c r="M806" i="15"/>
  <c r="M811" i="15"/>
  <c r="M816" i="15"/>
  <c r="M817" i="15"/>
  <c r="M818" i="15"/>
  <c r="M826" i="15"/>
  <c r="M829" i="15"/>
  <c r="M834" i="15"/>
  <c r="M845" i="15"/>
  <c r="M846" i="15"/>
  <c r="M847" i="15"/>
  <c r="M854" i="15"/>
  <c r="M857" i="15"/>
  <c r="M864" i="15"/>
  <c r="M865" i="15"/>
  <c r="M866" i="15"/>
  <c r="M867" i="15"/>
  <c r="M872" i="15"/>
  <c r="M875" i="15"/>
  <c r="M889" i="15"/>
  <c r="M894" i="15"/>
  <c r="M905" i="15"/>
  <c r="M906" i="15"/>
  <c r="M917" i="15"/>
  <c r="M918" i="15"/>
  <c r="M922" i="15"/>
  <c r="M923" i="15"/>
  <c r="M926" i="15"/>
  <c r="M927" i="15"/>
  <c r="M928" i="15"/>
  <c r="M930" i="15"/>
  <c r="M934" i="15"/>
  <c r="M945" i="15"/>
  <c r="M946" i="15"/>
  <c r="L949" i="15"/>
  <c r="L950" i="15"/>
  <c r="L951" i="15"/>
  <c r="G26" i="15"/>
  <c r="AF26" i="15" s="1"/>
  <c r="AG26" i="15" s="1"/>
  <c r="AH26" i="15" s="1"/>
  <c r="G28" i="15"/>
  <c r="AF28" i="15" s="1"/>
  <c r="AG28" i="15" s="1"/>
  <c r="AH28" i="15" s="1"/>
  <c r="G29" i="15"/>
  <c r="AF29" i="15" s="1"/>
  <c r="AG29" i="15" s="1"/>
  <c r="AH29" i="15" s="1"/>
  <c r="G33" i="15"/>
  <c r="AF33" i="15" s="1"/>
  <c r="AG33" i="15" s="1"/>
  <c r="AH33" i="15" s="1"/>
  <c r="G34" i="15"/>
  <c r="AF34" i="15" s="1"/>
  <c r="AG34" i="15" s="1"/>
  <c r="AH34" i="15" s="1"/>
  <c r="G35" i="15"/>
  <c r="G36" i="15"/>
  <c r="AF36" i="15" s="1"/>
  <c r="AG36" i="15" s="1"/>
  <c r="AH36" i="15" s="1"/>
  <c r="G37" i="15"/>
  <c r="G38" i="15"/>
  <c r="G39" i="15"/>
  <c r="AF39" i="15" s="1"/>
  <c r="AG39" i="15" s="1"/>
  <c r="AH39" i="15" s="1"/>
  <c r="G41" i="15"/>
  <c r="AF41" i="15" s="1"/>
  <c r="AG41" i="15" s="1"/>
  <c r="AH41" i="15" s="1"/>
  <c r="G42" i="15"/>
  <c r="AF42" i="15" s="1"/>
  <c r="AG42" i="15" s="1"/>
  <c r="AH42" i="15" s="1"/>
  <c r="G43" i="15"/>
  <c r="G44" i="15"/>
  <c r="AF44" i="15" s="1"/>
  <c r="AG44" i="15" s="1"/>
  <c r="AH44" i="15" s="1"/>
  <c r="G45" i="15"/>
  <c r="AF45" i="15" s="1"/>
  <c r="AG45" i="15" s="1"/>
  <c r="AH45" i="15" s="1"/>
  <c r="G46" i="15"/>
  <c r="AF46" i="15" s="1"/>
  <c r="AG46" i="15" s="1"/>
  <c r="AH46" i="15" s="1"/>
  <c r="G47" i="15"/>
  <c r="G48" i="15"/>
  <c r="G49" i="15"/>
  <c r="G50" i="15"/>
  <c r="AF50" i="15" s="1"/>
  <c r="AG50" i="15" s="1"/>
  <c r="AH50" i="15" s="1"/>
  <c r="G52" i="15"/>
  <c r="AF52" i="15" s="1"/>
  <c r="AG52" i="15" s="1"/>
  <c r="AH52" i="15" s="1"/>
  <c r="G53" i="15"/>
  <c r="AF53" i="15" s="1"/>
  <c r="AG53" i="15" s="1"/>
  <c r="AH53" i="15" s="1"/>
  <c r="G54" i="15"/>
  <c r="G55" i="15"/>
  <c r="AF55" i="15" s="1"/>
  <c r="AG55" i="15" s="1"/>
  <c r="AH55" i="15" s="1"/>
  <c r="G56" i="15"/>
  <c r="G57" i="15"/>
  <c r="G58" i="15"/>
  <c r="G59" i="15"/>
  <c r="G60" i="15"/>
  <c r="AF60" i="15" s="1"/>
  <c r="AG60" i="15" s="1"/>
  <c r="AH60" i="15" s="1"/>
  <c r="G61" i="15"/>
  <c r="G64" i="15"/>
  <c r="G65" i="15"/>
  <c r="G66" i="15"/>
  <c r="AI66" i="15" s="1"/>
  <c r="AJ66" i="15" s="1"/>
  <c r="AK66" i="15" s="1"/>
  <c r="G67" i="15"/>
  <c r="G68" i="15"/>
  <c r="G69" i="15"/>
  <c r="G70" i="15"/>
  <c r="G71" i="15"/>
  <c r="G72" i="15"/>
  <c r="G73" i="15"/>
  <c r="G74" i="15"/>
  <c r="AI74" i="15" s="1"/>
  <c r="AJ74" i="15" s="1"/>
  <c r="AK74" i="15" s="1"/>
  <c r="G75" i="15"/>
  <c r="AI75" i="15" s="1"/>
  <c r="AJ75" i="15" s="1"/>
  <c r="AK75" i="15" s="1"/>
  <c r="G76" i="15"/>
  <c r="AI76" i="15" s="1"/>
  <c r="AJ76" i="15" s="1"/>
  <c r="AK76" i="15" s="1"/>
  <c r="G77" i="15"/>
  <c r="AL77" i="15" s="1"/>
  <c r="AI77" i="15" s="1"/>
  <c r="AJ77" i="15" s="1"/>
  <c r="AK77" i="15" s="1"/>
  <c r="G82" i="15"/>
  <c r="G83" i="15"/>
  <c r="G84" i="15"/>
  <c r="G85" i="15"/>
  <c r="G86" i="15"/>
  <c r="G87" i="15"/>
  <c r="G88" i="15"/>
  <c r="G89" i="15"/>
  <c r="G90" i="15"/>
  <c r="G91" i="15"/>
  <c r="G93" i="15"/>
  <c r="AF93" i="15" s="1"/>
  <c r="AG93" i="15" s="1"/>
  <c r="AH93" i="15" s="1"/>
  <c r="G94" i="15"/>
  <c r="G95" i="15"/>
  <c r="AF95" i="15" s="1"/>
  <c r="AG95" i="15" s="1"/>
  <c r="AH95" i="15" s="1"/>
  <c r="G96" i="15"/>
  <c r="G97" i="15"/>
  <c r="AF97" i="15" s="1"/>
  <c r="AG97" i="15" s="1"/>
  <c r="AH97" i="15" s="1"/>
  <c r="G98" i="15"/>
  <c r="AF98" i="15" s="1"/>
  <c r="AG98" i="15" s="1"/>
  <c r="AH98" i="15" s="1"/>
  <c r="G99" i="15"/>
  <c r="AF99" i="15" s="1"/>
  <c r="AG99" i="15" s="1"/>
  <c r="AH99" i="15" s="1"/>
  <c r="G100" i="15"/>
  <c r="AF100" i="15" s="1"/>
  <c r="AG100" i="15" s="1"/>
  <c r="AH100" i="15" s="1"/>
  <c r="G101" i="15"/>
  <c r="G102" i="15"/>
  <c r="AF102" i="15" s="1"/>
  <c r="AG102" i="15" s="1"/>
  <c r="AH102" i="15" s="1"/>
  <c r="G104" i="15"/>
  <c r="AF104" i="15" s="1"/>
  <c r="AG104" i="15" s="1"/>
  <c r="AH104" i="15" s="1"/>
  <c r="G105" i="15"/>
  <c r="AF105" i="15" s="1"/>
  <c r="AG105" i="15" s="1"/>
  <c r="AH105" i="15" s="1"/>
  <c r="G106" i="15"/>
  <c r="G107" i="15"/>
  <c r="G108" i="15"/>
  <c r="G109" i="15"/>
  <c r="G110" i="15"/>
  <c r="AF110" i="15" s="1"/>
  <c r="AG110" i="15" s="1"/>
  <c r="AH110" i="15" s="1"/>
  <c r="G111" i="15"/>
  <c r="AF111" i="15" s="1"/>
  <c r="AG111" i="15" s="1"/>
  <c r="AH111" i="15" s="1"/>
  <c r="G112" i="15"/>
  <c r="AF112" i="15" s="1"/>
  <c r="AG112" i="15" s="1"/>
  <c r="AH112" i="15" s="1"/>
  <c r="G113" i="15"/>
  <c r="AF113" i="15" s="1"/>
  <c r="AG113" i="15" s="1"/>
  <c r="AH113" i="15" s="1"/>
  <c r="G115" i="15"/>
  <c r="AF115" i="15" s="1"/>
  <c r="AG115" i="15" s="1"/>
  <c r="AH115" i="15" s="1"/>
  <c r="G116" i="15"/>
  <c r="G117" i="15"/>
  <c r="G118" i="15"/>
  <c r="G119" i="15"/>
  <c r="AF119" i="15" s="1"/>
  <c r="AG119" i="15" s="1"/>
  <c r="AH119" i="15" s="1"/>
  <c r="G121" i="15"/>
  <c r="G122" i="15"/>
  <c r="G123" i="15"/>
  <c r="AI123" i="15" s="1"/>
  <c r="AJ123" i="15" s="1"/>
  <c r="AK123" i="15" s="1"/>
  <c r="G124" i="15"/>
  <c r="G125" i="15"/>
  <c r="AI125" i="15" s="1"/>
  <c r="AJ125" i="15" s="1"/>
  <c r="AK125" i="15" s="1"/>
  <c r="G126" i="15"/>
  <c r="G127" i="15"/>
  <c r="G128" i="15"/>
  <c r="G129" i="15"/>
  <c r="G132" i="15"/>
  <c r="AI132" i="15" s="1"/>
  <c r="AJ132" i="15" s="1"/>
  <c r="AK132" i="15" s="1"/>
  <c r="G136" i="15"/>
  <c r="AI136" i="15" s="1"/>
  <c r="AJ136" i="15" s="1"/>
  <c r="AK136" i="15" s="1"/>
  <c r="G137" i="15"/>
  <c r="AL137" i="15" s="1"/>
  <c r="AI137" i="15" s="1"/>
  <c r="AJ137" i="15" s="1"/>
  <c r="AK137" i="15" s="1"/>
  <c r="G141" i="15"/>
  <c r="AI141" i="15" s="1"/>
  <c r="AJ141" i="15" s="1"/>
  <c r="AK141" i="15" s="1"/>
  <c r="G142" i="15"/>
  <c r="AI142" i="15" s="1"/>
  <c r="AJ142" i="15" s="1"/>
  <c r="AK142" i="15" s="1"/>
  <c r="G143" i="15"/>
  <c r="AI143" i="15" s="1"/>
  <c r="AJ143" i="15" s="1"/>
  <c r="AK143" i="15" s="1"/>
  <c r="G144" i="15"/>
  <c r="AI144" i="15" s="1"/>
  <c r="AJ144" i="15" s="1"/>
  <c r="AK144" i="15" s="1"/>
  <c r="G146" i="15"/>
  <c r="G147" i="15"/>
  <c r="AI147" i="15" s="1"/>
  <c r="AJ147" i="15" s="1"/>
  <c r="AK147" i="15" s="1"/>
  <c r="G150" i="15"/>
  <c r="G153" i="15"/>
  <c r="G156" i="15"/>
  <c r="G157" i="15"/>
  <c r="G158" i="15"/>
  <c r="AI158" i="15" s="1"/>
  <c r="AJ158" i="15" s="1"/>
  <c r="AK158" i="15" s="1"/>
  <c r="G159" i="15"/>
  <c r="AI159" i="15" s="1"/>
  <c r="AJ159" i="15" s="1"/>
  <c r="AK159" i="15" s="1"/>
  <c r="G160" i="15"/>
  <c r="AL160" i="15" s="1"/>
  <c r="AI160" i="15" s="1"/>
  <c r="AJ160" i="15" s="1"/>
  <c r="AK160" i="15" s="1"/>
  <c r="G161" i="15"/>
  <c r="AI161" i="15" s="1"/>
  <c r="AJ161" i="15" s="1"/>
  <c r="AK161" i="15" s="1"/>
  <c r="G164" i="15"/>
  <c r="G165" i="15"/>
  <c r="AL165" i="15" s="1"/>
  <c r="AI165" i="15" s="1"/>
  <c r="AJ165" i="15" s="1"/>
  <c r="AK165" i="15" s="1"/>
  <c r="AK163" i="15" s="1"/>
  <c r="C41" i="9" s="1"/>
  <c r="G168" i="15"/>
  <c r="AI168" i="15" s="1"/>
  <c r="AJ168" i="15" s="1"/>
  <c r="AK168" i="15" s="1"/>
  <c r="G169" i="15"/>
  <c r="G170" i="15"/>
  <c r="G171" i="15"/>
  <c r="G172" i="15"/>
  <c r="AI172" i="15" s="1"/>
  <c r="AJ172" i="15" s="1"/>
  <c r="AK172" i="15" s="1"/>
  <c r="G173" i="15"/>
  <c r="AI173" i="15" s="1"/>
  <c r="AJ173" i="15" s="1"/>
  <c r="AK173" i="15" s="1"/>
  <c r="G174" i="15"/>
  <c r="AI174" i="15" s="1"/>
  <c r="AJ174" i="15" s="1"/>
  <c r="AK174" i="15" s="1"/>
  <c r="G175" i="15"/>
  <c r="AI175" i="15" s="1"/>
  <c r="AJ175" i="15" s="1"/>
  <c r="AK175" i="15" s="1"/>
  <c r="G176" i="15"/>
  <c r="AI176" i="15" s="1"/>
  <c r="AJ176" i="15" s="1"/>
  <c r="AK176" i="15" s="1"/>
  <c r="G179" i="15"/>
  <c r="G180" i="15"/>
  <c r="G181" i="15"/>
  <c r="AI181" i="15" s="1"/>
  <c r="AJ181" i="15" s="1"/>
  <c r="AK181" i="15" s="1"/>
  <c r="G182" i="15"/>
  <c r="AI182" i="15" s="1"/>
  <c r="AJ182" i="15" s="1"/>
  <c r="AK182" i="15" s="1"/>
  <c r="G183" i="15"/>
  <c r="AI183" i="15" s="1"/>
  <c r="AJ183" i="15" s="1"/>
  <c r="AK183" i="15" s="1"/>
  <c r="G184" i="15"/>
  <c r="AI184" i="15" s="1"/>
  <c r="AJ184" i="15" s="1"/>
  <c r="AK184" i="15" s="1"/>
  <c r="G187" i="15"/>
  <c r="AI187" i="15" s="1"/>
  <c r="AJ187" i="15" s="1"/>
  <c r="AK187" i="15" s="1"/>
  <c r="G188" i="15"/>
  <c r="AI188" i="15" s="1"/>
  <c r="AJ188" i="15" s="1"/>
  <c r="AK188" i="15" s="1"/>
  <c r="G189" i="15"/>
  <c r="AI189" i="15" s="1"/>
  <c r="AJ189" i="15" s="1"/>
  <c r="AK189" i="15" s="1"/>
  <c r="G190" i="15"/>
  <c r="G191" i="15"/>
  <c r="G197" i="15"/>
  <c r="AI197" i="15" s="1"/>
  <c r="AJ197" i="15" s="1"/>
  <c r="AK197" i="15" s="1"/>
  <c r="G198" i="15"/>
  <c r="AI198" i="15" s="1"/>
  <c r="AJ198" i="15" s="1"/>
  <c r="AK198" i="15" s="1"/>
  <c r="G199" i="15"/>
  <c r="AI199" i="15" s="1"/>
  <c r="AJ199" i="15" s="1"/>
  <c r="AK199" i="15" s="1"/>
  <c r="G200" i="15"/>
  <c r="AI200" i="15" s="1"/>
  <c r="AJ200" i="15" s="1"/>
  <c r="AK200" i="15" s="1"/>
  <c r="G201" i="15"/>
  <c r="AI201" i="15" s="1"/>
  <c r="AJ201" i="15" s="1"/>
  <c r="AK201" i="15" s="1"/>
  <c r="G202" i="15"/>
  <c r="AI202" i="15" s="1"/>
  <c r="AJ202" i="15" s="1"/>
  <c r="AK202" i="15" s="1"/>
  <c r="G203" i="15"/>
  <c r="G204" i="15"/>
  <c r="AI204" i="15" s="1"/>
  <c r="AJ204" i="15" s="1"/>
  <c r="AK204" i="15" s="1"/>
  <c r="G205" i="15"/>
  <c r="AI205" i="15" s="1"/>
  <c r="AJ205" i="15" s="1"/>
  <c r="AK205" i="15" s="1"/>
  <c r="G206" i="15"/>
  <c r="AI206" i="15" s="1"/>
  <c r="AJ206" i="15" s="1"/>
  <c r="AK206" i="15" s="1"/>
  <c r="G207" i="15"/>
  <c r="AI207" i="15" s="1"/>
  <c r="AJ207" i="15" s="1"/>
  <c r="AK207" i="15" s="1"/>
  <c r="G208" i="15"/>
  <c r="AI208" i="15" s="1"/>
  <c r="AJ208" i="15" s="1"/>
  <c r="AK208" i="15" s="1"/>
  <c r="G209" i="15"/>
  <c r="AI209" i="15" s="1"/>
  <c r="AJ209" i="15" s="1"/>
  <c r="AK209" i="15" s="1"/>
  <c r="G210" i="15"/>
  <c r="AI210" i="15" s="1"/>
  <c r="AJ210" i="15" s="1"/>
  <c r="AK210" i="15" s="1"/>
  <c r="G211" i="15"/>
  <c r="AI211" i="15" s="1"/>
  <c r="AJ211" i="15" s="1"/>
  <c r="AK211" i="15" s="1"/>
  <c r="G212" i="15"/>
  <c r="AI212" i="15" s="1"/>
  <c r="AJ212" i="15" s="1"/>
  <c r="AK212" i="15" s="1"/>
  <c r="G213" i="15"/>
  <c r="AI213" i="15" s="1"/>
  <c r="AJ213" i="15" s="1"/>
  <c r="AK213" i="15" s="1"/>
  <c r="G214" i="15"/>
  <c r="AI214" i="15" s="1"/>
  <c r="AJ214" i="15" s="1"/>
  <c r="AK214" i="15" s="1"/>
  <c r="G215" i="15"/>
  <c r="AI215" i="15" s="1"/>
  <c r="AJ215" i="15" s="1"/>
  <c r="AK215" i="15" s="1"/>
  <c r="G216" i="15"/>
  <c r="AI216" i="15" s="1"/>
  <c r="AJ216" i="15" s="1"/>
  <c r="AK216" i="15" s="1"/>
  <c r="G217" i="15"/>
  <c r="AI217" i="15" s="1"/>
  <c r="AJ217" i="15" s="1"/>
  <c r="AK217" i="15" s="1"/>
  <c r="G218" i="15"/>
  <c r="AI218" i="15" s="1"/>
  <c r="AJ218" i="15" s="1"/>
  <c r="AK218" i="15" s="1"/>
  <c r="G219" i="15"/>
  <c r="AI219" i="15" s="1"/>
  <c r="AJ219" i="15" s="1"/>
  <c r="AK219" i="15" s="1"/>
  <c r="G220" i="15"/>
  <c r="AI220" i="15" s="1"/>
  <c r="AJ220" i="15" s="1"/>
  <c r="AK220" i="15" s="1"/>
  <c r="G221" i="15"/>
  <c r="AI221" i="15" s="1"/>
  <c r="AJ221" i="15" s="1"/>
  <c r="AK221" i="15" s="1"/>
  <c r="G222" i="15"/>
  <c r="AI222" i="15" s="1"/>
  <c r="AJ222" i="15" s="1"/>
  <c r="AK222" i="15" s="1"/>
  <c r="G223" i="15"/>
  <c r="AI223" i="15" s="1"/>
  <c r="AJ223" i="15" s="1"/>
  <c r="AK223" i="15" s="1"/>
  <c r="G224" i="15"/>
  <c r="AI224" i="15" s="1"/>
  <c r="AJ224" i="15" s="1"/>
  <c r="AK224" i="15" s="1"/>
  <c r="G225" i="15"/>
  <c r="AI225" i="15" s="1"/>
  <c r="AJ225" i="15" s="1"/>
  <c r="AK225" i="15" s="1"/>
  <c r="G226" i="15"/>
  <c r="AI226" i="15" s="1"/>
  <c r="AJ226" i="15" s="1"/>
  <c r="AK226" i="15" s="1"/>
  <c r="G227" i="15"/>
  <c r="AI227" i="15" s="1"/>
  <c r="AJ227" i="15" s="1"/>
  <c r="AK227" i="15" s="1"/>
  <c r="G228" i="15"/>
  <c r="AI228" i="15" s="1"/>
  <c r="AJ228" i="15" s="1"/>
  <c r="AK228" i="15" s="1"/>
  <c r="G229" i="15"/>
  <c r="AI229" i="15" s="1"/>
  <c r="AJ229" i="15" s="1"/>
  <c r="AK229" i="15" s="1"/>
  <c r="G230" i="15"/>
  <c r="AI230" i="15" s="1"/>
  <c r="AJ230" i="15" s="1"/>
  <c r="AK230" i="15" s="1"/>
  <c r="G232" i="15"/>
  <c r="G233" i="15"/>
  <c r="AI233" i="15" s="1"/>
  <c r="AJ233" i="15" s="1"/>
  <c r="AK233" i="15" s="1"/>
  <c r="G234" i="15"/>
  <c r="AI234" i="15" s="1"/>
  <c r="AJ234" i="15" s="1"/>
  <c r="AK234" i="15" s="1"/>
  <c r="G235" i="15"/>
  <c r="AI235" i="15" s="1"/>
  <c r="AJ235" i="15" s="1"/>
  <c r="AK235" i="15" s="1"/>
  <c r="G236" i="15"/>
  <c r="AI236" i="15" s="1"/>
  <c r="AJ236" i="15" s="1"/>
  <c r="AK236" i="15" s="1"/>
  <c r="G237" i="15"/>
  <c r="AI237" i="15" s="1"/>
  <c r="AJ237" i="15" s="1"/>
  <c r="AK237" i="15" s="1"/>
  <c r="G238" i="15"/>
  <c r="AI238" i="15" s="1"/>
  <c r="AJ238" i="15" s="1"/>
  <c r="AK238" i="15" s="1"/>
  <c r="G239" i="15"/>
  <c r="AI239" i="15" s="1"/>
  <c r="AJ239" i="15" s="1"/>
  <c r="AK239" i="15" s="1"/>
  <c r="G240" i="15"/>
  <c r="AI240" i="15" s="1"/>
  <c r="AJ240" i="15" s="1"/>
  <c r="AK240" i="15" s="1"/>
  <c r="G241" i="15"/>
  <c r="AI241" i="15" s="1"/>
  <c r="AJ241" i="15" s="1"/>
  <c r="AK241" i="15" s="1"/>
  <c r="G242" i="15"/>
  <c r="AI242" i="15" s="1"/>
  <c r="AJ242" i="15" s="1"/>
  <c r="AK242" i="15" s="1"/>
  <c r="G243" i="15"/>
  <c r="AI243" i="15" s="1"/>
  <c r="AJ243" i="15" s="1"/>
  <c r="AK243" i="15" s="1"/>
  <c r="G244" i="15"/>
  <c r="AI244" i="15" s="1"/>
  <c r="AJ244" i="15" s="1"/>
  <c r="AK244" i="15" s="1"/>
  <c r="G245" i="15"/>
  <c r="AI245" i="15" s="1"/>
  <c r="AJ245" i="15" s="1"/>
  <c r="AK245" i="15" s="1"/>
  <c r="G246" i="15"/>
  <c r="AI246" i="15" s="1"/>
  <c r="AJ246" i="15" s="1"/>
  <c r="AK246" i="15" s="1"/>
  <c r="G247" i="15"/>
  <c r="AI247" i="15" s="1"/>
  <c r="AJ247" i="15" s="1"/>
  <c r="AK247" i="15" s="1"/>
  <c r="G248" i="15"/>
  <c r="AI248" i="15" s="1"/>
  <c r="AJ248" i="15" s="1"/>
  <c r="AK248" i="15" s="1"/>
  <c r="G249" i="15"/>
  <c r="AI249" i="15" s="1"/>
  <c r="AJ249" i="15" s="1"/>
  <c r="AK249" i="15" s="1"/>
  <c r="G251" i="15"/>
  <c r="AI251" i="15" s="1"/>
  <c r="AJ251" i="15" s="1"/>
  <c r="AK251" i="15" s="1"/>
  <c r="G253" i="15"/>
  <c r="AI253" i="15" s="1"/>
  <c r="AJ253" i="15" s="1"/>
  <c r="AK253" i="15" s="1"/>
  <c r="G254" i="15"/>
  <c r="AI254" i="15" s="1"/>
  <c r="AJ254" i="15" s="1"/>
  <c r="AK254" i="15" s="1"/>
  <c r="G255" i="15"/>
  <c r="AI255" i="15" s="1"/>
  <c r="AJ255" i="15" s="1"/>
  <c r="AK255" i="15" s="1"/>
  <c r="G256" i="15"/>
  <c r="AI256" i="15" s="1"/>
  <c r="AJ256" i="15" s="1"/>
  <c r="AK256" i="15" s="1"/>
  <c r="G257" i="15"/>
  <c r="AI257" i="15" s="1"/>
  <c r="AJ257" i="15" s="1"/>
  <c r="AK257" i="15" s="1"/>
  <c r="G258" i="15"/>
  <c r="AI258" i="15" s="1"/>
  <c r="AJ258" i="15" s="1"/>
  <c r="AK258" i="15" s="1"/>
  <c r="G260" i="15"/>
  <c r="AI260" i="15" s="1"/>
  <c r="AJ260" i="15" s="1"/>
  <c r="AK260" i="15" s="1"/>
  <c r="G261" i="15"/>
  <c r="AI261" i="15" s="1"/>
  <c r="AJ261" i="15" s="1"/>
  <c r="AK261" i="15" s="1"/>
  <c r="G262" i="15"/>
  <c r="AI262" i="15" s="1"/>
  <c r="AJ262" i="15" s="1"/>
  <c r="AK262" i="15" s="1"/>
  <c r="G263" i="15"/>
  <c r="AI263" i="15" s="1"/>
  <c r="AJ263" i="15" s="1"/>
  <c r="AK263" i="15" s="1"/>
  <c r="G264" i="15"/>
  <c r="AI264" i="15" s="1"/>
  <c r="AJ264" i="15" s="1"/>
  <c r="AK264" i="15" s="1"/>
  <c r="G267" i="15"/>
  <c r="AI267" i="15" s="1"/>
  <c r="AJ267" i="15" s="1"/>
  <c r="AK267" i="15" s="1"/>
  <c r="G268" i="15"/>
  <c r="AI268" i="15" s="1"/>
  <c r="AJ268" i="15" s="1"/>
  <c r="AK268" i="15" s="1"/>
  <c r="G269" i="15"/>
  <c r="AI269" i="15" s="1"/>
  <c r="AJ269" i="15" s="1"/>
  <c r="AK269" i="15" s="1"/>
  <c r="G270" i="15"/>
  <c r="AI270" i="15" s="1"/>
  <c r="AJ270" i="15" s="1"/>
  <c r="AK270" i="15" s="1"/>
  <c r="G271" i="15"/>
  <c r="AI271" i="15" s="1"/>
  <c r="AJ271" i="15" s="1"/>
  <c r="AK271" i="15" s="1"/>
  <c r="G272" i="15"/>
  <c r="G273" i="15"/>
  <c r="AI273" i="15" s="1"/>
  <c r="AJ273" i="15" s="1"/>
  <c r="AK273" i="15" s="1"/>
  <c r="G274" i="15"/>
  <c r="AI274" i="15" s="1"/>
  <c r="AJ274" i="15" s="1"/>
  <c r="AK274" i="15" s="1"/>
  <c r="G275" i="15"/>
  <c r="AI275" i="15" s="1"/>
  <c r="AJ275" i="15" s="1"/>
  <c r="AK275" i="15" s="1"/>
  <c r="G276" i="15"/>
  <c r="AI276" i="15" s="1"/>
  <c r="AJ276" i="15" s="1"/>
  <c r="AK276" i="15" s="1"/>
  <c r="G277" i="15"/>
  <c r="AI277" i="15" s="1"/>
  <c r="AJ277" i="15" s="1"/>
  <c r="AK277" i="15" s="1"/>
  <c r="G278" i="15"/>
  <c r="AI278" i="15" s="1"/>
  <c r="AJ278" i="15" s="1"/>
  <c r="AK278" i="15" s="1"/>
  <c r="G279" i="15"/>
  <c r="AI279" i="15" s="1"/>
  <c r="AJ279" i="15" s="1"/>
  <c r="AK279" i="15" s="1"/>
  <c r="G280" i="15"/>
  <c r="AI280" i="15" s="1"/>
  <c r="AJ280" i="15" s="1"/>
  <c r="AK280" i="15" s="1"/>
  <c r="G281" i="15"/>
  <c r="AI281" i="15" s="1"/>
  <c r="AJ281" i="15" s="1"/>
  <c r="AK281" i="15" s="1"/>
  <c r="G282" i="15"/>
  <c r="AI282" i="15" s="1"/>
  <c r="AJ282" i="15" s="1"/>
  <c r="AK282" i="15" s="1"/>
  <c r="G283" i="15"/>
  <c r="AI283" i="15" s="1"/>
  <c r="AJ283" i="15" s="1"/>
  <c r="AK283" i="15" s="1"/>
  <c r="G284" i="15"/>
  <c r="AI284" i="15" s="1"/>
  <c r="AJ284" i="15" s="1"/>
  <c r="AK284" i="15" s="1"/>
  <c r="G285" i="15"/>
  <c r="AI285" i="15" s="1"/>
  <c r="AJ285" i="15" s="1"/>
  <c r="AK285" i="15" s="1"/>
  <c r="G286" i="15"/>
  <c r="AI286" i="15" s="1"/>
  <c r="AJ286" i="15" s="1"/>
  <c r="AK286" i="15" s="1"/>
  <c r="G288" i="15"/>
  <c r="G289" i="15"/>
  <c r="AI289" i="15" s="1"/>
  <c r="AJ289" i="15" s="1"/>
  <c r="AK289" i="15" s="1"/>
  <c r="G290" i="15"/>
  <c r="AI290" i="15" s="1"/>
  <c r="AJ290" i="15" s="1"/>
  <c r="AK290" i="15" s="1"/>
  <c r="G291" i="15"/>
  <c r="AI291" i="15" s="1"/>
  <c r="AJ291" i="15" s="1"/>
  <c r="AK291" i="15" s="1"/>
  <c r="G294" i="15"/>
  <c r="AI294" i="15" s="1"/>
  <c r="AJ294" i="15" s="1"/>
  <c r="AK294" i="15" s="1"/>
  <c r="G295" i="15"/>
  <c r="AI295" i="15" s="1"/>
  <c r="AJ295" i="15" s="1"/>
  <c r="AK295" i="15" s="1"/>
  <c r="G296" i="15"/>
  <c r="G297" i="15"/>
  <c r="AI297" i="15" s="1"/>
  <c r="AJ297" i="15" s="1"/>
  <c r="AK297" i="15" s="1"/>
  <c r="G298" i="15"/>
  <c r="AI298" i="15" s="1"/>
  <c r="AJ298" i="15" s="1"/>
  <c r="AK298" i="15" s="1"/>
  <c r="G299" i="15"/>
  <c r="AI299" i="15" s="1"/>
  <c r="AJ299" i="15" s="1"/>
  <c r="AK299" i="15" s="1"/>
  <c r="G300" i="15"/>
  <c r="AI300" i="15" s="1"/>
  <c r="AJ300" i="15" s="1"/>
  <c r="AK300" i="15" s="1"/>
  <c r="G301" i="15"/>
  <c r="AI301" i="15" s="1"/>
  <c r="AJ301" i="15" s="1"/>
  <c r="AK301" i="15" s="1"/>
  <c r="G302" i="15"/>
  <c r="AI302" i="15" s="1"/>
  <c r="AJ302" i="15" s="1"/>
  <c r="AK302" i="15" s="1"/>
  <c r="G303" i="15"/>
  <c r="AI303" i="15" s="1"/>
  <c r="AJ303" i="15" s="1"/>
  <c r="AK303" i="15" s="1"/>
  <c r="G304" i="15"/>
  <c r="G305" i="15"/>
  <c r="AI305" i="15" s="1"/>
  <c r="AJ305" i="15" s="1"/>
  <c r="AK305" i="15" s="1"/>
  <c r="G306" i="15"/>
  <c r="AI306" i="15" s="1"/>
  <c r="AJ306" i="15" s="1"/>
  <c r="AK306" i="15" s="1"/>
  <c r="G307" i="15"/>
  <c r="AI307" i="15" s="1"/>
  <c r="AJ307" i="15" s="1"/>
  <c r="AK307" i="15" s="1"/>
  <c r="G308" i="15"/>
  <c r="AI308" i="15" s="1"/>
  <c r="AJ308" i="15" s="1"/>
  <c r="AK308" i="15" s="1"/>
  <c r="G309" i="15"/>
  <c r="AI309" i="15" s="1"/>
  <c r="AJ309" i="15" s="1"/>
  <c r="AK309" i="15" s="1"/>
  <c r="G310" i="15"/>
  <c r="AI310" i="15" s="1"/>
  <c r="AJ310" i="15" s="1"/>
  <c r="AK310" i="15" s="1"/>
  <c r="G311" i="15"/>
  <c r="AI311" i="15" s="1"/>
  <c r="AJ311" i="15" s="1"/>
  <c r="AK311" i="15" s="1"/>
  <c r="G312" i="15"/>
  <c r="G313" i="15"/>
  <c r="AI313" i="15" s="1"/>
  <c r="AJ313" i="15" s="1"/>
  <c r="AK313" i="15" s="1"/>
  <c r="G314" i="15"/>
  <c r="AI314" i="15" s="1"/>
  <c r="AJ314" i="15" s="1"/>
  <c r="AK314" i="15" s="1"/>
  <c r="G315" i="15"/>
  <c r="AI315" i="15" s="1"/>
  <c r="AJ315" i="15" s="1"/>
  <c r="AK315" i="15" s="1"/>
  <c r="G316" i="15"/>
  <c r="AI316" i="15" s="1"/>
  <c r="AJ316" i="15" s="1"/>
  <c r="AK316" i="15" s="1"/>
  <c r="G317" i="15"/>
  <c r="AI317" i="15" s="1"/>
  <c r="AJ317" i="15" s="1"/>
  <c r="AK317" i="15" s="1"/>
  <c r="G318" i="15"/>
  <c r="AI318" i="15" s="1"/>
  <c r="AJ318" i="15" s="1"/>
  <c r="AK318" i="15" s="1"/>
  <c r="G319" i="15"/>
  <c r="AI319" i="15" s="1"/>
  <c r="AJ319" i="15" s="1"/>
  <c r="AK319" i="15" s="1"/>
  <c r="G320" i="15"/>
  <c r="G321" i="15"/>
  <c r="AI321" i="15" s="1"/>
  <c r="AJ321" i="15" s="1"/>
  <c r="AK321" i="15" s="1"/>
  <c r="G322" i="15"/>
  <c r="AI322" i="15" s="1"/>
  <c r="AJ322" i="15" s="1"/>
  <c r="AK322" i="15" s="1"/>
  <c r="G323" i="15"/>
  <c r="AI323" i="15" s="1"/>
  <c r="AJ323" i="15" s="1"/>
  <c r="AK323" i="15" s="1"/>
  <c r="G324" i="15"/>
  <c r="AI324" i="15" s="1"/>
  <c r="AJ324" i="15" s="1"/>
  <c r="AK324" i="15" s="1"/>
  <c r="G325" i="15"/>
  <c r="AI325" i="15" s="1"/>
  <c r="AJ325" i="15" s="1"/>
  <c r="AK325" i="15" s="1"/>
  <c r="G326" i="15"/>
  <c r="AI326" i="15" s="1"/>
  <c r="AJ326" i="15" s="1"/>
  <c r="AK326" i="15" s="1"/>
  <c r="G328" i="15"/>
  <c r="G329" i="15"/>
  <c r="AI329" i="15" s="1"/>
  <c r="AJ329" i="15" s="1"/>
  <c r="AK329" i="15" s="1"/>
  <c r="G330" i="15"/>
  <c r="AI330" i="15" s="1"/>
  <c r="AJ330" i="15" s="1"/>
  <c r="AK330" i="15" s="1"/>
  <c r="G333" i="15"/>
  <c r="AI333" i="15" s="1"/>
  <c r="AJ333" i="15" s="1"/>
  <c r="AK333" i="15" s="1"/>
  <c r="G334" i="15"/>
  <c r="AI334" i="15" s="1"/>
  <c r="AJ334" i="15" s="1"/>
  <c r="AK334" i="15" s="1"/>
  <c r="G335" i="15"/>
  <c r="AI335" i="15" s="1"/>
  <c r="AJ335" i="15" s="1"/>
  <c r="AK335" i="15" s="1"/>
  <c r="G336" i="15"/>
  <c r="G337" i="15"/>
  <c r="AI337" i="15" s="1"/>
  <c r="AJ337" i="15" s="1"/>
  <c r="AK337" i="15" s="1"/>
  <c r="G338" i="15"/>
  <c r="AI338" i="15" s="1"/>
  <c r="AJ338" i="15" s="1"/>
  <c r="AK338" i="15" s="1"/>
  <c r="G339" i="15"/>
  <c r="AI339" i="15" s="1"/>
  <c r="AJ339" i="15" s="1"/>
  <c r="AK339" i="15" s="1"/>
  <c r="G341" i="15"/>
  <c r="AI341" i="15" s="1"/>
  <c r="AJ341" i="15" s="1"/>
  <c r="AK341" i="15" s="1"/>
  <c r="G342" i="15"/>
  <c r="AI342" i="15" s="1"/>
  <c r="AJ342" i="15" s="1"/>
  <c r="AK342" i="15" s="1"/>
  <c r="G343" i="15"/>
  <c r="AI343" i="15" s="1"/>
  <c r="AJ343" i="15" s="1"/>
  <c r="AK343" i="15" s="1"/>
  <c r="G344" i="15"/>
  <c r="G349" i="15"/>
  <c r="AI349" i="15" s="1"/>
  <c r="AJ349" i="15" s="1"/>
  <c r="AK349" i="15" s="1"/>
  <c r="G350" i="15"/>
  <c r="AI350" i="15" s="1"/>
  <c r="AJ350" i="15" s="1"/>
  <c r="AK350" i="15" s="1"/>
  <c r="G351" i="15"/>
  <c r="AI351" i="15" s="1"/>
  <c r="AJ351" i="15" s="1"/>
  <c r="AK351" i="15" s="1"/>
  <c r="G352" i="15"/>
  <c r="G353" i="15"/>
  <c r="AI353" i="15" s="1"/>
  <c r="AJ353" i="15" s="1"/>
  <c r="AK353" i="15" s="1"/>
  <c r="G354" i="15"/>
  <c r="AI354" i="15" s="1"/>
  <c r="AJ354" i="15" s="1"/>
  <c r="AK354" i="15" s="1"/>
  <c r="G355" i="15"/>
  <c r="AI355" i="15" s="1"/>
  <c r="AJ355" i="15" s="1"/>
  <c r="AK355" i="15" s="1"/>
  <c r="G356" i="15"/>
  <c r="AI356" i="15" s="1"/>
  <c r="AJ356" i="15" s="1"/>
  <c r="AK356" i="15" s="1"/>
  <c r="G357" i="15"/>
  <c r="AI357" i="15" s="1"/>
  <c r="AJ357" i="15" s="1"/>
  <c r="AK357" i="15" s="1"/>
  <c r="G358" i="15"/>
  <c r="AI358" i="15" s="1"/>
  <c r="AJ358" i="15" s="1"/>
  <c r="AK358" i="15" s="1"/>
  <c r="G359" i="15"/>
  <c r="AI359" i="15" s="1"/>
  <c r="AJ359" i="15" s="1"/>
  <c r="AK359" i="15" s="1"/>
  <c r="G360" i="15"/>
  <c r="G361" i="15"/>
  <c r="AI361" i="15" s="1"/>
  <c r="AJ361" i="15" s="1"/>
  <c r="AK361" i="15" s="1"/>
  <c r="G362" i="15"/>
  <c r="AI362" i="15" s="1"/>
  <c r="AJ362" i="15" s="1"/>
  <c r="AK362" i="15" s="1"/>
  <c r="G364" i="15"/>
  <c r="AI364" i="15" s="1"/>
  <c r="AJ364" i="15" s="1"/>
  <c r="AK364" i="15" s="1"/>
  <c r="G365" i="15"/>
  <c r="AI365" i="15" s="1"/>
  <c r="AJ365" i="15" s="1"/>
  <c r="AK365" i="15" s="1"/>
  <c r="G366" i="15"/>
  <c r="AI366" i="15" s="1"/>
  <c r="AJ366" i="15" s="1"/>
  <c r="AK366" i="15" s="1"/>
  <c r="G367" i="15"/>
  <c r="AI367" i="15" s="1"/>
  <c r="AJ367" i="15" s="1"/>
  <c r="AK367" i="15" s="1"/>
  <c r="G368" i="15"/>
  <c r="G369" i="15"/>
  <c r="AI369" i="15" s="1"/>
  <c r="AJ369" i="15" s="1"/>
  <c r="AK369" i="15" s="1"/>
  <c r="G370" i="15"/>
  <c r="AI370" i="15" s="1"/>
  <c r="AJ370" i="15" s="1"/>
  <c r="AK370" i="15" s="1"/>
  <c r="G371" i="15"/>
  <c r="AI371" i="15" s="1"/>
  <c r="AJ371" i="15" s="1"/>
  <c r="AK371" i="15" s="1"/>
  <c r="G372" i="15"/>
  <c r="AI372" i="15" s="1"/>
  <c r="AJ372" i="15" s="1"/>
  <c r="AK372" i="15" s="1"/>
  <c r="G373" i="15"/>
  <c r="AI373" i="15" s="1"/>
  <c r="AJ373" i="15" s="1"/>
  <c r="AK373" i="15" s="1"/>
  <c r="G374" i="15"/>
  <c r="AI374" i="15" s="1"/>
  <c r="AJ374" i="15" s="1"/>
  <c r="AK374" i="15" s="1"/>
  <c r="G375" i="15"/>
  <c r="AI375" i="15" s="1"/>
  <c r="AJ375" i="15" s="1"/>
  <c r="AK375" i="15" s="1"/>
  <c r="G376" i="15"/>
  <c r="L376" i="15" s="1"/>
  <c r="G377" i="15"/>
  <c r="AI377" i="15" s="1"/>
  <c r="AJ377" i="15" s="1"/>
  <c r="AK377" i="15" s="1"/>
  <c r="G378" i="15"/>
  <c r="AI378" i="15" s="1"/>
  <c r="AJ378" i="15" s="1"/>
  <c r="AK378" i="15" s="1"/>
  <c r="G379" i="15"/>
  <c r="AI379" i="15" s="1"/>
  <c r="AJ379" i="15" s="1"/>
  <c r="AK379" i="15" s="1"/>
  <c r="G380" i="15"/>
  <c r="AI380" i="15" s="1"/>
  <c r="AJ380" i="15" s="1"/>
  <c r="AK380" i="15" s="1"/>
  <c r="G381" i="15"/>
  <c r="AI381" i="15" s="1"/>
  <c r="AJ381" i="15" s="1"/>
  <c r="AK381" i="15" s="1"/>
  <c r="G386" i="15"/>
  <c r="AI386" i="15" s="1"/>
  <c r="AJ386" i="15" s="1"/>
  <c r="AK386" i="15" s="1"/>
  <c r="G387" i="15"/>
  <c r="AI387" i="15" s="1"/>
  <c r="AJ387" i="15" s="1"/>
  <c r="AK387" i="15" s="1"/>
  <c r="G388" i="15"/>
  <c r="AI388" i="15" s="1"/>
  <c r="AJ388" i="15" s="1"/>
  <c r="AK388" i="15" s="1"/>
  <c r="G389" i="15"/>
  <c r="AI389" i="15" s="1"/>
  <c r="AJ389" i="15" s="1"/>
  <c r="AK389" i="15" s="1"/>
  <c r="G390" i="15"/>
  <c r="AI390" i="15" s="1"/>
  <c r="AJ390" i="15" s="1"/>
  <c r="AK390" i="15" s="1"/>
  <c r="G391" i="15"/>
  <c r="AI391" i="15" s="1"/>
  <c r="AJ391" i="15" s="1"/>
  <c r="AK391" i="15" s="1"/>
  <c r="G392" i="15"/>
  <c r="G393" i="15"/>
  <c r="AI393" i="15" s="1"/>
  <c r="AJ393" i="15" s="1"/>
  <c r="AK393" i="15" s="1"/>
  <c r="G394" i="15"/>
  <c r="AI394" i="15" s="1"/>
  <c r="AJ394" i="15" s="1"/>
  <c r="AK394" i="15" s="1"/>
  <c r="G395" i="15"/>
  <c r="AI395" i="15" s="1"/>
  <c r="AJ395" i="15" s="1"/>
  <c r="AK395" i="15" s="1"/>
  <c r="G396" i="15"/>
  <c r="AI396" i="15" s="1"/>
  <c r="AJ396" i="15" s="1"/>
  <c r="AK396" i="15" s="1"/>
  <c r="G397" i="15"/>
  <c r="AI397" i="15" s="1"/>
  <c r="AJ397" i="15" s="1"/>
  <c r="AK397" i="15" s="1"/>
  <c r="G398" i="15"/>
  <c r="AI398" i="15" s="1"/>
  <c r="AJ398" i="15" s="1"/>
  <c r="AK398" i="15" s="1"/>
  <c r="G399" i="15"/>
  <c r="AI399" i="15" s="1"/>
  <c r="AJ399" i="15" s="1"/>
  <c r="AK399" i="15" s="1"/>
  <c r="G400" i="15"/>
  <c r="G401" i="15"/>
  <c r="AI401" i="15" s="1"/>
  <c r="AJ401" i="15" s="1"/>
  <c r="AK401" i="15" s="1"/>
  <c r="G402" i="15"/>
  <c r="AI402" i="15" s="1"/>
  <c r="AJ402" i="15" s="1"/>
  <c r="AK402" i="15" s="1"/>
  <c r="G403" i="15"/>
  <c r="AI403" i="15" s="1"/>
  <c r="AJ403" i="15" s="1"/>
  <c r="AK403" i="15" s="1"/>
  <c r="G404" i="15"/>
  <c r="AI404" i="15" s="1"/>
  <c r="AJ404" i="15" s="1"/>
  <c r="AK404" i="15" s="1"/>
  <c r="G405" i="15"/>
  <c r="AI405" i="15" s="1"/>
  <c r="AJ405" i="15" s="1"/>
  <c r="AK405" i="15" s="1"/>
  <c r="G406" i="15"/>
  <c r="AI406" i="15" s="1"/>
  <c r="AJ406" i="15" s="1"/>
  <c r="AK406" i="15" s="1"/>
  <c r="G407" i="15"/>
  <c r="AI407" i="15" s="1"/>
  <c r="AJ407" i="15" s="1"/>
  <c r="AK407" i="15" s="1"/>
  <c r="G409" i="15"/>
  <c r="AI409" i="15" s="1"/>
  <c r="AJ409" i="15" s="1"/>
  <c r="AK409" i="15" s="1"/>
  <c r="G410" i="15"/>
  <c r="AI410" i="15" s="1"/>
  <c r="AJ410" i="15" s="1"/>
  <c r="AK410" i="15" s="1"/>
  <c r="G411" i="15"/>
  <c r="AI411" i="15" s="1"/>
  <c r="AJ411" i="15" s="1"/>
  <c r="AK411" i="15" s="1"/>
  <c r="G413" i="15"/>
  <c r="AI413" i="15" s="1"/>
  <c r="AJ413" i="15" s="1"/>
  <c r="AK413" i="15" s="1"/>
  <c r="G414" i="15"/>
  <c r="G415" i="15"/>
  <c r="G416" i="15"/>
  <c r="L416" i="15" s="1"/>
  <c r="G417" i="15"/>
  <c r="G418" i="15"/>
  <c r="G419" i="15"/>
  <c r="G421" i="15"/>
  <c r="AI421" i="15" s="1"/>
  <c r="AJ421" i="15" s="1"/>
  <c r="AK421" i="15" s="1"/>
  <c r="G422" i="15"/>
  <c r="AI422" i="15" s="1"/>
  <c r="AJ422" i="15" s="1"/>
  <c r="AK422" i="15" s="1"/>
  <c r="G423" i="15"/>
  <c r="AI423" i="15" s="1"/>
  <c r="AJ423" i="15" s="1"/>
  <c r="AK423" i="15" s="1"/>
  <c r="G427" i="15"/>
  <c r="AI427" i="15" s="1"/>
  <c r="AJ427" i="15" s="1"/>
  <c r="AK427" i="15" s="1"/>
  <c r="G428" i="15"/>
  <c r="AI428" i="15" s="1"/>
  <c r="AJ428" i="15" s="1"/>
  <c r="AK428" i="15" s="1"/>
  <c r="G429" i="15"/>
  <c r="AI429" i="15" s="1"/>
  <c r="AJ429" i="15" s="1"/>
  <c r="AK429" i="15" s="1"/>
  <c r="G430" i="15"/>
  <c r="G431" i="15"/>
  <c r="G432" i="15"/>
  <c r="L432" i="15" s="1"/>
  <c r="G433" i="15"/>
  <c r="G434" i="15"/>
  <c r="G435" i="15"/>
  <c r="AI435" i="15" s="1"/>
  <c r="G436" i="15"/>
  <c r="AI436" i="15" s="1"/>
  <c r="G437" i="15"/>
  <c r="G438" i="15"/>
  <c r="AI438" i="15" s="1"/>
  <c r="AJ438" i="15" s="1"/>
  <c r="AK438" i="15" s="1"/>
  <c r="G439" i="15"/>
  <c r="AI439" i="15" s="1"/>
  <c r="AJ439" i="15" s="1"/>
  <c r="AK439" i="15" s="1"/>
  <c r="G440" i="15"/>
  <c r="G441" i="15"/>
  <c r="AI441" i="15" s="1"/>
  <c r="AJ441" i="15" s="1"/>
  <c r="AK441" i="15" s="1"/>
  <c r="G442" i="15"/>
  <c r="AI442" i="15" s="1"/>
  <c r="AJ442" i="15" s="1"/>
  <c r="AK442" i="15" s="1"/>
  <c r="G443" i="15"/>
  <c r="AI443" i="15" s="1"/>
  <c r="AJ443" i="15" s="1"/>
  <c r="AK443" i="15" s="1"/>
  <c r="G444" i="15"/>
  <c r="AI444" i="15" s="1"/>
  <c r="AJ444" i="15" s="1"/>
  <c r="AK444" i="15" s="1"/>
  <c r="G445" i="15"/>
  <c r="AI445" i="15" s="1"/>
  <c r="AJ445" i="15" s="1"/>
  <c r="AK445" i="15" s="1"/>
  <c r="G446" i="15"/>
  <c r="AI446" i="15" s="1"/>
  <c r="AJ446" i="15" s="1"/>
  <c r="AK446" i="15" s="1"/>
  <c r="G448" i="15"/>
  <c r="G449" i="15"/>
  <c r="AI449" i="15" s="1"/>
  <c r="AJ449" i="15" s="1"/>
  <c r="AK449" i="15" s="1"/>
  <c r="G450" i="15"/>
  <c r="AI450" i="15" s="1"/>
  <c r="AJ450" i="15" s="1"/>
  <c r="AK450" i="15" s="1"/>
  <c r="G451" i="15"/>
  <c r="AI451" i="15" s="1"/>
  <c r="AJ451" i="15" s="1"/>
  <c r="AK451" i="15" s="1"/>
  <c r="G452" i="15"/>
  <c r="AI452" i="15" s="1"/>
  <c r="AJ452" i="15" s="1"/>
  <c r="AK452" i="15" s="1"/>
  <c r="G453" i="15"/>
  <c r="AI453" i="15" s="1"/>
  <c r="AJ453" i="15" s="1"/>
  <c r="AK453" i="15" s="1"/>
  <c r="G454" i="15"/>
  <c r="AI454" i="15" s="1"/>
  <c r="AJ454" i="15" s="1"/>
  <c r="AK454" i="15" s="1"/>
  <c r="G455" i="15"/>
  <c r="AI455" i="15" s="1"/>
  <c r="AJ455" i="15" s="1"/>
  <c r="AK455" i="15" s="1"/>
  <c r="G456" i="15"/>
  <c r="G457" i="15"/>
  <c r="AI457" i="15" s="1"/>
  <c r="AJ457" i="15" s="1"/>
  <c r="G458" i="15"/>
  <c r="AI458" i="15" s="1"/>
  <c r="AJ458" i="15" s="1"/>
  <c r="G459" i="15"/>
  <c r="AI459" i="15" s="1"/>
  <c r="AJ459" i="15" s="1"/>
  <c r="AK459" i="15" s="1"/>
  <c r="G460" i="15"/>
  <c r="AI460" i="15" s="1"/>
  <c r="AJ460" i="15" s="1"/>
  <c r="AK460" i="15" s="1"/>
  <c r="G461" i="15"/>
  <c r="AI461" i="15" s="1"/>
  <c r="AJ461" i="15" s="1"/>
  <c r="AK461" i="15" s="1"/>
  <c r="G462" i="15"/>
  <c r="AI462" i="15" s="1"/>
  <c r="AJ462" i="15" s="1"/>
  <c r="G463" i="15"/>
  <c r="AI463" i="15" s="1"/>
  <c r="AJ463" i="15" s="1"/>
  <c r="AK463" i="15" s="1"/>
  <c r="G464" i="15"/>
  <c r="G465" i="15"/>
  <c r="AI465" i="15" s="1"/>
  <c r="AJ465" i="15" s="1"/>
  <c r="AK465" i="15" s="1"/>
  <c r="G466" i="15"/>
  <c r="AI466" i="15" s="1"/>
  <c r="AJ466" i="15" s="1"/>
  <c r="AK466" i="15" s="1"/>
  <c r="G467" i="15"/>
  <c r="AI467" i="15" s="1"/>
  <c r="AJ467" i="15" s="1"/>
  <c r="AK467" i="15" s="1"/>
  <c r="G468" i="15"/>
  <c r="AI468" i="15" s="1"/>
  <c r="AJ468" i="15" s="1"/>
  <c r="AK468" i="15" s="1"/>
  <c r="G469" i="15"/>
  <c r="AI469" i="15" s="1"/>
  <c r="AJ469" i="15" s="1"/>
  <c r="AK469" i="15" s="1"/>
  <c r="G470" i="15"/>
  <c r="AI470" i="15" s="1"/>
  <c r="AJ470" i="15" s="1"/>
  <c r="AK470" i="15" s="1"/>
  <c r="G471" i="15"/>
  <c r="AI471" i="15" s="1"/>
  <c r="AJ471" i="15" s="1"/>
  <c r="AK471" i="15" s="1"/>
  <c r="G472" i="15"/>
  <c r="G473" i="15"/>
  <c r="G474" i="15"/>
  <c r="AI474" i="15" s="1"/>
  <c r="AJ474" i="15" s="1"/>
  <c r="AK474" i="15" s="1"/>
  <c r="G475" i="15"/>
  <c r="AI475" i="15" s="1"/>
  <c r="AJ475" i="15" s="1"/>
  <c r="AK475" i="15" s="1"/>
  <c r="G476" i="15"/>
  <c r="AI476" i="15" s="1"/>
  <c r="AJ476" i="15" s="1"/>
  <c r="AK476" i="15" s="1"/>
  <c r="G477" i="15"/>
  <c r="AI477" i="15" s="1"/>
  <c r="AJ477" i="15" s="1"/>
  <c r="AK477" i="15" s="1"/>
  <c r="G479" i="15"/>
  <c r="G480" i="15"/>
  <c r="L480" i="15" s="1"/>
  <c r="G481" i="15"/>
  <c r="L481" i="15" s="1"/>
  <c r="G483" i="15"/>
  <c r="AI483" i="15" s="1"/>
  <c r="AJ483" i="15" s="1"/>
  <c r="AK483" i="15" s="1"/>
  <c r="G484" i="15"/>
  <c r="AI484" i="15" s="1"/>
  <c r="AJ484" i="15" s="1"/>
  <c r="AK484" i="15" s="1"/>
  <c r="G486" i="15"/>
  <c r="AI486" i="15" s="1"/>
  <c r="AJ486" i="15" s="1"/>
  <c r="AK486" i="15" s="1"/>
  <c r="G488" i="15"/>
  <c r="G489" i="15"/>
  <c r="G490" i="15"/>
  <c r="AI490" i="15" s="1"/>
  <c r="AJ490" i="15" s="1"/>
  <c r="AK490" i="15" s="1"/>
  <c r="G494" i="15"/>
  <c r="AI494" i="15" s="1"/>
  <c r="AJ494" i="15" s="1"/>
  <c r="AK494" i="15" s="1"/>
  <c r="G496" i="15"/>
  <c r="G497" i="15"/>
  <c r="G498" i="15"/>
  <c r="AI498" i="15" s="1"/>
  <c r="AJ498" i="15" s="1"/>
  <c r="AK498" i="15" s="1"/>
  <c r="G499" i="15"/>
  <c r="AI499" i="15" s="1"/>
  <c r="AJ499" i="15" s="1"/>
  <c r="AK499" i="15" s="1"/>
  <c r="G500" i="15"/>
  <c r="AI500" i="15" s="1"/>
  <c r="AJ500" i="15" s="1"/>
  <c r="AK500" i="15" s="1"/>
  <c r="G501" i="15"/>
  <c r="AI501" i="15" s="1"/>
  <c r="AJ501" i="15" s="1"/>
  <c r="AK501" i="15" s="1"/>
  <c r="G502" i="15"/>
  <c r="AI502" i="15" s="1"/>
  <c r="AJ502" i="15" s="1"/>
  <c r="AK502" i="15" s="1"/>
  <c r="G503" i="15"/>
  <c r="AI503" i="15" s="1"/>
  <c r="AJ503" i="15" s="1"/>
  <c r="AK503" i="15" s="1"/>
  <c r="G505" i="15"/>
  <c r="G506" i="15"/>
  <c r="AI506" i="15" s="1"/>
  <c r="AJ506" i="15" s="1"/>
  <c r="AK506" i="15" s="1"/>
  <c r="G508" i="15"/>
  <c r="AI508" i="15" s="1"/>
  <c r="AJ508" i="15" s="1"/>
  <c r="AK508" i="15" s="1"/>
  <c r="G509" i="15"/>
  <c r="AI509" i="15" s="1"/>
  <c r="AJ509" i="15" s="1"/>
  <c r="AK509" i="15" s="1"/>
  <c r="G513" i="15"/>
  <c r="G514" i="15"/>
  <c r="AI514" i="15" s="1"/>
  <c r="AJ514" i="15" s="1"/>
  <c r="AK514" i="15" s="1"/>
  <c r="G515" i="15"/>
  <c r="AI515" i="15" s="1"/>
  <c r="AJ515" i="15" s="1"/>
  <c r="AK515" i="15" s="1"/>
  <c r="G516" i="15"/>
  <c r="AI516" i="15" s="1"/>
  <c r="AJ516" i="15" s="1"/>
  <c r="AK516" i="15" s="1"/>
  <c r="G517" i="15"/>
  <c r="AI517" i="15" s="1"/>
  <c r="AJ517" i="15" s="1"/>
  <c r="AK517" i="15" s="1"/>
  <c r="G519" i="15"/>
  <c r="AI519" i="15" s="1"/>
  <c r="AJ519" i="15" s="1"/>
  <c r="AK519" i="15" s="1"/>
  <c r="G520" i="15"/>
  <c r="G521" i="15"/>
  <c r="G522" i="15"/>
  <c r="AI522" i="15" s="1"/>
  <c r="AJ522" i="15" s="1"/>
  <c r="AK522" i="15" s="1"/>
  <c r="G523" i="15"/>
  <c r="AI523" i="15" s="1"/>
  <c r="AJ523" i="15" s="1"/>
  <c r="AK523" i="15" s="1"/>
  <c r="G524" i="15"/>
  <c r="AI524" i="15" s="1"/>
  <c r="AJ524" i="15" s="1"/>
  <c r="AK524" i="15" s="1"/>
  <c r="G526" i="15"/>
  <c r="AI526" i="15" s="1"/>
  <c r="AJ526" i="15" s="1"/>
  <c r="AK526" i="15" s="1"/>
  <c r="G527" i="15"/>
  <c r="AI527" i="15" s="1"/>
  <c r="AJ527" i="15" s="1"/>
  <c r="AK527" i="15" s="1"/>
  <c r="G528" i="15"/>
  <c r="G529" i="15"/>
  <c r="G530" i="15"/>
  <c r="AI530" i="15" s="1"/>
  <c r="AJ530" i="15" s="1"/>
  <c r="AK530" i="15" s="1"/>
  <c r="G531" i="15"/>
  <c r="AI531" i="15" s="1"/>
  <c r="AJ531" i="15" s="1"/>
  <c r="AK531" i="15" s="1"/>
  <c r="G532" i="15"/>
  <c r="AI532" i="15" s="1"/>
  <c r="AJ532" i="15" s="1"/>
  <c r="AK532" i="15" s="1"/>
  <c r="G533" i="15"/>
  <c r="AI533" i="15" s="1"/>
  <c r="AJ533" i="15" s="1"/>
  <c r="AK533" i="15" s="1"/>
  <c r="G534" i="15"/>
  <c r="AI534" i="15" s="1"/>
  <c r="AJ534" i="15" s="1"/>
  <c r="AK534" i="15" s="1"/>
  <c r="G535" i="15"/>
  <c r="AI535" i="15" s="1"/>
  <c r="AJ535" i="15" s="1"/>
  <c r="AK535" i="15" s="1"/>
  <c r="G536" i="15"/>
  <c r="G537" i="15"/>
  <c r="G538" i="15"/>
  <c r="AI538" i="15" s="1"/>
  <c r="AJ538" i="15" s="1"/>
  <c r="AK538" i="15" s="1"/>
  <c r="G539" i="15"/>
  <c r="AI539" i="15" s="1"/>
  <c r="AJ539" i="15" s="1"/>
  <c r="AK539" i="15" s="1"/>
  <c r="G541" i="15"/>
  <c r="G543" i="15"/>
  <c r="AI543" i="15" s="1"/>
  <c r="AJ543" i="15" s="1"/>
  <c r="AK543" i="15" s="1"/>
  <c r="G544" i="15"/>
  <c r="G547" i="15"/>
  <c r="G548" i="15"/>
  <c r="G552" i="15"/>
  <c r="G553" i="15"/>
  <c r="G554" i="15"/>
  <c r="AI554" i="15" s="1"/>
  <c r="AJ554" i="15" s="1"/>
  <c r="AK554" i="15" s="1"/>
  <c r="G555" i="15"/>
  <c r="AI555" i="15" s="1"/>
  <c r="AJ555" i="15" s="1"/>
  <c r="AK555" i="15" s="1"/>
  <c r="G556" i="15"/>
  <c r="AI556" i="15" s="1"/>
  <c r="AJ556" i="15" s="1"/>
  <c r="AK556" i="15" s="1"/>
  <c r="G557" i="15"/>
  <c r="AI557" i="15" s="1"/>
  <c r="AJ557" i="15" s="1"/>
  <c r="AK557" i="15" s="1"/>
  <c r="G558" i="15"/>
  <c r="AI558" i="15" s="1"/>
  <c r="AJ558" i="15" s="1"/>
  <c r="AK558" i="15" s="1"/>
  <c r="G559" i="15"/>
  <c r="AI559" i="15" s="1"/>
  <c r="AJ559" i="15" s="1"/>
  <c r="AK559" i="15" s="1"/>
  <c r="G560" i="15"/>
  <c r="G561" i="15"/>
  <c r="G562" i="15"/>
  <c r="AI562" i="15" s="1"/>
  <c r="AJ562" i="15" s="1"/>
  <c r="AK562" i="15" s="1"/>
  <c r="G563" i="15"/>
  <c r="AI563" i="15" s="1"/>
  <c r="AJ563" i="15" s="1"/>
  <c r="AK563" i="15" s="1"/>
  <c r="G564" i="15"/>
  <c r="AI564" i="15" s="1"/>
  <c r="AJ564" i="15" s="1"/>
  <c r="AK564" i="15" s="1"/>
  <c r="G565" i="15"/>
  <c r="AI565" i="15" s="1"/>
  <c r="AJ565" i="15" s="1"/>
  <c r="AK565" i="15" s="1"/>
  <c r="G566" i="15"/>
  <c r="AI566" i="15" s="1"/>
  <c r="AJ566" i="15" s="1"/>
  <c r="AK566" i="15" s="1"/>
  <c r="G567" i="15"/>
  <c r="AI567" i="15" s="1"/>
  <c r="AJ567" i="15" s="1"/>
  <c r="AK567" i="15" s="1"/>
  <c r="G568" i="15"/>
  <c r="G569" i="15"/>
  <c r="G570" i="15"/>
  <c r="AI570" i="15" s="1"/>
  <c r="AJ570" i="15" s="1"/>
  <c r="AK570" i="15" s="1"/>
  <c r="G571" i="15"/>
  <c r="AI571" i="15" s="1"/>
  <c r="AJ571" i="15" s="1"/>
  <c r="AK571" i="15" s="1"/>
  <c r="G573" i="15"/>
  <c r="AI573" i="15" s="1"/>
  <c r="AJ573" i="15" s="1"/>
  <c r="AK573" i="15" s="1"/>
  <c r="G574" i="15"/>
  <c r="AI574" i="15" s="1"/>
  <c r="AJ574" i="15" s="1"/>
  <c r="AK574" i="15" s="1"/>
  <c r="G575" i="15"/>
  <c r="AI575" i="15" s="1"/>
  <c r="AJ575" i="15" s="1"/>
  <c r="AK575" i="15" s="1"/>
  <c r="G576" i="15"/>
  <c r="G577" i="15"/>
  <c r="G578" i="15"/>
  <c r="G580" i="15"/>
  <c r="AI580" i="15" s="1"/>
  <c r="AJ580" i="15" s="1"/>
  <c r="AK580" i="15" s="1"/>
  <c r="G581" i="15"/>
  <c r="AI581" i="15" s="1"/>
  <c r="AJ581" i="15" s="1"/>
  <c r="AK581" i="15" s="1"/>
  <c r="G582" i="15"/>
  <c r="AI582" i="15" s="1"/>
  <c r="AJ582" i="15" s="1"/>
  <c r="AK582" i="15" s="1"/>
  <c r="G583" i="15"/>
  <c r="AI583" i="15" s="1"/>
  <c r="AJ583" i="15" s="1"/>
  <c r="AK583" i="15" s="1"/>
  <c r="G585" i="15"/>
  <c r="L585" i="15" s="1"/>
  <c r="G586" i="15"/>
  <c r="L586" i="15" s="1"/>
  <c r="G588" i="15"/>
  <c r="AI588" i="15" s="1"/>
  <c r="AJ588" i="15" s="1"/>
  <c r="AK588" i="15" s="1"/>
  <c r="G589" i="15"/>
  <c r="AI589" i="15" s="1"/>
  <c r="AJ589" i="15" s="1"/>
  <c r="AK589" i="15" s="1"/>
  <c r="G590" i="15"/>
  <c r="AI590" i="15" s="1"/>
  <c r="AJ590" i="15" s="1"/>
  <c r="AK590" i="15" s="1"/>
  <c r="G594" i="15"/>
  <c r="L594" i="15" s="1"/>
  <c r="G596" i="15"/>
  <c r="AI596" i="15" s="1"/>
  <c r="AJ596" i="15" s="1"/>
  <c r="AK596" i="15" s="1"/>
  <c r="G598" i="15"/>
  <c r="G600" i="15"/>
  <c r="G601" i="15"/>
  <c r="G602" i="15"/>
  <c r="G603" i="15"/>
  <c r="AI603" i="15" s="1"/>
  <c r="AJ603" i="15" s="1"/>
  <c r="AK603" i="15" s="1"/>
  <c r="G607" i="15"/>
  <c r="AI607" i="15" s="1"/>
  <c r="AJ607" i="15" s="1"/>
  <c r="AK607" i="15" s="1"/>
  <c r="G608" i="15"/>
  <c r="L608" i="15" s="1"/>
  <c r="G609" i="15"/>
  <c r="G610" i="15"/>
  <c r="G611" i="15"/>
  <c r="AL611" i="15" s="1"/>
  <c r="AI611" i="15" s="1"/>
  <c r="AJ611" i="15" s="1"/>
  <c r="AK611" i="15" s="1"/>
  <c r="G612" i="15"/>
  <c r="AI612" i="15" s="1"/>
  <c r="AJ612" i="15" s="1"/>
  <c r="AK612" i="15" s="1"/>
  <c r="G614" i="15"/>
  <c r="AI614" i="15" s="1"/>
  <c r="AJ614" i="15" s="1"/>
  <c r="AK614" i="15" s="1"/>
  <c r="G615" i="15"/>
  <c r="AI615" i="15" s="1"/>
  <c r="AJ615" i="15" s="1"/>
  <c r="AK615" i="15" s="1"/>
  <c r="G616" i="15"/>
  <c r="G617" i="15"/>
  <c r="G618" i="15"/>
  <c r="G619" i="15"/>
  <c r="AI619" i="15" s="1"/>
  <c r="AJ619" i="15" s="1"/>
  <c r="AK619" i="15" s="1"/>
  <c r="G620" i="15"/>
  <c r="AI620" i="15" s="1"/>
  <c r="AJ620" i="15" s="1"/>
  <c r="AK620" i="15" s="1"/>
  <c r="G621" i="15"/>
  <c r="AI621" i="15" s="1"/>
  <c r="AJ621" i="15" s="1"/>
  <c r="AK621" i="15" s="1"/>
  <c r="G622" i="15"/>
  <c r="AI622" i="15" s="1"/>
  <c r="AJ622" i="15" s="1"/>
  <c r="AK622" i="15" s="1"/>
  <c r="G623" i="15"/>
  <c r="AI623" i="15" s="1"/>
  <c r="AJ623" i="15" s="1"/>
  <c r="AK623" i="15" s="1"/>
  <c r="G624" i="15"/>
  <c r="G625" i="15"/>
  <c r="G626" i="15"/>
  <c r="G627" i="15"/>
  <c r="AI627" i="15" s="1"/>
  <c r="AJ627" i="15" s="1"/>
  <c r="AK627" i="15" s="1"/>
  <c r="G628" i="15"/>
  <c r="AI628" i="15" s="1"/>
  <c r="AJ628" i="15" s="1"/>
  <c r="AK628" i="15" s="1"/>
  <c r="G629" i="15"/>
  <c r="AI629" i="15" s="1"/>
  <c r="AJ629" i="15" s="1"/>
  <c r="AK629" i="15" s="1"/>
  <c r="G630" i="15"/>
  <c r="AI630" i="15" s="1"/>
  <c r="AJ630" i="15" s="1"/>
  <c r="AK630" i="15" s="1"/>
  <c r="G632" i="15"/>
  <c r="G633" i="15"/>
  <c r="G634" i="15"/>
  <c r="G636" i="15"/>
  <c r="AI636" i="15" s="1"/>
  <c r="AJ636" i="15" s="1"/>
  <c r="AK636" i="15" s="1"/>
  <c r="G637" i="15"/>
  <c r="AI637" i="15" s="1"/>
  <c r="AJ637" i="15" s="1"/>
  <c r="AK637" i="15" s="1"/>
  <c r="G638" i="15"/>
  <c r="AI638" i="15" s="1"/>
  <c r="AJ638" i="15" s="1"/>
  <c r="AK638" i="15" s="1"/>
  <c r="G639" i="15"/>
  <c r="AI639" i="15" s="1"/>
  <c r="AJ639" i="15" s="1"/>
  <c r="AK639" i="15" s="1"/>
  <c r="G640" i="15"/>
  <c r="G641" i="15"/>
  <c r="G642" i="15"/>
  <c r="G643" i="15"/>
  <c r="AI643" i="15" s="1"/>
  <c r="AJ643" i="15" s="1"/>
  <c r="AK643" i="15" s="1"/>
  <c r="G644" i="15"/>
  <c r="AI644" i="15" s="1"/>
  <c r="AJ644" i="15" s="1"/>
  <c r="AK644" i="15" s="1"/>
  <c r="G646" i="15"/>
  <c r="G648" i="15"/>
  <c r="G649" i="15"/>
  <c r="G650" i="15"/>
  <c r="G651" i="15"/>
  <c r="AI651" i="15" s="1"/>
  <c r="AJ651" i="15" s="1"/>
  <c r="AK651" i="15" s="1"/>
  <c r="G652" i="15"/>
  <c r="AI652" i="15" s="1"/>
  <c r="AJ652" i="15" s="1"/>
  <c r="AK652" i="15" s="1"/>
  <c r="G653" i="15"/>
  <c r="AI653" i="15" s="1"/>
  <c r="AJ653" i="15" s="1"/>
  <c r="AK653" i="15" s="1"/>
  <c r="G654" i="15"/>
  <c r="AI654" i="15" s="1"/>
  <c r="AJ654" i="15" s="1"/>
  <c r="AK654" i="15" s="1"/>
  <c r="G655" i="15"/>
  <c r="AI655" i="15" s="1"/>
  <c r="AJ655" i="15" s="1"/>
  <c r="AK655" i="15" s="1"/>
  <c r="G656" i="15"/>
  <c r="G658" i="15"/>
  <c r="G662" i="15"/>
  <c r="AI662" i="15" s="1"/>
  <c r="AJ662" i="15" s="1"/>
  <c r="AK662" i="15" s="1"/>
  <c r="G663" i="15"/>
  <c r="AI663" i="15" s="1"/>
  <c r="AJ663" i="15" s="1"/>
  <c r="AK663" i="15" s="1"/>
  <c r="G664" i="15"/>
  <c r="G665" i="15"/>
  <c r="G666" i="15"/>
  <c r="G667" i="15"/>
  <c r="AI667" i="15" s="1"/>
  <c r="AJ667" i="15" s="1"/>
  <c r="AK667" i="15" s="1"/>
  <c r="G668" i="15"/>
  <c r="AI668" i="15" s="1"/>
  <c r="AJ668" i="15" s="1"/>
  <c r="AK668" i="15" s="1"/>
  <c r="G669" i="15"/>
  <c r="AI669" i="15" s="1"/>
  <c r="AJ669" i="15" s="1"/>
  <c r="AK669" i="15" s="1"/>
  <c r="G670" i="15"/>
  <c r="AI670" i="15" s="1"/>
  <c r="AJ670" i="15" s="1"/>
  <c r="AK670" i="15" s="1"/>
  <c r="G671" i="15"/>
  <c r="AI671" i="15" s="1"/>
  <c r="AJ671" i="15" s="1"/>
  <c r="AK671" i="15" s="1"/>
  <c r="G672" i="15"/>
  <c r="G674" i="15"/>
  <c r="G675" i="15"/>
  <c r="AI675" i="15" s="1"/>
  <c r="AJ675" i="15" s="1"/>
  <c r="AK675" i="15" s="1"/>
  <c r="G676" i="15"/>
  <c r="AI676" i="15" s="1"/>
  <c r="AJ676" i="15" s="1"/>
  <c r="AK676" i="15" s="1"/>
  <c r="G677" i="15"/>
  <c r="AI677" i="15" s="1"/>
  <c r="AJ677" i="15" s="1"/>
  <c r="AK677" i="15" s="1"/>
  <c r="G678" i="15"/>
  <c r="AI678" i="15" s="1"/>
  <c r="AJ678" i="15" s="1"/>
  <c r="AK678" i="15" s="1"/>
  <c r="G679" i="15"/>
  <c r="AI679" i="15" s="1"/>
  <c r="AJ679" i="15" s="1"/>
  <c r="AK679" i="15" s="1"/>
  <c r="G680" i="15"/>
  <c r="G681" i="15"/>
  <c r="G682" i="15"/>
  <c r="G683" i="15"/>
  <c r="AI683" i="15" s="1"/>
  <c r="AJ683" i="15" s="1"/>
  <c r="AK683" i="15" s="1"/>
  <c r="G684" i="15"/>
  <c r="AI684" i="15" s="1"/>
  <c r="AJ684" i="15" s="1"/>
  <c r="AK684" i="15" s="1"/>
  <c r="G686" i="15"/>
  <c r="AI686" i="15" s="1"/>
  <c r="AJ686" i="15" s="1"/>
  <c r="AK686" i="15" s="1"/>
  <c r="G687" i="15"/>
  <c r="AI687" i="15" s="1"/>
  <c r="AJ687" i="15" s="1"/>
  <c r="AK687" i="15" s="1"/>
  <c r="G688" i="15"/>
  <c r="G689" i="15"/>
  <c r="G690" i="15"/>
  <c r="G691" i="15"/>
  <c r="AI691" i="15" s="1"/>
  <c r="AJ691" i="15" s="1"/>
  <c r="AK691" i="15" s="1"/>
  <c r="G692" i="15"/>
  <c r="AI692" i="15" s="1"/>
  <c r="AJ692" i="15" s="1"/>
  <c r="AK692" i="15" s="1"/>
  <c r="G693" i="15"/>
  <c r="AI693" i="15" s="1"/>
  <c r="AJ693" i="15" s="1"/>
  <c r="AK693" i="15" s="1"/>
  <c r="G694" i="15"/>
  <c r="AI694" i="15" s="1"/>
  <c r="AJ694" i="15" s="1"/>
  <c r="AK694" i="15" s="1"/>
  <c r="G695" i="15"/>
  <c r="AI695" i="15" s="1"/>
  <c r="AJ695" i="15" s="1"/>
  <c r="AK695" i="15" s="1"/>
  <c r="G696" i="15"/>
  <c r="G698" i="15"/>
  <c r="G699" i="15"/>
  <c r="AI699" i="15" s="1"/>
  <c r="AJ699" i="15" s="1"/>
  <c r="AK699" i="15" s="1"/>
  <c r="G700" i="15"/>
  <c r="G701" i="15"/>
  <c r="AI701" i="15" s="1"/>
  <c r="AJ701" i="15" s="1"/>
  <c r="AK701" i="15" s="1"/>
  <c r="G702" i="15"/>
  <c r="AI702" i="15" s="1"/>
  <c r="AJ702" i="15" s="1"/>
  <c r="AK702" i="15" s="1"/>
  <c r="G703" i="15"/>
  <c r="AI703" i="15" s="1"/>
  <c r="AJ703" i="15" s="1"/>
  <c r="AK703" i="15" s="1"/>
  <c r="G704" i="15"/>
  <c r="G705" i="15"/>
  <c r="G706" i="15"/>
  <c r="G707" i="15"/>
  <c r="AI707" i="15" s="1"/>
  <c r="AJ707" i="15" s="1"/>
  <c r="AK707" i="15" s="1"/>
  <c r="G708" i="15"/>
  <c r="G709" i="15"/>
  <c r="AI709" i="15" s="1"/>
  <c r="AJ709" i="15" s="1"/>
  <c r="AK709" i="15" s="1"/>
  <c r="G711" i="15"/>
  <c r="AI711" i="15" s="1"/>
  <c r="AJ711" i="15" s="1"/>
  <c r="AK711" i="15" s="1"/>
  <c r="G712" i="15"/>
  <c r="G713" i="15"/>
  <c r="G714" i="15"/>
  <c r="G715" i="15"/>
  <c r="AI715" i="15" s="1"/>
  <c r="AJ715" i="15" s="1"/>
  <c r="AK715" i="15" s="1"/>
  <c r="G716" i="15"/>
  <c r="G717" i="15"/>
  <c r="AI717" i="15" s="1"/>
  <c r="AJ717" i="15" s="1"/>
  <c r="AK717" i="15" s="1"/>
  <c r="G718" i="15"/>
  <c r="AI718" i="15" s="1"/>
  <c r="AJ718" i="15" s="1"/>
  <c r="AK718" i="15" s="1"/>
  <c r="G719" i="15"/>
  <c r="AI719" i="15" s="1"/>
  <c r="AJ719" i="15" s="1"/>
  <c r="AK719" i="15" s="1"/>
  <c r="G720" i="15"/>
  <c r="G721" i="15"/>
  <c r="G722" i="15"/>
  <c r="G723" i="15"/>
  <c r="AI723" i="15" s="1"/>
  <c r="AJ723" i="15" s="1"/>
  <c r="AK723" i="15" s="1"/>
  <c r="G724" i="15"/>
  <c r="G726" i="15"/>
  <c r="AI726" i="15" s="1"/>
  <c r="AJ726" i="15" s="1"/>
  <c r="AK726" i="15" s="1"/>
  <c r="G727" i="15"/>
  <c r="AI727" i="15" s="1"/>
  <c r="AJ727" i="15" s="1"/>
  <c r="AK727" i="15" s="1"/>
  <c r="G728" i="15"/>
  <c r="G729" i="15"/>
  <c r="G730" i="15"/>
  <c r="G731" i="15"/>
  <c r="AI731" i="15" s="1"/>
  <c r="AJ731" i="15" s="1"/>
  <c r="AK731" i="15" s="1"/>
  <c r="G732" i="15"/>
  <c r="G733" i="15"/>
  <c r="AI733" i="15" s="1"/>
  <c r="AJ733" i="15" s="1"/>
  <c r="AK733" i="15" s="1"/>
  <c r="G734" i="15"/>
  <c r="AI734" i="15" s="1"/>
  <c r="AJ734" i="15" s="1"/>
  <c r="AK734" i="15" s="1"/>
  <c r="G735" i="15"/>
  <c r="AI735" i="15" s="1"/>
  <c r="AJ735" i="15" s="1"/>
  <c r="AK735" i="15" s="1"/>
  <c r="G736" i="15"/>
  <c r="G737" i="15"/>
  <c r="G739" i="15"/>
  <c r="AI739" i="15" s="1"/>
  <c r="AJ739" i="15" s="1"/>
  <c r="AK739" i="15" s="1"/>
  <c r="G740" i="15"/>
  <c r="G741" i="15"/>
  <c r="AI741" i="15" s="1"/>
  <c r="AJ741" i="15" s="1"/>
  <c r="AK741" i="15" s="1"/>
  <c r="G742" i="15"/>
  <c r="AI742" i="15" s="1"/>
  <c r="AJ742" i="15" s="1"/>
  <c r="AK742" i="15" s="1"/>
  <c r="G743" i="15"/>
  <c r="AI743" i="15" s="1"/>
  <c r="AJ743" i="15" s="1"/>
  <c r="AK743" i="15" s="1"/>
  <c r="G744" i="15"/>
  <c r="G745" i="15"/>
  <c r="G746" i="15"/>
  <c r="G747" i="15"/>
  <c r="AI747" i="15" s="1"/>
  <c r="AJ747" i="15" s="1"/>
  <c r="AK747" i="15" s="1"/>
  <c r="G748" i="15"/>
  <c r="G749" i="15"/>
  <c r="AI749" i="15" s="1"/>
  <c r="AJ749" i="15" s="1"/>
  <c r="AK749" i="15" s="1"/>
  <c r="G751" i="15"/>
  <c r="AI751" i="15" s="1"/>
  <c r="AJ751" i="15" s="1"/>
  <c r="AK751" i="15" s="1"/>
  <c r="G752" i="15"/>
  <c r="G753" i="15"/>
  <c r="G754" i="15"/>
  <c r="G755" i="15"/>
  <c r="AI755" i="15" s="1"/>
  <c r="AJ755" i="15" s="1"/>
  <c r="AK755" i="15" s="1"/>
  <c r="G756" i="15"/>
  <c r="G757" i="15"/>
  <c r="AI757" i="15" s="1"/>
  <c r="AJ757" i="15" s="1"/>
  <c r="AK757" i="15" s="1"/>
  <c r="G758" i="15"/>
  <c r="AI758" i="15" s="1"/>
  <c r="AJ758" i="15" s="1"/>
  <c r="AK758" i="15" s="1"/>
  <c r="G759" i="15"/>
  <c r="AI759" i="15" s="1"/>
  <c r="AJ759" i="15" s="1"/>
  <c r="AK759" i="15" s="1"/>
  <c r="G760" i="15"/>
  <c r="G761" i="15"/>
  <c r="G762" i="15"/>
  <c r="G763" i="15"/>
  <c r="AI763" i="15" s="1"/>
  <c r="AJ763" i="15" s="1"/>
  <c r="AK763" i="15" s="1"/>
  <c r="G764" i="15"/>
  <c r="G766" i="15"/>
  <c r="AI766" i="15" s="1"/>
  <c r="AJ766" i="15" s="1"/>
  <c r="AK766" i="15" s="1"/>
  <c r="G767" i="15"/>
  <c r="AI767" i="15" s="1"/>
  <c r="AJ767" i="15" s="1"/>
  <c r="AK767" i="15" s="1"/>
  <c r="G768" i="15"/>
  <c r="G769" i="15"/>
  <c r="G770" i="15"/>
  <c r="G771" i="15"/>
  <c r="AI771" i="15" s="1"/>
  <c r="AJ771" i="15" s="1"/>
  <c r="AK771" i="15" s="1"/>
  <c r="G772" i="15"/>
  <c r="G773" i="15"/>
  <c r="AI773" i="15" s="1"/>
  <c r="AJ773" i="15" s="1"/>
  <c r="AK773" i="15" s="1"/>
  <c r="G774" i="15"/>
  <c r="AI774" i="15" s="1"/>
  <c r="AJ774" i="15" s="1"/>
  <c r="AK774" i="15" s="1"/>
  <c r="G775" i="15"/>
  <c r="AI775" i="15" s="1"/>
  <c r="AJ775" i="15" s="1"/>
  <c r="AK775" i="15" s="1"/>
  <c r="G776" i="15"/>
  <c r="G777" i="15"/>
  <c r="G778" i="15"/>
  <c r="G779" i="15"/>
  <c r="AI779" i="15" s="1"/>
  <c r="AJ779" i="15" s="1"/>
  <c r="AK779" i="15" s="1"/>
  <c r="G781" i="15"/>
  <c r="AI781" i="15" s="1"/>
  <c r="AJ781" i="15" s="1"/>
  <c r="AK781" i="15" s="1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6" i="15"/>
  <c r="G797" i="15"/>
  <c r="G798" i="15"/>
  <c r="G799" i="15"/>
  <c r="G801" i="15"/>
  <c r="G802" i="15"/>
  <c r="G803" i="15"/>
  <c r="G804" i="15"/>
  <c r="G805" i="15"/>
  <c r="G807" i="15"/>
  <c r="G808" i="15"/>
  <c r="G809" i="15"/>
  <c r="G810" i="15"/>
  <c r="G812" i="15"/>
  <c r="G813" i="15"/>
  <c r="G814" i="15"/>
  <c r="G815" i="15"/>
  <c r="G819" i="15"/>
  <c r="G820" i="15"/>
  <c r="G821" i="15"/>
  <c r="G822" i="15"/>
  <c r="AI822" i="15" s="1"/>
  <c r="G823" i="15"/>
  <c r="AI823" i="15" s="1"/>
  <c r="G824" i="15"/>
  <c r="G825" i="15"/>
  <c r="G827" i="15"/>
  <c r="G828" i="15"/>
  <c r="G830" i="15"/>
  <c r="G831" i="15"/>
  <c r="G832" i="15"/>
  <c r="G833" i="15"/>
  <c r="G835" i="15"/>
  <c r="G836" i="15"/>
  <c r="G837" i="15"/>
  <c r="G838" i="15"/>
  <c r="G839" i="15"/>
  <c r="G840" i="15"/>
  <c r="G841" i="15"/>
  <c r="G842" i="15"/>
  <c r="G843" i="15"/>
  <c r="G844" i="15"/>
  <c r="G848" i="15"/>
  <c r="L848" i="15" s="1"/>
  <c r="G849" i="15"/>
  <c r="G850" i="15"/>
  <c r="G851" i="15"/>
  <c r="G852" i="15"/>
  <c r="G853" i="15"/>
  <c r="G855" i="15"/>
  <c r="G856" i="15"/>
  <c r="G858" i="15"/>
  <c r="G859" i="15"/>
  <c r="G860" i="15"/>
  <c r="G861" i="15"/>
  <c r="G862" i="15"/>
  <c r="G863" i="15"/>
  <c r="G868" i="15"/>
  <c r="G869" i="15"/>
  <c r="G870" i="15"/>
  <c r="G871" i="15"/>
  <c r="G873" i="15"/>
  <c r="G874" i="15"/>
  <c r="G876" i="15"/>
  <c r="G877" i="15"/>
  <c r="L877" i="15" s="1"/>
  <c r="G878" i="15"/>
  <c r="L878" i="15" s="1"/>
  <c r="G879" i="15"/>
  <c r="L879" i="15" s="1"/>
  <c r="G880" i="15"/>
  <c r="L880" i="15" s="1"/>
  <c r="G881" i="15"/>
  <c r="L881" i="15" s="1"/>
  <c r="G882" i="15"/>
  <c r="L882" i="15" s="1"/>
  <c r="G883" i="15"/>
  <c r="L883" i="15" s="1"/>
  <c r="G884" i="15"/>
  <c r="L884" i="15" s="1"/>
  <c r="G885" i="15"/>
  <c r="G886" i="15"/>
  <c r="G887" i="15"/>
  <c r="G888" i="15"/>
  <c r="G890" i="15"/>
  <c r="G891" i="15"/>
  <c r="G892" i="15"/>
  <c r="G893" i="15"/>
  <c r="G895" i="15"/>
  <c r="G896" i="15"/>
  <c r="G897" i="15"/>
  <c r="G898" i="15"/>
  <c r="G899" i="15"/>
  <c r="L899" i="15" s="1"/>
  <c r="G900" i="15"/>
  <c r="L900" i="15" s="1"/>
  <c r="G901" i="15"/>
  <c r="G902" i="15"/>
  <c r="G903" i="15"/>
  <c r="L903" i="15" s="1"/>
  <c r="G904" i="15"/>
  <c r="L904" i="15" s="1"/>
  <c r="G907" i="15"/>
  <c r="L907" i="15" s="1"/>
  <c r="G908" i="15"/>
  <c r="G909" i="15"/>
  <c r="G910" i="15"/>
  <c r="G911" i="15"/>
  <c r="G912" i="15"/>
  <c r="G913" i="15"/>
  <c r="G914" i="15"/>
  <c r="L914" i="15" s="1"/>
  <c r="G915" i="15"/>
  <c r="G916" i="15"/>
  <c r="G919" i="15"/>
  <c r="AF919" i="15" s="1"/>
  <c r="AG919" i="15" s="1"/>
  <c r="AH919" i="15" s="1"/>
  <c r="G920" i="15"/>
  <c r="AF920" i="15" s="1"/>
  <c r="AG920" i="15" s="1"/>
  <c r="AH920" i="15" s="1"/>
  <c r="G921" i="15"/>
  <c r="G924" i="15"/>
  <c r="G925" i="15"/>
  <c r="L925" i="15" s="1"/>
  <c r="G929" i="15"/>
  <c r="G931" i="15"/>
  <c r="G932" i="15"/>
  <c r="G933" i="15"/>
  <c r="G935" i="15"/>
  <c r="G936" i="15"/>
  <c r="G937" i="15"/>
  <c r="G938" i="15"/>
  <c r="G939" i="15"/>
  <c r="G940" i="15"/>
  <c r="G941" i="15"/>
  <c r="G942" i="15"/>
  <c r="G943" i="15"/>
  <c r="G944" i="15"/>
  <c r="G947" i="15"/>
  <c r="G948" i="15"/>
  <c r="G23" i="15"/>
  <c r="AF23" i="15" s="1"/>
  <c r="AG23" i="15" s="1"/>
  <c r="AH23" i="15" s="1"/>
  <c r="G25" i="15"/>
  <c r="AF25" i="15" s="1"/>
  <c r="AG25" i="15" s="1"/>
  <c r="AH25" i="15" s="1"/>
  <c r="G21" i="15"/>
  <c r="AF21" i="15" s="1"/>
  <c r="AG21" i="15" s="1"/>
  <c r="AH21" i="15" s="1"/>
  <c r="D576" i="15"/>
  <c r="D833" i="15"/>
  <c r="F47" i="1"/>
  <c r="AZ47" i="1" s="1"/>
  <c r="AK134" i="15" l="1"/>
  <c r="BC47" i="1"/>
  <c r="AI73" i="15"/>
  <c r="AJ73" i="15" s="1"/>
  <c r="AK73" i="15" s="1"/>
  <c r="AF73" i="15"/>
  <c r="AG73" i="15" s="1"/>
  <c r="AH73" i="15" s="1"/>
  <c r="AI71" i="15"/>
  <c r="AJ71" i="15" s="1"/>
  <c r="AK71" i="15" s="1"/>
  <c r="AF71" i="15"/>
  <c r="AG71" i="15" s="1"/>
  <c r="AH71" i="15" s="1"/>
  <c r="AI70" i="15"/>
  <c r="AJ70" i="15" s="1"/>
  <c r="AK70" i="15" s="1"/>
  <c r="AF70" i="15"/>
  <c r="AG70" i="15" s="1"/>
  <c r="AH70" i="15" s="1"/>
  <c r="AI69" i="15"/>
  <c r="AJ69" i="15" s="1"/>
  <c r="AK69" i="15" s="1"/>
  <c r="AF69" i="15"/>
  <c r="AG69" i="15" s="1"/>
  <c r="AH69" i="15" s="1"/>
  <c r="AI68" i="15"/>
  <c r="AJ68" i="15" s="1"/>
  <c r="AK68" i="15" s="1"/>
  <c r="AK63" i="15" s="1"/>
  <c r="AF68" i="15"/>
  <c r="AG68" i="15" s="1"/>
  <c r="AH68" i="15" s="1"/>
  <c r="AH63" i="15" s="1"/>
  <c r="BA28" i="1"/>
  <c r="BB28" i="1" s="1"/>
  <c r="BC28" i="1" s="1"/>
  <c r="AI72" i="15"/>
  <c r="AJ72" i="15" s="1"/>
  <c r="AK72" i="15" s="1"/>
  <c r="AF72" i="15"/>
  <c r="AG72" i="15" s="1"/>
  <c r="AH72" i="15" s="1"/>
  <c r="BA99" i="1"/>
  <c r="BB99" i="1" s="1"/>
  <c r="BC99" i="1" s="1"/>
  <c r="BD99" i="1"/>
  <c r="BA26" i="1"/>
  <c r="BB26" i="1" s="1"/>
  <c r="BC26" i="1" s="1"/>
  <c r="BE26" i="1"/>
  <c r="AI65" i="15"/>
  <c r="AJ65" i="15" s="1"/>
  <c r="AK65" i="15" s="1"/>
  <c r="AF65" i="15"/>
  <c r="AG65" i="15" s="1"/>
  <c r="AH65" i="15" s="1"/>
  <c r="AF64" i="15"/>
  <c r="AG64" i="15" s="1"/>
  <c r="AH64" i="15" s="1"/>
  <c r="AI117" i="15"/>
  <c r="AJ117" i="15" s="1"/>
  <c r="AK117" i="15" s="1"/>
  <c r="AF117" i="15"/>
  <c r="AG117" i="15" s="1"/>
  <c r="AH117" i="15" s="1"/>
  <c r="AI90" i="15"/>
  <c r="AJ90" i="15" s="1"/>
  <c r="AK90" i="15" s="1"/>
  <c r="AF90" i="15"/>
  <c r="AG90" i="15" s="1"/>
  <c r="AH90" i="15" s="1"/>
  <c r="AI116" i="15"/>
  <c r="AJ116" i="15" s="1"/>
  <c r="AK116" i="15" s="1"/>
  <c r="AF116" i="15"/>
  <c r="AG116" i="15" s="1"/>
  <c r="AH116" i="15" s="1"/>
  <c r="AH31" i="15"/>
  <c r="AI85" i="15"/>
  <c r="AJ85" i="15" s="1"/>
  <c r="AK85" i="15" s="1"/>
  <c r="AF85" i="15"/>
  <c r="AG85" i="15" s="1"/>
  <c r="AH85" i="15" s="1"/>
  <c r="AI109" i="15"/>
  <c r="AJ109" i="15" s="1"/>
  <c r="AK109" i="15" s="1"/>
  <c r="AF109" i="15"/>
  <c r="AG109" i="15" s="1"/>
  <c r="AH109" i="15" s="1"/>
  <c r="AI96" i="15"/>
  <c r="AJ96" i="15" s="1"/>
  <c r="AK96" i="15" s="1"/>
  <c r="AF96" i="15"/>
  <c r="AG96" i="15" s="1"/>
  <c r="AH96" i="15" s="1"/>
  <c r="AI83" i="15"/>
  <c r="AJ83" i="15" s="1"/>
  <c r="AK83" i="15" s="1"/>
  <c r="AF83" i="15"/>
  <c r="AG83" i="15" s="1"/>
  <c r="AH83" i="15" s="1"/>
  <c r="AI118" i="15"/>
  <c r="AJ118" i="15" s="1"/>
  <c r="AK118" i="15" s="1"/>
  <c r="AF118" i="15"/>
  <c r="AG118" i="15" s="1"/>
  <c r="AH118" i="15" s="1"/>
  <c r="AI101" i="15"/>
  <c r="AJ101" i="15" s="1"/>
  <c r="AK101" i="15" s="1"/>
  <c r="AF101" i="15"/>
  <c r="AG101" i="15" s="1"/>
  <c r="AH101" i="15" s="1"/>
  <c r="AH918" i="15"/>
  <c r="AI108" i="15"/>
  <c r="AJ108" i="15" s="1"/>
  <c r="AK108" i="15" s="1"/>
  <c r="AF108" i="15"/>
  <c r="AG108" i="15" s="1"/>
  <c r="AH108" i="15" s="1"/>
  <c r="AI91" i="15"/>
  <c r="AJ91" i="15" s="1"/>
  <c r="AK91" i="15" s="1"/>
  <c r="AF91" i="15"/>
  <c r="AG91" i="15" s="1"/>
  <c r="AH91" i="15" s="1"/>
  <c r="AH19" i="15"/>
  <c r="AI107" i="15"/>
  <c r="AJ107" i="15" s="1"/>
  <c r="AK107" i="15" s="1"/>
  <c r="AF107" i="15"/>
  <c r="AG107" i="15" s="1"/>
  <c r="AH107" i="15" s="1"/>
  <c r="AI94" i="15"/>
  <c r="AJ94" i="15" s="1"/>
  <c r="AK94" i="15" s="1"/>
  <c r="AF94" i="15"/>
  <c r="AG94" i="15" s="1"/>
  <c r="AH94" i="15" s="1"/>
  <c r="L145" i="1"/>
  <c r="BA145" i="1"/>
  <c r="BB145" i="1" s="1"/>
  <c r="BC145" i="1" s="1"/>
  <c r="BC112" i="1" s="1"/>
  <c r="AI106" i="15"/>
  <c r="AJ106" i="15" s="1"/>
  <c r="AK106" i="15" s="1"/>
  <c r="AF106" i="15"/>
  <c r="AG106" i="15" s="1"/>
  <c r="AH106" i="15" s="1"/>
  <c r="L95" i="1"/>
  <c r="BB95" i="1"/>
  <c r="BC95" i="1" s="1"/>
  <c r="L93" i="1"/>
  <c r="BB93" i="1"/>
  <c r="BC93" i="1" s="1"/>
  <c r="L69" i="1"/>
  <c r="BB69" i="1"/>
  <c r="BC69" i="1" s="1"/>
  <c r="L79" i="1"/>
  <c r="BB79" i="1"/>
  <c r="BC79" i="1" s="1"/>
  <c r="BC49" i="1"/>
  <c r="L98" i="1"/>
  <c r="BC97" i="1"/>
  <c r="L82" i="1"/>
  <c r="BB82" i="1"/>
  <c r="BC82" i="1" s="1"/>
  <c r="L74" i="1"/>
  <c r="BB74" i="1"/>
  <c r="BC74" i="1" s="1"/>
  <c r="BA31" i="1"/>
  <c r="BB31" i="1" s="1"/>
  <c r="BC31" i="1" s="1"/>
  <c r="L68" i="1"/>
  <c r="BB68" i="1"/>
  <c r="BC68" i="1" s="1"/>
  <c r="L91" i="1"/>
  <c r="BB91" i="1"/>
  <c r="BC91" i="1" s="1"/>
  <c r="L89" i="1"/>
  <c r="BB89" i="1"/>
  <c r="BC89" i="1" s="1"/>
  <c r="L65" i="1"/>
  <c r="BC65" i="1"/>
  <c r="L87" i="1"/>
  <c r="BB87" i="1"/>
  <c r="BC87" i="1" s="1"/>
  <c r="L92" i="1"/>
  <c r="BB92" i="1"/>
  <c r="BC92" i="1" s="1"/>
  <c r="L67" i="1"/>
  <c r="BB67" i="1"/>
  <c r="BC67" i="1" s="1"/>
  <c r="L80" i="1"/>
  <c r="BB80" i="1"/>
  <c r="BC80" i="1" s="1"/>
  <c r="BE24" i="1"/>
  <c r="BF24" i="1" s="1"/>
  <c r="BA24" i="1"/>
  <c r="BB24" i="1" s="1"/>
  <c r="AI171" i="15"/>
  <c r="AJ171" i="15" s="1"/>
  <c r="AK171" i="15" s="1"/>
  <c r="AK167" i="15" s="1"/>
  <c r="AI115" i="15"/>
  <c r="AJ115" i="15" s="1"/>
  <c r="AK115" i="15" s="1"/>
  <c r="L1094" i="1"/>
  <c r="BG1094" i="1"/>
  <c r="L167" i="1"/>
  <c r="BE167" i="1"/>
  <c r="BF167" i="1" s="1"/>
  <c r="L39" i="1"/>
  <c r="L1095" i="1"/>
  <c r="BG1095" i="1"/>
  <c r="L166" i="1"/>
  <c r="BE166" i="1"/>
  <c r="BF166" i="1" s="1"/>
  <c r="L42" i="1"/>
  <c r="L193" i="1"/>
  <c r="BE193" i="1"/>
  <c r="BF193" i="1" s="1"/>
  <c r="BL191" i="1" s="1"/>
  <c r="L196" i="1"/>
  <c r="BH196" i="1"/>
  <c r="L1121" i="1"/>
  <c r="BH1121" i="1"/>
  <c r="L40" i="1"/>
  <c r="L29" i="1"/>
  <c r="BE29" i="1"/>
  <c r="BF29" i="1" s="1"/>
  <c r="L28" i="1"/>
  <c r="BF28" i="1"/>
  <c r="L27" i="1"/>
  <c r="BD27" i="1"/>
  <c r="BE27" i="1" s="1"/>
  <c r="BF27" i="1" s="1"/>
  <c r="AJ436" i="15"/>
  <c r="AK436" i="15" s="1"/>
  <c r="AJ435" i="15"/>
  <c r="AK435" i="15" s="1"/>
  <c r="L32" i="1"/>
  <c r="BE32" i="1"/>
  <c r="BF32" i="1" s="1"/>
  <c r="L24" i="1"/>
  <c r="L948" i="15"/>
  <c r="AJ948" i="15"/>
  <c r="L863" i="15"/>
  <c r="AI863" i="15"/>
  <c r="AJ863" i="15" s="1"/>
  <c r="AK863" i="15" s="1"/>
  <c r="L833" i="15"/>
  <c r="AI833" i="15"/>
  <c r="AJ833" i="15" s="1"/>
  <c r="AK833" i="15" s="1"/>
  <c r="L812" i="15"/>
  <c r="AI812" i="15"/>
  <c r="AJ812" i="15" s="1"/>
  <c r="AK812" i="15" s="1"/>
  <c r="L792" i="15"/>
  <c r="AI792" i="15"/>
  <c r="AJ792" i="15" s="1"/>
  <c r="AK792" i="15" s="1"/>
  <c r="L784" i="15"/>
  <c r="AI784" i="15"/>
  <c r="AJ784" i="15" s="1"/>
  <c r="AK784" i="15" s="1"/>
  <c r="L732" i="15"/>
  <c r="AI732" i="15"/>
  <c r="AJ732" i="15" s="1"/>
  <c r="AK732" i="15" s="1"/>
  <c r="L641" i="15"/>
  <c r="AI641" i="15"/>
  <c r="AJ641" i="15" s="1"/>
  <c r="AK641" i="15" s="1"/>
  <c r="L328" i="15"/>
  <c r="AI328" i="15"/>
  <c r="AJ328" i="15" s="1"/>
  <c r="AK328" i="15" s="1"/>
  <c r="L1112" i="1"/>
  <c r="BD1112" i="1"/>
  <c r="BE1112" i="1" s="1"/>
  <c r="BF1112" i="1" s="1"/>
  <c r="L1023" i="1"/>
  <c r="BD1023" i="1"/>
  <c r="BE1023" i="1" s="1"/>
  <c r="BF1023" i="1" s="1"/>
  <c r="L991" i="1"/>
  <c r="BD991" i="1"/>
  <c r="BE991" i="1" s="1"/>
  <c r="BF991" i="1" s="1"/>
  <c r="L967" i="1"/>
  <c r="BD967" i="1"/>
  <c r="BE967" i="1" s="1"/>
  <c r="BF967" i="1" s="1"/>
  <c r="L943" i="1"/>
  <c r="BD943" i="1"/>
  <c r="BE943" i="1" s="1"/>
  <c r="BF943" i="1" s="1"/>
  <c r="L919" i="1"/>
  <c r="BD919" i="1"/>
  <c r="BE919" i="1" s="1"/>
  <c r="BF919" i="1" s="1"/>
  <c r="L871" i="1"/>
  <c r="BD871" i="1"/>
  <c r="BE871" i="1" s="1"/>
  <c r="BF871" i="1" s="1"/>
  <c r="L839" i="1"/>
  <c r="BD839" i="1"/>
  <c r="BE839" i="1" s="1"/>
  <c r="BF839" i="1" s="1"/>
  <c r="L799" i="1"/>
  <c r="BD799" i="1"/>
  <c r="BE799" i="1" s="1"/>
  <c r="BF799" i="1" s="1"/>
  <c r="L767" i="1"/>
  <c r="BD767" i="1"/>
  <c r="BE767" i="1" s="1"/>
  <c r="BF767" i="1" s="1"/>
  <c r="L735" i="1"/>
  <c r="BD735" i="1"/>
  <c r="BE735" i="1" s="1"/>
  <c r="BF735" i="1" s="1"/>
  <c r="L711" i="1"/>
  <c r="BD711" i="1"/>
  <c r="BE711" i="1" s="1"/>
  <c r="BF711" i="1" s="1"/>
  <c r="L631" i="1"/>
  <c r="BD631" i="1"/>
  <c r="BE631" i="1" s="1"/>
  <c r="BF631" i="1" s="1"/>
  <c r="L599" i="1"/>
  <c r="BD599" i="1"/>
  <c r="BE599" i="1" s="1"/>
  <c r="BF599" i="1" s="1"/>
  <c r="L583" i="1"/>
  <c r="BD583" i="1"/>
  <c r="BE583" i="1" s="1"/>
  <c r="BF583" i="1" s="1"/>
  <c r="L559" i="1"/>
  <c r="BD559" i="1"/>
  <c r="BE559" i="1" s="1"/>
  <c r="BF559" i="1" s="1"/>
  <c r="L527" i="1"/>
  <c r="BD527" i="1"/>
  <c r="BE527" i="1" s="1"/>
  <c r="BF527" i="1" s="1"/>
  <c r="L471" i="1"/>
  <c r="BD471" i="1"/>
  <c r="BE471" i="1" s="1"/>
  <c r="BF471" i="1" s="1"/>
  <c r="L439" i="1"/>
  <c r="BD439" i="1"/>
  <c r="BE439" i="1" s="1"/>
  <c r="BF439" i="1" s="1"/>
  <c r="L399" i="1"/>
  <c r="BD399" i="1"/>
  <c r="BE399" i="1" s="1"/>
  <c r="BF399" i="1" s="1"/>
  <c r="L359" i="1"/>
  <c r="BD359" i="1"/>
  <c r="BE359" i="1" s="1"/>
  <c r="BF359" i="1" s="1"/>
  <c r="L327" i="1"/>
  <c r="BD327" i="1"/>
  <c r="BE327" i="1" s="1"/>
  <c r="BF327" i="1" s="1"/>
  <c r="L255" i="1"/>
  <c r="BD255" i="1"/>
  <c r="BE255" i="1" s="1"/>
  <c r="BF255" i="1" s="1"/>
  <c r="L183" i="1"/>
  <c r="BD183" i="1"/>
  <c r="BE183" i="1" s="1"/>
  <c r="BF183" i="1" s="1"/>
  <c r="L55" i="1"/>
  <c r="L937" i="15"/>
  <c r="AI937" i="15"/>
  <c r="AJ937" i="15" s="1"/>
  <c r="AK937" i="15" s="1"/>
  <c r="L902" i="15"/>
  <c r="AI902" i="15"/>
  <c r="AJ902" i="15" s="1"/>
  <c r="AK902" i="15" s="1"/>
  <c r="L852" i="15"/>
  <c r="AI852" i="15"/>
  <c r="AJ852" i="15" s="1"/>
  <c r="AK852" i="15" s="1"/>
  <c r="L810" i="15"/>
  <c r="AI810" i="15"/>
  <c r="AJ810" i="15" s="1"/>
  <c r="AK810" i="15" s="1"/>
  <c r="L748" i="15"/>
  <c r="AI748" i="15"/>
  <c r="AJ748" i="15" s="1"/>
  <c r="AK748" i="15" s="1"/>
  <c r="L722" i="15"/>
  <c r="AI722" i="15"/>
  <c r="AJ722" i="15" s="1"/>
  <c r="AK722" i="15" s="1"/>
  <c r="L705" i="15"/>
  <c r="AI705" i="15"/>
  <c r="AJ705" i="15" s="1"/>
  <c r="AK705" i="15" s="1"/>
  <c r="L696" i="15"/>
  <c r="AI696" i="15"/>
  <c r="AJ696" i="15" s="1"/>
  <c r="AK696" i="15" s="1"/>
  <c r="L688" i="15"/>
  <c r="AI688" i="15"/>
  <c r="AJ688" i="15" s="1"/>
  <c r="AK688" i="15" s="1"/>
  <c r="L650" i="15"/>
  <c r="AI650" i="15"/>
  <c r="AJ650" i="15" s="1"/>
  <c r="AK650" i="15" s="1"/>
  <c r="L1127" i="1"/>
  <c r="BD1127" i="1"/>
  <c r="BE1127" i="1" s="1"/>
  <c r="BF1127" i="1" s="1"/>
  <c r="L1014" i="1"/>
  <c r="BD1014" i="1"/>
  <c r="BE1014" i="1" s="1"/>
  <c r="BF1014" i="1" s="1"/>
  <c r="L982" i="1"/>
  <c r="BD982" i="1"/>
  <c r="BE982" i="1" s="1"/>
  <c r="BF982" i="1" s="1"/>
  <c r="L950" i="1"/>
  <c r="BD950" i="1"/>
  <c r="BE950" i="1" s="1"/>
  <c r="BF950" i="1" s="1"/>
  <c r="L926" i="1"/>
  <c r="BD926" i="1"/>
  <c r="BE926" i="1" s="1"/>
  <c r="BF926" i="1" s="1"/>
  <c r="L894" i="1"/>
  <c r="BD894" i="1"/>
  <c r="BE894" i="1" s="1"/>
  <c r="BF894" i="1" s="1"/>
  <c r="L862" i="1"/>
  <c r="BD862" i="1"/>
  <c r="BE862" i="1" s="1"/>
  <c r="BF862" i="1" s="1"/>
  <c r="L830" i="1"/>
  <c r="BD830" i="1"/>
  <c r="BE830" i="1" s="1"/>
  <c r="BF830" i="1" s="1"/>
  <c r="L790" i="1"/>
  <c r="BD790" i="1"/>
  <c r="BE790" i="1" s="1"/>
  <c r="BF790" i="1" s="1"/>
  <c r="L758" i="1"/>
  <c r="BD758" i="1"/>
  <c r="BE758" i="1" s="1"/>
  <c r="BF758" i="1" s="1"/>
  <c r="L710" i="1"/>
  <c r="BD710" i="1"/>
  <c r="BE710" i="1" s="1"/>
  <c r="BF710" i="1" s="1"/>
  <c r="L678" i="1"/>
  <c r="BD678" i="1"/>
  <c r="BE678" i="1" s="1"/>
  <c r="BF678" i="1" s="1"/>
  <c r="L638" i="1"/>
  <c r="BD638" i="1"/>
  <c r="BE638" i="1" s="1"/>
  <c r="BF638" i="1" s="1"/>
  <c r="L606" i="1"/>
  <c r="BD606" i="1"/>
  <c r="BE606" i="1" s="1"/>
  <c r="BF606" i="1" s="1"/>
  <c r="L574" i="1"/>
  <c r="BD574" i="1"/>
  <c r="BE574" i="1" s="1"/>
  <c r="BF574" i="1" s="1"/>
  <c r="L542" i="1"/>
  <c r="BD542" i="1"/>
  <c r="BE542" i="1" s="1"/>
  <c r="BF542" i="1" s="1"/>
  <c r="L462" i="1"/>
  <c r="BD462" i="1"/>
  <c r="BE462" i="1" s="1"/>
  <c r="BF462" i="1" s="1"/>
  <c r="L438" i="1"/>
  <c r="BD438" i="1"/>
  <c r="BE438" i="1" s="1"/>
  <c r="BF438" i="1" s="1"/>
  <c r="L414" i="1"/>
  <c r="BD414" i="1"/>
  <c r="BE414" i="1" s="1"/>
  <c r="BF414" i="1" s="1"/>
  <c r="L382" i="1"/>
  <c r="BD382" i="1"/>
  <c r="BE382" i="1" s="1"/>
  <c r="BF382" i="1" s="1"/>
  <c r="L350" i="1"/>
  <c r="BD350" i="1"/>
  <c r="BE350" i="1" s="1"/>
  <c r="BF350" i="1" s="1"/>
  <c r="L318" i="1"/>
  <c r="BD318" i="1"/>
  <c r="BE318" i="1" s="1"/>
  <c r="BF318" i="1" s="1"/>
  <c r="L294" i="1"/>
  <c r="BD294" i="1"/>
  <c r="BE294" i="1" s="1"/>
  <c r="BF294" i="1" s="1"/>
  <c r="L262" i="1"/>
  <c r="BD262" i="1"/>
  <c r="BE262" i="1" s="1"/>
  <c r="BF262" i="1" s="1"/>
  <c r="L230" i="1"/>
  <c r="BD230" i="1"/>
  <c r="BE230" i="1" s="1"/>
  <c r="BF230" i="1" s="1"/>
  <c r="L150" i="1"/>
  <c r="BD150" i="1"/>
  <c r="BE150" i="1" s="1"/>
  <c r="BF150" i="1" s="1"/>
  <c r="L118" i="1"/>
  <c r="BD118" i="1"/>
  <c r="BE118" i="1" s="1"/>
  <c r="BF118" i="1" s="1"/>
  <c r="L110" i="1"/>
  <c r="BE110" i="1"/>
  <c r="BF110" i="1" s="1"/>
  <c r="L102" i="1"/>
  <c r="BD102" i="1"/>
  <c r="BE102" i="1" s="1"/>
  <c r="BF102" i="1" s="1"/>
  <c r="L94" i="1"/>
  <c r="L86" i="1"/>
  <c r="L78" i="1"/>
  <c r="L70" i="1"/>
  <c r="L911" i="15"/>
  <c r="AI911" i="15"/>
  <c r="AJ911" i="15" s="1"/>
  <c r="AK911" i="15" s="1"/>
  <c r="L874" i="15"/>
  <c r="AI874" i="15"/>
  <c r="AJ874" i="15" s="1"/>
  <c r="AK874" i="15" s="1"/>
  <c r="L831" i="15"/>
  <c r="AI831" i="15"/>
  <c r="AJ831" i="15" s="1"/>
  <c r="AK831" i="15" s="1"/>
  <c r="L756" i="15"/>
  <c r="AI756" i="15"/>
  <c r="AJ756" i="15" s="1"/>
  <c r="AK756" i="15" s="1"/>
  <c r="L721" i="15"/>
  <c r="AI721" i="15"/>
  <c r="AJ721" i="15" s="1"/>
  <c r="AK721" i="15" s="1"/>
  <c r="L649" i="15"/>
  <c r="AI649" i="15"/>
  <c r="AJ649" i="15" s="1"/>
  <c r="AK649" i="15" s="1"/>
  <c r="L601" i="15"/>
  <c r="AI601" i="15"/>
  <c r="AJ601" i="15" s="1"/>
  <c r="AK601" i="15" s="1"/>
  <c r="L576" i="15"/>
  <c r="AI576" i="15"/>
  <c r="AJ576" i="15" s="1"/>
  <c r="AK576" i="15" s="1"/>
  <c r="L1134" i="1"/>
  <c r="BD1134" i="1"/>
  <c r="BE1134" i="1" s="1"/>
  <c r="BF1134" i="1" s="1"/>
  <c r="L1077" i="1"/>
  <c r="BD1077" i="1"/>
  <c r="BE1077" i="1" s="1"/>
  <c r="BF1077" i="1" s="1"/>
  <c r="L1045" i="1"/>
  <c r="BD1045" i="1"/>
  <c r="BE1045" i="1" s="1"/>
  <c r="BF1045" i="1" s="1"/>
  <c r="L1021" i="1"/>
  <c r="BD1021" i="1"/>
  <c r="BE1021" i="1" s="1"/>
  <c r="BF1021" i="1" s="1"/>
  <c r="L997" i="1"/>
  <c r="BD997" i="1"/>
  <c r="BE997" i="1" s="1"/>
  <c r="BF997" i="1" s="1"/>
  <c r="L981" i="1"/>
  <c r="BD981" i="1"/>
  <c r="BE981" i="1" s="1"/>
  <c r="BF981" i="1" s="1"/>
  <c r="L973" i="1"/>
  <c r="BD973" i="1"/>
  <c r="BE973" i="1" s="1"/>
  <c r="BF973" i="1" s="1"/>
  <c r="L965" i="1"/>
  <c r="BD965" i="1"/>
  <c r="BE965" i="1" s="1"/>
  <c r="BF965" i="1" s="1"/>
  <c r="L949" i="1"/>
  <c r="BD949" i="1"/>
  <c r="BE949" i="1" s="1"/>
  <c r="BF949" i="1" s="1"/>
  <c r="L941" i="1"/>
  <c r="BD941" i="1"/>
  <c r="BE941" i="1" s="1"/>
  <c r="BF941" i="1" s="1"/>
  <c r="L933" i="1"/>
  <c r="BD933" i="1"/>
  <c r="BE933" i="1" s="1"/>
  <c r="BF933" i="1" s="1"/>
  <c r="L909" i="1"/>
  <c r="BD909" i="1"/>
  <c r="BE909" i="1" s="1"/>
  <c r="BF909" i="1" s="1"/>
  <c r="L901" i="1"/>
  <c r="BD901" i="1"/>
  <c r="BE901" i="1" s="1"/>
  <c r="BF901" i="1" s="1"/>
  <c r="L885" i="1"/>
  <c r="BD885" i="1"/>
  <c r="BE885" i="1" s="1"/>
  <c r="BF885" i="1" s="1"/>
  <c r="L877" i="1"/>
  <c r="BD877" i="1"/>
  <c r="BE877" i="1" s="1"/>
  <c r="BF877" i="1" s="1"/>
  <c r="L869" i="1"/>
  <c r="BD869" i="1"/>
  <c r="BE869" i="1" s="1"/>
  <c r="BF869" i="1" s="1"/>
  <c r="L853" i="1"/>
  <c r="BD853" i="1"/>
  <c r="BE853" i="1" s="1"/>
  <c r="BF853" i="1" s="1"/>
  <c r="L845" i="1"/>
  <c r="BD845" i="1"/>
  <c r="BE845" i="1" s="1"/>
  <c r="BF845" i="1" s="1"/>
  <c r="L837" i="1"/>
  <c r="BD837" i="1"/>
  <c r="BE837" i="1" s="1"/>
  <c r="BF837" i="1" s="1"/>
  <c r="L829" i="1"/>
  <c r="BD829" i="1"/>
  <c r="BE829" i="1" s="1"/>
  <c r="BF829" i="1" s="1"/>
  <c r="L821" i="1"/>
  <c r="BD821" i="1"/>
  <c r="BE821" i="1" s="1"/>
  <c r="BF821" i="1" s="1"/>
  <c r="L813" i="1"/>
  <c r="BD813" i="1"/>
  <c r="BE813" i="1" s="1"/>
  <c r="BF813" i="1" s="1"/>
  <c r="L805" i="1"/>
  <c r="BD805" i="1"/>
  <c r="BE805" i="1" s="1"/>
  <c r="BF805" i="1" s="1"/>
  <c r="L797" i="1"/>
  <c r="BD797" i="1"/>
  <c r="BE797" i="1" s="1"/>
  <c r="BF797" i="1" s="1"/>
  <c r="L789" i="1"/>
  <c r="BD789" i="1"/>
  <c r="BE789" i="1" s="1"/>
  <c r="BF789" i="1" s="1"/>
  <c r="L773" i="1"/>
  <c r="BD773" i="1"/>
  <c r="BE773" i="1" s="1"/>
  <c r="BF773" i="1" s="1"/>
  <c r="L765" i="1"/>
  <c r="BD765" i="1"/>
  <c r="BE765" i="1" s="1"/>
  <c r="BF765" i="1" s="1"/>
  <c r="L757" i="1"/>
  <c r="BD757" i="1"/>
  <c r="BE757" i="1" s="1"/>
  <c r="BF757" i="1" s="1"/>
  <c r="L749" i="1"/>
  <c r="BD749" i="1"/>
  <c r="BE749" i="1" s="1"/>
  <c r="BF749" i="1" s="1"/>
  <c r="L741" i="1"/>
  <c r="BD741" i="1"/>
  <c r="BE741" i="1" s="1"/>
  <c r="BF741" i="1" s="1"/>
  <c r="L733" i="1"/>
  <c r="BD733" i="1"/>
  <c r="BE733" i="1" s="1"/>
  <c r="BF733" i="1" s="1"/>
  <c r="L725" i="1"/>
  <c r="BD725" i="1"/>
  <c r="BE725" i="1" s="1"/>
  <c r="BF725" i="1" s="1"/>
  <c r="L709" i="1"/>
  <c r="BD709" i="1"/>
  <c r="BE709" i="1" s="1"/>
  <c r="BF709" i="1" s="1"/>
  <c r="L701" i="1"/>
  <c r="BD701" i="1"/>
  <c r="BE701" i="1" s="1"/>
  <c r="BF701" i="1" s="1"/>
  <c r="L677" i="1"/>
  <c r="BD677" i="1"/>
  <c r="BE677" i="1" s="1"/>
  <c r="BF677" i="1" s="1"/>
  <c r="L669" i="1"/>
  <c r="BD669" i="1"/>
  <c r="BE669" i="1" s="1"/>
  <c r="BF669" i="1" s="1"/>
  <c r="L645" i="1"/>
  <c r="BD645" i="1"/>
  <c r="BE645" i="1" s="1"/>
  <c r="BF645" i="1" s="1"/>
  <c r="L637" i="1"/>
  <c r="BD637" i="1"/>
  <c r="BE637" i="1" s="1"/>
  <c r="BF637" i="1" s="1"/>
  <c r="L629" i="1"/>
  <c r="BD629" i="1"/>
  <c r="BE629" i="1" s="1"/>
  <c r="BF629" i="1" s="1"/>
  <c r="L605" i="1"/>
  <c r="BD605" i="1"/>
  <c r="BE605" i="1" s="1"/>
  <c r="BF605" i="1" s="1"/>
  <c r="L597" i="1"/>
  <c r="BD597" i="1"/>
  <c r="BE597" i="1" s="1"/>
  <c r="BF597" i="1" s="1"/>
  <c r="L589" i="1"/>
  <c r="BD589" i="1"/>
  <c r="BE589" i="1" s="1"/>
  <c r="BF589" i="1" s="1"/>
  <c r="L581" i="1"/>
  <c r="BE581" i="1"/>
  <c r="BF581" i="1" s="1"/>
  <c r="L573" i="1"/>
  <c r="BD573" i="1"/>
  <c r="BE573" i="1" s="1"/>
  <c r="BF573" i="1" s="1"/>
  <c r="L557" i="1"/>
  <c r="BD557" i="1"/>
  <c r="BE557" i="1" s="1"/>
  <c r="BF557" i="1" s="1"/>
  <c r="L549" i="1"/>
  <c r="BD549" i="1"/>
  <c r="BE549" i="1" s="1"/>
  <c r="BF549" i="1" s="1"/>
  <c r="L541" i="1"/>
  <c r="BD541" i="1"/>
  <c r="BE541" i="1" s="1"/>
  <c r="BF541" i="1" s="1"/>
  <c r="L533" i="1"/>
  <c r="BD533" i="1"/>
  <c r="BE533" i="1" s="1"/>
  <c r="BF533" i="1" s="1"/>
  <c r="L509" i="1"/>
  <c r="BD509" i="1"/>
  <c r="BE509" i="1" s="1"/>
  <c r="BF509" i="1" s="1"/>
  <c r="L501" i="1"/>
  <c r="BD501" i="1"/>
  <c r="BE501" i="1" s="1"/>
  <c r="BF501" i="1" s="1"/>
  <c r="L485" i="1"/>
  <c r="BD485" i="1"/>
  <c r="BE485" i="1" s="1"/>
  <c r="BF485" i="1" s="1"/>
  <c r="L477" i="1"/>
  <c r="BD477" i="1"/>
  <c r="BE477" i="1" s="1"/>
  <c r="BF477" i="1" s="1"/>
  <c r="L469" i="1"/>
  <c r="BD469" i="1"/>
  <c r="BE469" i="1" s="1"/>
  <c r="BF469" i="1" s="1"/>
  <c r="L461" i="1"/>
  <c r="BD461" i="1"/>
  <c r="BE461" i="1" s="1"/>
  <c r="BF461" i="1" s="1"/>
  <c r="L453" i="1"/>
  <c r="BD453" i="1"/>
  <c r="BE453" i="1" s="1"/>
  <c r="BF453" i="1" s="1"/>
  <c r="L445" i="1"/>
  <c r="BD445" i="1"/>
  <c r="BE445" i="1" s="1"/>
  <c r="BF445" i="1" s="1"/>
  <c r="L421" i="1"/>
  <c r="BD421" i="1"/>
  <c r="BE421" i="1" s="1"/>
  <c r="BF421" i="1" s="1"/>
  <c r="L413" i="1"/>
  <c r="BD413" i="1"/>
  <c r="BE413" i="1" s="1"/>
  <c r="BF413" i="1" s="1"/>
  <c r="L405" i="1"/>
  <c r="BD405" i="1"/>
  <c r="BE405" i="1" s="1"/>
  <c r="BF405" i="1" s="1"/>
  <c r="L397" i="1"/>
  <c r="BD397" i="1"/>
  <c r="BE397" i="1" s="1"/>
  <c r="BF397" i="1" s="1"/>
  <c r="L381" i="1"/>
  <c r="BD381" i="1"/>
  <c r="BE381" i="1" s="1"/>
  <c r="BF381" i="1" s="1"/>
  <c r="L373" i="1"/>
  <c r="BD373" i="1"/>
  <c r="BE373" i="1" s="1"/>
  <c r="BF373" i="1" s="1"/>
  <c r="L365" i="1"/>
  <c r="BD365" i="1"/>
  <c r="BE365" i="1" s="1"/>
  <c r="BF365" i="1" s="1"/>
  <c r="L357" i="1"/>
  <c r="BD357" i="1"/>
  <c r="BE357" i="1" s="1"/>
  <c r="BF357" i="1" s="1"/>
  <c r="L349" i="1"/>
  <c r="BD349" i="1"/>
  <c r="BE349" i="1" s="1"/>
  <c r="BF349" i="1" s="1"/>
  <c r="L341" i="1"/>
  <c r="BD341" i="1"/>
  <c r="BE341" i="1" s="1"/>
  <c r="BF341" i="1" s="1"/>
  <c r="L333" i="1"/>
  <c r="BD333" i="1"/>
  <c r="BE333" i="1" s="1"/>
  <c r="BF333" i="1" s="1"/>
  <c r="L325" i="1"/>
  <c r="BD325" i="1"/>
  <c r="BE325" i="1" s="1"/>
  <c r="BF325" i="1" s="1"/>
  <c r="L317" i="1"/>
  <c r="BD317" i="1"/>
  <c r="BE317" i="1" s="1"/>
  <c r="BF317" i="1" s="1"/>
  <c r="L301" i="1"/>
  <c r="BD301" i="1"/>
  <c r="BE301" i="1" s="1"/>
  <c r="BF301" i="1" s="1"/>
  <c r="L293" i="1"/>
  <c r="BD293" i="1"/>
  <c r="BE293" i="1" s="1"/>
  <c r="BF293" i="1" s="1"/>
  <c r="L285" i="1"/>
  <c r="BD285" i="1"/>
  <c r="BE285" i="1" s="1"/>
  <c r="BF285" i="1" s="1"/>
  <c r="L277" i="1"/>
  <c r="BD277" i="1"/>
  <c r="BE277" i="1" s="1"/>
  <c r="BF277" i="1" s="1"/>
  <c r="L269" i="1"/>
  <c r="BD269" i="1"/>
  <c r="BE269" i="1" s="1"/>
  <c r="BF269" i="1" s="1"/>
  <c r="L261" i="1"/>
  <c r="BD261" i="1"/>
  <c r="BE261" i="1" s="1"/>
  <c r="BF261" i="1" s="1"/>
  <c r="L253" i="1"/>
  <c r="BD253" i="1"/>
  <c r="BE253" i="1" s="1"/>
  <c r="BF253" i="1" s="1"/>
  <c r="L245" i="1"/>
  <c r="BD245" i="1"/>
  <c r="BE245" i="1" s="1"/>
  <c r="BF245" i="1" s="1"/>
  <c r="L229" i="1"/>
  <c r="BD229" i="1"/>
  <c r="BE229" i="1" s="1"/>
  <c r="BF229" i="1" s="1"/>
  <c r="L221" i="1"/>
  <c r="BD221" i="1"/>
  <c r="BE221" i="1" s="1"/>
  <c r="BF221" i="1" s="1"/>
  <c r="L181" i="1"/>
  <c r="BD181" i="1"/>
  <c r="BE181" i="1" s="1"/>
  <c r="BF181" i="1" s="1"/>
  <c r="L173" i="1"/>
  <c r="BD173" i="1"/>
  <c r="L149" i="1"/>
  <c r="BD149" i="1"/>
  <c r="BE149" i="1" s="1"/>
  <c r="BF149" i="1" s="1"/>
  <c r="L141" i="1"/>
  <c r="BD141" i="1"/>
  <c r="BE141" i="1" s="1"/>
  <c r="BF141" i="1" s="1"/>
  <c r="L109" i="1"/>
  <c r="BE109" i="1"/>
  <c r="BF109" i="1" s="1"/>
  <c r="L85" i="1"/>
  <c r="L77" i="1"/>
  <c r="L53" i="1"/>
  <c r="L37" i="1"/>
  <c r="L943" i="15"/>
  <c r="AI943" i="15"/>
  <c r="AJ943" i="15" s="1"/>
  <c r="AK943" i="15" s="1"/>
  <c r="L935" i="15"/>
  <c r="AI935" i="15"/>
  <c r="AJ935" i="15" s="1"/>
  <c r="AK935" i="15" s="1"/>
  <c r="L920" i="15"/>
  <c r="AI920" i="15"/>
  <c r="AJ920" i="15" s="1"/>
  <c r="AK920" i="15" s="1"/>
  <c r="L910" i="15"/>
  <c r="AI910" i="15"/>
  <c r="AJ910" i="15" s="1"/>
  <c r="AK910" i="15" s="1"/>
  <c r="L891" i="15"/>
  <c r="AI891" i="15"/>
  <c r="AJ891" i="15" s="1"/>
  <c r="AK891" i="15" s="1"/>
  <c r="L873" i="15"/>
  <c r="AI873" i="15"/>
  <c r="AJ873" i="15" s="1"/>
  <c r="AK873" i="15" s="1"/>
  <c r="L860" i="15"/>
  <c r="AI860" i="15"/>
  <c r="AJ860" i="15" s="1"/>
  <c r="AK860" i="15" s="1"/>
  <c r="L850" i="15"/>
  <c r="AI850" i="15"/>
  <c r="AJ850" i="15" s="1"/>
  <c r="AK850" i="15" s="1"/>
  <c r="L839" i="15"/>
  <c r="AI839" i="15"/>
  <c r="AJ839" i="15" s="1"/>
  <c r="AK839" i="15" s="1"/>
  <c r="L830" i="15"/>
  <c r="AI830" i="15"/>
  <c r="AJ830" i="15" s="1"/>
  <c r="AK830" i="15" s="1"/>
  <c r="L820" i="15"/>
  <c r="AI820" i="15"/>
  <c r="AJ820" i="15" s="1"/>
  <c r="AK820" i="15" s="1"/>
  <c r="L808" i="15"/>
  <c r="AI808" i="15"/>
  <c r="AJ808" i="15" s="1"/>
  <c r="AK808" i="15" s="1"/>
  <c r="L798" i="15"/>
  <c r="AI798" i="15"/>
  <c r="AJ798" i="15" s="1"/>
  <c r="AK798" i="15" s="1"/>
  <c r="L789" i="15"/>
  <c r="AI789" i="15"/>
  <c r="AJ789" i="15" s="1"/>
  <c r="AK789" i="15" s="1"/>
  <c r="L772" i="15"/>
  <c r="AI772" i="15"/>
  <c r="AJ772" i="15" s="1"/>
  <c r="AK772" i="15" s="1"/>
  <c r="L746" i="15"/>
  <c r="AI746" i="15"/>
  <c r="AJ746" i="15" s="1"/>
  <c r="AK746" i="15" s="1"/>
  <c r="L737" i="15"/>
  <c r="AI737" i="15"/>
  <c r="AJ737" i="15" s="1"/>
  <c r="AK737" i="15" s="1"/>
  <c r="L729" i="15"/>
  <c r="AI729" i="15"/>
  <c r="AJ729" i="15" s="1"/>
  <c r="AK729" i="15" s="1"/>
  <c r="L720" i="15"/>
  <c r="AI720" i="15"/>
  <c r="AJ720" i="15" s="1"/>
  <c r="AK720" i="15" s="1"/>
  <c r="L712" i="15"/>
  <c r="AI712" i="15"/>
  <c r="AJ712" i="15" s="1"/>
  <c r="AK712" i="15" s="1"/>
  <c r="L656" i="15"/>
  <c r="AI656" i="15"/>
  <c r="AJ656" i="15" s="1"/>
  <c r="AK656" i="15" s="1"/>
  <c r="L648" i="15"/>
  <c r="AI648" i="15"/>
  <c r="AJ648" i="15" s="1"/>
  <c r="AK648" i="15" s="1"/>
  <c r="L600" i="15"/>
  <c r="AI600" i="15"/>
  <c r="AJ600" i="15" s="1"/>
  <c r="AK600" i="15" s="1"/>
  <c r="L505" i="15"/>
  <c r="AI505" i="15"/>
  <c r="AJ505" i="15" s="1"/>
  <c r="AK505" i="15" s="1"/>
  <c r="L496" i="15"/>
  <c r="AI496" i="15"/>
  <c r="AJ496" i="15" s="1"/>
  <c r="AK496" i="15" s="1"/>
  <c r="L472" i="15"/>
  <c r="AI472" i="15"/>
  <c r="AJ472" i="15" s="1"/>
  <c r="AK472" i="15" s="1"/>
  <c r="L464" i="15"/>
  <c r="AI464" i="15"/>
  <c r="AJ464" i="15" s="1"/>
  <c r="AK464" i="15" s="1"/>
  <c r="L456" i="15"/>
  <c r="AI456" i="15"/>
  <c r="AJ456" i="15" s="1"/>
  <c r="L448" i="15"/>
  <c r="AI448" i="15"/>
  <c r="AJ448" i="15" s="1"/>
  <c r="AK448" i="15" s="1"/>
  <c r="L344" i="15"/>
  <c r="AI344" i="15"/>
  <c r="AJ344" i="15" s="1"/>
  <c r="AK344" i="15" s="1"/>
  <c r="AK155" i="15"/>
  <c r="L1133" i="1"/>
  <c r="BD1133" i="1"/>
  <c r="BE1133" i="1" s="1"/>
  <c r="BF1133" i="1" s="1"/>
  <c r="L1125" i="1"/>
  <c r="BD1125" i="1"/>
  <c r="BE1125" i="1" s="1"/>
  <c r="BF1125" i="1" s="1"/>
  <c r="L1093" i="1"/>
  <c r="BD1093" i="1"/>
  <c r="BE1093" i="1" s="1"/>
  <c r="BF1093" i="1" s="1"/>
  <c r="L1068" i="1"/>
  <c r="BD1068" i="1"/>
  <c r="BE1068" i="1" s="1"/>
  <c r="BF1068" i="1" s="1"/>
  <c r="L1052" i="1"/>
  <c r="BD1052" i="1"/>
  <c r="BE1052" i="1" s="1"/>
  <c r="BF1052" i="1" s="1"/>
  <c r="L1044" i="1"/>
  <c r="BD1044" i="1"/>
  <c r="BE1044" i="1" s="1"/>
  <c r="BF1044" i="1" s="1"/>
  <c r="L1028" i="1"/>
  <c r="BD1028" i="1"/>
  <c r="BE1028" i="1" s="1"/>
  <c r="BF1028" i="1" s="1"/>
  <c r="L1020" i="1"/>
  <c r="BD1020" i="1"/>
  <c r="BE1020" i="1" s="1"/>
  <c r="BF1020" i="1" s="1"/>
  <c r="L996" i="1"/>
  <c r="BD996" i="1"/>
  <c r="BE996" i="1" s="1"/>
  <c r="BF996" i="1" s="1"/>
  <c r="L980" i="1"/>
  <c r="BD980" i="1"/>
  <c r="BE980" i="1" s="1"/>
  <c r="BF980" i="1" s="1"/>
  <c r="L972" i="1"/>
  <c r="BD972" i="1"/>
  <c r="BE972" i="1" s="1"/>
  <c r="BF972" i="1" s="1"/>
  <c r="L964" i="1"/>
  <c r="BD964" i="1"/>
  <c r="BE964" i="1" s="1"/>
  <c r="BF964" i="1" s="1"/>
  <c r="L948" i="1"/>
  <c r="BD948" i="1"/>
  <c r="BE948" i="1" s="1"/>
  <c r="BF948" i="1" s="1"/>
  <c r="L932" i="1"/>
  <c r="BD932" i="1"/>
  <c r="BE932" i="1" s="1"/>
  <c r="BF932" i="1" s="1"/>
  <c r="L924" i="1"/>
  <c r="BD924" i="1"/>
  <c r="BE924" i="1" s="1"/>
  <c r="BF924" i="1" s="1"/>
  <c r="L916" i="1"/>
  <c r="BD916" i="1"/>
  <c r="BE916" i="1" s="1"/>
  <c r="BF916" i="1" s="1"/>
  <c r="L900" i="1"/>
  <c r="BD900" i="1"/>
  <c r="BE900" i="1" s="1"/>
  <c r="BF900" i="1" s="1"/>
  <c r="L892" i="1"/>
  <c r="BD892" i="1"/>
  <c r="BE892" i="1" s="1"/>
  <c r="BF892" i="1" s="1"/>
  <c r="L884" i="1"/>
  <c r="BD884" i="1"/>
  <c r="BE884" i="1" s="1"/>
  <c r="BF884" i="1" s="1"/>
  <c r="L876" i="1"/>
  <c r="BD876" i="1"/>
  <c r="BE876" i="1" s="1"/>
  <c r="BF876" i="1" s="1"/>
  <c r="L868" i="1"/>
  <c r="BD868" i="1"/>
  <c r="BE868" i="1" s="1"/>
  <c r="BF868" i="1" s="1"/>
  <c r="L860" i="1"/>
  <c r="BD860" i="1"/>
  <c r="BE860" i="1" s="1"/>
  <c r="BF860" i="1" s="1"/>
  <c r="L852" i="1"/>
  <c r="BD852" i="1"/>
  <c r="BE852" i="1" s="1"/>
  <c r="BF852" i="1" s="1"/>
  <c r="L844" i="1"/>
  <c r="BD844" i="1"/>
  <c r="BE844" i="1" s="1"/>
  <c r="BF844" i="1" s="1"/>
  <c r="L836" i="1"/>
  <c r="BD836" i="1"/>
  <c r="BE836" i="1" s="1"/>
  <c r="BF836" i="1" s="1"/>
  <c r="L828" i="1"/>
  <c r="BD828" i="1"/>
  <c r="BE828" i="1" s="1"/>
  <c r="BF828" i="1" s="1"/>
  <c r="L820" i="1"/>
  <c r="BD820" i="1"/>
  <c r="BE820" i="1" s="1"/>
  <c r="BF820" i="1" s="1"/>
  <c r="L812" i="1"/>
  <c r="BD812" i="1"/>
  <c r="BE812" i="1" s="1"/>
  <c r="BF812" i="1" s="1"/>
  <c r="L804" i="1"/>
  <c r="BD804" i="1"/>
  <c r="BE804" i="1" s="1"/>
  <c r="BF804" i="1" s="1"/>
  <c r="L796" i="1"/>
  <c r="BD796" i="1"/>
  <c r="BE796" i="1" s="1"/>
  <c r="BF796" i="1" s="1"/>
  <c r="L788" i="1"/>
  <c r="BD788" i="1"/>
  <c r="BE788" i="1" s="1"/>
  <c r="BF788" i="1" s="1"/>
  <c r="L780" i="1"/>
  <c r="BD780" i="1"/>
  <c r="BE780" i="1" s="1"/>
  <c r="BF780" i="1" s="1"/>
  <c r="L772" i="1"/>
  <c r="BD772" i="1"/>
  <c r="BE772" i="1" s="1"/>
  <c r="BF772" i="1" s="1"/>
  <c r="L764" i="1"/>
  <c r="BD764" i="1"/>
  <c r="BE764" i="1" s="1"/>
  <c r="BF764" i="1" s="1"/>
  <c r="L756" i="1"/>
  <c r="BD756" i="1"/>
  <c r="BE756" i="1" s="1"/>
  <c r="BF756" i="1" s="1"/>
  <c r="L748" i="1"/>
  <c r="BD748" i="1"/>
  <c r="BE748" i="1" s="1"/>
  <c r="BF748" i="1" s="1"/>
  <c r="L740" i="1"/>
  <c r="BD740" i="1"/>
  <c r="BE740" i="1" s="1"/>
  <c r="BF740" i="1" s="1"/>
  <c r="L732" i="1"/>
  <c r="BD732" i="1"/>
  <c r="BE732" i="1" s="1"/>
  <c r="BF732" i="1" s="1"/>
  <c r="L724" i="1"/>
  <c r="BD724" i="1"/>
  <c r="BE724" i="1" s="1"/>
  <c r="BF724" i="1" s="1"/>
  <c r="L716" i="1"/>
  <c r="BD716" i="1"/>
  <c r="BE716" i="1" s="1"/>
  <c r="BF716" i="1" s="1"/>
  <c r="L708" i="1"/>
  <c r="BD708" i="1"/>
  <c r="BE708" i="1" s="1"/>
  <c r="BF708" i="1" s="1"/>
  <c r="L700" i="1"/>
  <c r="BD700" i="1"/>
  <c r="BE700" i="1" s="1"/>
  <c r="BF700" i="1" s="1"/>
  <c r="L692" i="1"/>
  <c r="BD692" i="1"/>
  <c r="BE692" i="1" s="1"/>
  <c r="BF692" i="1" s="1"/>
  <c r="L676" i="1"/>
  <c r="BD676" i="1"/>
  <c r="BE676" i="1" s="1"/>
  <c r="BF676" i="1" s="1"/>
  <c r="L668" i="1"/>
  <c r="BD668" i="1"/>
  <c r="BE668" i="1" s="1"/>
  <c r="BF668" i="1" s="1"/>
  <c r="L644" i="1"/>
  <c r="BD644" i="1"/>
  <c r="BE644" i="1" s="1"/>
  <c r="BF644" i="1" s="1"/>
  <c r="L636" i="1"/>
  <c r="BD636" i="1"/>
  <c r="BE636" i="1" s="1"/>
  <c r="BF636" i="1" s="1"/>
  <c r="L628" i="1"/>
  <c r="BD628" i="1"/>
  <c r="BE628" i="1" s="1"/>
  <c r="BF628" i="1" s="1"/>
  <c r="L604" i="1"/>
  <c r="BD604" i="1"/>
  <c r="BE604" i="1" s="1"/>
  <c r="BF604" i="1" s="1"/>
  <c r="L596" i="1"/>
  <c r="BD596" i="1"/>
  <c r="BE596" i="1" s="1"/>
  <c r="BF596" i="1" s="1"/>
  <c r="L588" i="1"/>
  <c r="BD588" i="1"/>
  <c r="BE588" i="1" s="1"/>
  <c r="BF588" i="1" s="1"/>
  <c r="L580" i="1"/>
  <c r="BD580" i="1"/>
  <c r="BE580" i="1" s="1"/>
  <c r="BF580" i="1" s="1"/>
  <c r="L572" i="1"/>
  <c r="BD572" i="1"/>
  <c r="BE572" i="1" s="1"/>
  <c r="BF572" i="1" s="1"/>
  <c r="L556" i="1"/>
  <c r="BE556" i="1"/>
  <c r="BF556" i="1" s="1"/>
  <c r="L548" i="1"/>
  <c r="BD548" i="1"/>
  <c r="BE548" i="1" s="1"/>
  <c r="BF548" i="1" s="1"/>
  <c r="L540" i="1"/>
  <c r="BD540" i="1"/>
  <c r="BE540" i="1" s="1"/>
  <c r="BF540" i="1" s="1"/>
  <c r="L532" i="1"/>
  <c r="BD532" i="1"/>
  <c r="BE532" i="1" s="1"/>
  <c r="BF532" i="1" s="1"/>
  <c r="L524" i="1"/>
  <c r="BD524" i="1"/>
  <c r="BE524" i="1" s="1"/>
  <c r="BF524" i="1" s="1"/>
  <c r="L508" i="1"/>
  <c r="BD508" i="1"/>
  <c r="BE508" i="1" s="1"/>
  <c r="BF508" i="1" s="1"/>
  <c r="L500" i="1"/>
  <c r="BD500" i="1"/>
  <c r="BE500" i="1" s="1"/>
  <c r="BF500" i="1" s="1"/>
  <c r="L484" i="1"/>
  <c r="BD484" i="1"/>
  <c r="BE484" i="1" s="1"/>
  <c r="BF484" i="1" s="1"/>
  <c r="L476" i="1"/>
  <c r="BD476" i="1"/>
  <c r="BE476" i="1" s="1"/>
  <c r="BF476" i="1" s="1"/>
  <c r="L468" i="1"/>
  <c r="BD468" i="1"/>
  <c r="BE468" i="1" s="1"/>
  <c r="BF468" i="1" s="1"/>
  <c r="L460" i="1"/>
  <c r="BD460" i="1"/>
  <c r="BE460" i="1" s="1"/>
  <c r="BF460" i="1" s="1"/>
  <c r="L452" i="1"/>
  <c r="BD452" i="1"/>
  <c r="BE452" i="1" s="1"/>
  <c r="BF452" i="1" s="1"/>
  <c r="L444" i="1"/>
  <c r="BD444" i="1"/>
  <c r="BE444" i="1" s="1"/>
  <c r="BF444" i="1" s="1"/>
  <c r="L412" i="1"/>
  <c r="BD412" i="1"/>
  <c r="BE412" i="1" s="1"/>
  <c r="BF412" i="1" s="1"/>
  <c r="L404" i="1"/>
  <c r="BD404" i="1"/>
  <c r="BE404" i="1" s="1"/>
  <c r="BF404" i="1" s="1"/>
  <c r="L396" i="1"/>
  <c r="BD396" i="1"/>
  <c r="BE396" i="1" s="1"/>
  <c r="BF396" i="1" s="1"/>
  <c r="L388" i="1"/>
  <c r="BD388" i="1"/>
  <c r="BE388" i="1" s="1"/>
  <c r="BF388" i="1" s="1"/>
  <c r="L380" i="1"/>
  <c r="BD380" i="1"/>
  <c r="BE380" i="1" s="1"/>
  <c r="BF380" i="1" s="1"/>
  <c r="L372" i="1"/>
  <c r="BD372" i="1"/>
  <c r="BE372" i="1" s="1"/>
  <c r="BF372" i="1" s="1"/>
  <c r="L364" i="1"/>
  <c r="BD364" i="1"/>
  <c r="BE364" i="1" s="1"/>
  <c r="BF364" i="1" s="1"/>
  <c r="L356" i="1"/>
  <c r="BD356" i="1"/>
  <c r="BE356" i="1" s="1"/>
  <c r="BF356" i="1" s="1"/>
  <c r="L348" i="1"/>
  <c r="BD348" i="1"/>
  <c r="BE348" i="1" s="1"/>
  <c r="BF348" i="1" s="1"/>
  <c r="L340" i="1"/>
  <c r="BD340" i="1"/>
  <c r="BE340" i="1" s="1"/>
  <c r="BF340" i="1" s="1"/>
  <c r="L332" i="1"/>
  <c r="BD332" i="1"/>
  <c r="BE332" i="1" s="1"/>
  <c r="BF332" i="1" s="1"/>
  <c r="L324" i="1"/>
  <c r="BD324" i="1"/>
  <c r="BE324" i="1" s="1"/>
  <c r="BF324" i="1" s="1"/>
  <c r="L308" i="1"/>
  <c r="BD308" i="1"/>
  <c r="BE308" i="1" s="1"/>
  <c r="BF308" i="1" s="1"/>
  <c r="L300" i="1"/>
  <c r="BD300" i="1"/>
  <c r="BE300" i="1" s="1"/>
  <c r="BF300" i="1" s="1"/>
  <c r="L292" i="1"/>
  <c r="BD292" i="1"/>
  <c r="BE292" i="1" s="1"/>
  <c r="BF292" i="1" s="1"/>
  <c r="L284" i="1"/>
  <c r="BD284" i="1"/>
  <c r="BE284" i="1" s="1"/>
  <c r="BF284" i="1" s="1"/>
  <c r="L276" i="1"/>
  <c r="BD276" i="1"/>
  <c r="BE276" i="1" s="1"/>
  <c r="BF276" i="1" s="1"/>
  <c r="L268" i="1"/>
  <c r="BD268" i="1"/>
  <c r="BE268" i="1" s="1"/>
  <c r="BF268" i="1" s="1"/>
  <c r="L260" i="1"/>
  <c r="BD260" i="1"/>
  <c r="BE260" i="1" s="1"/>
  <c r="BF260" i="1" s="1"/>
  <c r="L252" i="1"/>
  <c r="BD252" i="1"/>
  <c r="BE252" i="1" s="1"/>
  <c r="BF252" i="1" s="1"/>
  <c r="L244" i="1"/>
  <c r="BD244" i="1"/>
  <c r="L236" i="1"/>
  <c r="BD236" i="1"/>
  <c r="BE236" i="1" s="1"/>
  <c r="BF236" i="1" s="1"/>
  <c r="L204" i="1"/>
  <c r="BD204" i="1"/>
  <c r="BE204" i="1" s="1"/>
  <c r="BF204" i="1" s="1"/>
  <c r="L180" i="1"/>
  <c r="BD180" i="1"/>
  <c r="BE180" i="1" s="1"/>
  <c r="BF180" i="1" s="1"/>
  <c r="L156" i="1"/>
  <c r="BD156" i="1"/>
  <c r="BE156" i="1" s="1"/>
  <c r="BF156" i="1" s="1"/>
  <c r="L148" i="1"/>
  <c r="BD148" i="1"/>
  <c r="BE148" i="1" s="1"/>
  <c r="BF148" i="1" s="1"/>
  <c r="L140" i="1"/>
  <c r="BD140" i="1"/>
  <c r="BE140" i="1" s="1"/>
  <c r="BF140" i="1" s="1"/>
  <c r="L124" i="1"/>
  <c r="BD124" i="1"/>
  <c r="BE124" i="1" s="1"/>
  <c r="BF124" i="1" s="1"/>
  <c r="L116" i="1"/>
  <c r="BD116" i="1"/>
  <c r="BE116" i="1" s="1"/>
  <c r="BF116" i="1" s="1"/>
  <c r="L108" i="1"/>
  <c r="BE108" i="1"/>
  <c r="BF108" i="1" s="1"/>
  <c r="L100" i="1"/>
  <c r="BD100" i="1"/>
  <c r="BE100" i="1" s="1"/>
  <c r="BF100" i="1" s="1"/>
  <c r="L76" i="1"/>
  <c r="L44" i="1"/>
  <c r="L36" i="1"/>
  <c r="L938" i="15"/>
  <c r="AI938" i="15"/>
  <c r="AJ938" i="15" s="1"/>
  <c r="AK938" i="15" s="1"/>
  <c r="L895" i="15"/>
  <c r="AI895" i="15"/>
  <c r="AJ895" i="15" s="1"/>
  <c r="AK895" i="15" s="1"/>
  <c r="L853" i="15"/>
  <c r="AI853" i="15"/>
  <c r="AJ853" i="15" s="1"/>
  <c r="AK853" i="15" s="1"/>
  <c r="L706" i="15"/>
  <c r="AI706" i="15"/>
  <c r="AJ706" i="15" s="1"/>
  <c r="AK706" i="15" s="1"/>
  <c r="L578" i="15"/>
  <c r="AI578" i="15"/>
  <c r="AJ578" i="15" s="1"/>
  <c r="AK578" i="15" s="1"/>
  <c r="L553" i="15"/>
  <c r="AI553" i="15"/>
  <c r="AJ553" i="15" s="1"/>
  <c r="AK553" i="15" s="1"/>
  <c r="L1144" i="1"/>
  <c r="L1128" i="1"/>
  <c r="BD1128" i="1"/>
  <c r="BE1128" i="1" s="1"/>
  <c r="BF1128" i="1" s="1"/>
  <c r="L1087" i="1"/>
  <c r="BD1087" i="1"/>
  <c r="BE1087" i="1" s="1"/>
  <c r="BF1087" i="1" s="1"/>
  <c r="L1063" i="1"/>
  <c r="BD1063" i="1"/>
  <c r="BE1063" i="1" s="1"/>
  <c r="BF1063" i="1" s="1"/>
  <c r="L983" i="1"/>
  <c r="BD983" i="1"/>
  <c r="BE983" i="1" s="1"/>
  <c r="BF983" i="1" s="1"/>
  <c r="L951" i="1"/>
  <c r="BD951" i="1"/>
  <c r="BE951" i="1" s="1"/>
  <c r="BF951" i="1" s="1"/>
  <c r="L911" i="1"/>
  <c r="BD911" i="1"/>
  <c r="BE911" i="1" s="1"/>
  <c r="BF911" i="1" s="1"/>
  <c r="L879" i="1"/>
  <c r="BD879" i="1"/>
  <c r="BE879" i="1" s="1"/>
  <c r="BF879" i="1" s="1"/>
  <c r="L847" i="1"/>
  <c r="BD847" i="1"/>
  <c r="BE847" i="1" s="1"/>
  <c r="BF847" i="1" s="1"/>
  <c r="L815" i="1"/>
  <c r="BD815" i="1"/>
  <c r="BE815" i="1" s="1"/>
  <c r="BF815" i="1" s="1"/>
  <c r="L791" i="1"/>
  <c r="BD791" i="1"/>
  <c r="BE791" i="1" s="1"/>
  <c r="BF791" i="1" s="1"/>
  <c r="L759" i="1"/>
  <c r="BD759" i="1"/>
  <c r="BE759" i="1" s="1"/>
  <c r="BF759" i="1" s="1"/>
  <c r="L719" i="1"/>
  <c r="BD719" i="1"/>
  <c r="BE719" i="1" s="1"/>
  <c r="BF719" i="1" s="1"/>
  <c r="L679" i="1"/>
  <c r="BD679" i="1"/>
  <c r="BE679" i="1" s="1"/>
  <c r="BF679" i="1" s="1"/>
  <c r="L639" i="1"/>
  <c r="BD639" i="1"/>
  <c r="BE639" i="1" s="1"/>
  <c r="BF639" i="1" s="1"/>
  <c r="L591" i="1"/>
  <c r="BD591" i="1"/>
  <c r="BE591" i="1" s="1"/>
  <c r="BF591" i="1" s="1"/>
  <c r="L535" i="1"/>
  <c r="BD535" i="1"/>
  <c r="BE535" i="1" s="1"/>
  <c r="BF535" i="1" s="1"/>
  <c r="L519" i="1"/>
  <c r="BD519" i="1"/>
  <c r="BE519" i="1" s="1"/>
  <c r="BF519" i="1" s="1"/>
  <c r="L479" i="1"/>
  <c r="BD479" i="1"/>
  <c r="BE479" i="1" s="1"/>
  <c r="BF479" i="1" s="1"/>
  <c r="L463" i="1"/>
  <c r="BD463" i="1"/>
  <c r="BE463" i="1" s="1"/>
  <c r="BF463" i="1" s="1"/>
  <c r="L455" i="1"/>
  <c r="BD455" i="1"/>
  <c r="BE455" i="1" s="1"/>
  <c r="BF455" i="1" s="1"/>
  <c r="L423" i="1"/>
  <c r="BD423" i="1"/>
  <c r="BE423" i="1" s="1"/>
  <c r="BF423" i="1" s="1"/>
  <c r="L367" i="1"/>
  <c r="BD367" i="1"/>
  <c r="BE367" i="1" s="1"/>
  <c r="BF367" i="1" s="1"/>
  <c r="L343" i="1"/>
  <c r="BD343" i="1"/>
  <c r="BE343" i="1" s="1"/>
  <c r="BF343" i="1" s="1"/>
  <c r="L319" i="1"/>
  <c r="BD319" i="1"/>
  <c r="BE319" i="1" s="1"/>
  <c r="BF319" i="1" s="1"/>
  <c r="L287" i="1"/>
  <c r="BD287" i="1"/>
  <c r="BE287" i="1" s="1"/>
  <c r="BF287" i="1" s="1"/>
  <c r="L247" i="1"/>
  <c r="BD247" i="1"/>
  <c r="BE247" i="1" s="1"/>
  <c r="BF247" i="1" s="1"/>
  <c r="L231" i="1"/>
  <c r="BE231" i="1"/>
  <c r="BF231" i="1" s="1"/>
  <c r="L223" i="1"/>
  <c r="BD223" i="1"/>
  <c r="BE223" i="1" s="1"/>
  <c r="BF223" i="1" s="1"/>
  <c r="L191" i="1"/>
  <c r="BD191" i="1"/>
  <c r="BE191" i="1" s="1"/>
  <c r="BF191" i="1" s="1"/>
  <c r="L103" i="1"/>
  <c r="BD103" i="1"/>
  <c r="BE103" i="1" s="1"/>
  <c r="BF103" i="1" s="1"/>
  <c r="L912" i="15"/>
  <c r="AI912" i="15"/>
  <c r="AJ912" i="15" s="1"/>
  <c r="AK912" i="15" s="1"/>
  <c r="L832" i="15"/>
  <c r="AI832" i="15"/>
  <c r="AJ832" i="15" s="1"/>
  <c r="AK832" i="15" s="1"/>
  <c r="L791" i="15"/>
  <c r="AI791" i="15"/>
  <c r="AJ791" i="15" s="1"/>
  <c r="AK791" i="15" s="1"/>
  <c r="L714" i="15"/>
  <c r="AI714" i="15"/>
  <c r="AJ714" i="15" s="1"/>
  <c r="AK714" i="15" s="1"/>
  <c r="L640" i="15"/>
  <c r="AI640" i="15"/>
  <c r="AJ640" i="15" s="1"/>
  <c r="AK640" i="15" s="1"/>
  <c r="L560" i="15"/>
  <c r="AI560" i="15"/>
  <c r="AJ560" i="15" s="1"/>
  <c r="AK560" i="15" s="1"/>
  <c r="L537" i="15"/>
  <c r="AI537" i="15"/>
  <c r="AJ537" i="15" s="1"/>
  <c r="AK537" i="15" s="1"/>
  <c r="L520" i="15"/>
  <c r="AI520" i="15"/>
  <c r="AJ520" i="15" s="1"/>
  <c r="AK520" i="15" s="1"/>
  <c r="L1143" i="1"/>
  <c r="L1086" i="1"/>
  <c r="BD1086" i="1"/>
  <c r="BE1086" i="1" s="1"/>
  <c r="BF1086" i="1" s="1"/>
  <c r="L1054" i="1"/>
  <c r="BD1054" i="1"/>
  <c r="BE1054" i="1" s="1"/>
  <c r="BF1054" i="1" s="1"/>
  <c r="L1022" i="1"/>
  <c r="BD1022" i="1"/>
  <c r="BE1022" i="1" s="1"/>
  <c r="BF1022" i="1" s="1"/>
  <c r="L934" i="1"/>
  <c r="BD934" i="1"/>
  <c r="BE934" i="1" s="1"/>
  <c r="BF934" i="1" s="1"/>
  <c r="L902" i="1"/>
  <c r="BD902" i="1"/>
  <c r="BE902" i="1" s="1"/>
  <c r="BF902" i="1" s="1"/>
  <c r="L878" i="1"/>
  <c r="BD878" i="1"/>
  <c r="BE878" i="1" s="1"/>
  <c r="BF878" i="1" s="1"/>
  <c r="L846" i="1"/>
  <c r="BD846" i="1"/>
  <c r="BE846" i="1" s="1"/>
  <c r="BF846" i="1" s="1"/>
  <c r="L822" i="1"/>
  <c r="BD822" i="1"/>
  <c r="BE822" i="1" s="1"/>
  <c r="BF822" i="1" s="1"/>
  <c r="L774" i="1"/>
  <c r="BD774" i="1"/>
  <c r="BE774" i="1" s="1"/>
  <c r="BF774" i="1" s="1"/>
  <c r="L734" i="1"/>
  <c r="BD734" i="1"/>
  <c r="BE734" i="1" s="1"/>
  <c r="BF734" i="1" s="1"/>
  <c r="L702" i="1"/>
  <c r="BD702" i="1"/>
  <c r="BE702" i="1" s="1"/>
  <c r="BF702" i="1" s="1"/>
  <c r="L646" i="1"/>
  <c r="BD646" i="1"/>
  <c r="BE646" i="1" s="1"/>
  <c r="BF646" i="1" s="1"/>
  <c r="L518" i="1"/>
  <c r="BD518" i="1"/>
  <c r="BE518" i="1" s="1"/>
  <c r="BF518" i="1" s="1"/>
  <c r="L406" i="1"/>
  <c r="BD406" i="1"/>
  <c r="BE406" i="1" s="1"/>
  <c r="BF406" i="1" s="1"/>
  <c r="L374" i="1"/>
  <c r="BD374" i="1"/>
  <c r="BE374" i="1" s="1"/>
  <c r="BF374" i="1" s="1"/>
  <c r="L342" i="1"/>
  <c r="BD342" i="1"/>
  <c r="BE342" i="1" s="1"/>
  <c r="BF342" i="1" s="1"/>
  <c r="L302" i="1"/>
  <c r="BD302" i="1"/>
  <c r="BE302" i="1" s="1"/>
  <c r="BF302" i="1" s="1"/>
  <c r="L254" i="1"/>
  <c r="BD254" i="1"/>
  <c r="BE254" i="1" s="1"/>
  <c r="BF254" i="1" s="1"/>
  <c r="L222" i="1"/>
  <c r="BD222" i="1"/>
  <c r="BE222" i="1" s="1"/>
  <c r="BF222" i="1" s="1"/>
  <c r="L936" i="15"/>
  <c r="AI936" i="15"/>
  <c r="AJ936" i="15" s="1"/>
  <c r="AK936" i="15" s="1"/>
  <c r="L901" i="15"/>
  <c r="AI901" i="15"/>
  <c r="AJ901" i="15" s="1"/>
  <c r="AK901" i="15" s="1"/>
  <c r="L851" i="15"/>
  <c r="AI851" i="15"/>
  <c r="AJ851" i="15" s="1"/>
  <c r="AK851" i="15" s="1"/>
  <c r="L821" i="15"/>
  <c r="AI821" i="15"/>
  <c r="AJ821" i="15" s="1"/>
  <c r="AK821" i="15" s="1"/>
  <c r="L790" i="15"/>
  <c r="AI790" i="15"/>
  <c r="AJ790" i="15" s="1"/>
  <c r="AK790" i="15" s="1"/>
  <c r="L782" i="15"/>
  <c r="AI782" i="15"/>
  <c r="AJ782" i="15" s="1"/>
  <c r="AK782" i="15" s="1"/>
  <c r="L764" i="15"/>
  <c r="AI764" i="15"/>
  <c r="AJ764" i="15" s="1"/>
  <c r="AK764" i="15" s="1"/>
  <c r="L730" i="15"/>
  <c r="AI730" i="15"/>
  <c r="AJ730" i="15" s="1"/>
  <c r="AK730" i="15" s="1"/>
  <c r="L658" i="15"/>
  <c r="AI658" i="15"/>
  <c r="AJ658" i="15" s="1"/>
  <c r="AK658" i="15" s="1"/>
  <c r="L336" i="15"/>
  <c r="AI336" i="15"/>
  <c r="AJ336" i="15" s="1"/>
  <c r="AK336" i="15" s="1"/>
  <c r="AK178" i="15"/>
  <c r="L942" i="15"/>
  <c r="AI942" i="15"/>
  <c r="AJ942" i="15" s="1"/>
  <c r="AK942" i="15" s="1"/>
  <c r="L919" i="15"/>
  <c r="L890" i="15"/>
  <c r="AI890" i="15"/>
  <c r="AJ890" i="15" s="1"/>
  <c r="AK890" i="15" s="1"/>
  <c r="L859" i="15"/>
  <c r="AI859" i="15"/>
  <c r="AJ859" i="15" s="1"/>
  <c r="L828" i="15"/>
  <c r="AI828" i="15"/>
  <c r="AJ828" i="15" s="1"/>
  <c r="AK828" i="15" s="1"/>
  <c r="L754" i="15"/>
  <c r="AI754" i="15"/>
  <c r="AJ754" i="15" s="1"/>
  <c r="AK754" i="15" s="1"/>
  <c r="L610" i="15"/>
  <c r="AI610" i="15"/>
  <c r="AJ610" i="15" s="1"/>
  <c r="AK610" i="15" s="1"/>
  <c r="L392" i="15"/>
  <c r="AI392" i="15"/>
  <c r="AJ392" i="15" s="1"/>
  <c r="AK392" i="15" s="1"/>
  <c r="L1140" i="1"/>
  <c r="BF1140" i="1"/>
  <c r="L1092" i="1"/>
  <c r="BD1092" i="1"/>
  <c r="BE1092" i="1" s="1"/>
  <c r="BF1092" i="1" s="1"/>
  <c r="L1043" i="1"/>
  <c r="BD1043" i="1"/>
  <c r="BE1043" i="1" s="1"/>
  <c r="BF1043" i="1" s="1"/>
  <c r="L963" i="1"/>
  <c r="BD963" i="1"/>
  <c r="BE963" i="1" s="1"/>
  <c r="BF963" i="1" s="1"/>
  <c r="L939" i="1"/>
  <c r="BD939" i="1"/>
  <c r="BE939" i="1" s="1"/>
  <c r="BF939" i="1" s="1"/>
  <c r="L931" i="1"/>
  <c r="BD931" i="1"/>
  <c r="BE931" i="1" s="1"/>
  <c r="BF931" i="1" s="1"/>
  <c r="L899" i="1"/>
  <c r="BD899" i="1"/>
  <c r="BE899" i="1" s="1"/>
  <c r="BF899" i="1" s="1"/>
  <c r="L867" i="1"/>
  <c r="BD867" i="1"/>
  <c r="BE867" i="1" s="1"/>
  <c r="BF867" i="1" s="1"/>
  <c r="L843" i="1"/>
  <c r="BD843" i="1"/>
  <c r="BE843" i="1" s="1"/>
  <c r="BF843" i="1" s="1"/>
  <c r="L811" i="1"/>
  <c r="BD811" i="1"/>
  <c r="BE811" i="1" s="1"/>
  <c r="BF811" i="1" s="1"/>
  <c r="L787" i="1"/>
  <c r="BD787" i="1"/>
  <c r="BE787" i="1" s="1"/>
  <c r="BF787" i="1" s="1"/>
  <c r="L763" i="1"/>
  <c r="BD763" i="1"/>
  <c r="BE763" i="1" s="1"/>
  <c r="BF763" i="1" s="1"/>
  <c r="L739" i="1"/>
  <c r="BD739" i="1"/>
  <c r="BE739" i="1" s="1"/>
  <c r="BF739" i="1" s="1"/>
  <c r="L715" i="1"/>
  <c r="BD715" i="1"/>
  <c r="BE715" i="1" s="1"/>
  <c r="BF715" i="1" s="1"/>
  <c r="L707" i="1"/>
  <c r="BD707" i="1"/>
  <c r="BE707" i="1" s="1"/>
  <c r="BF707" i="1" s="1"/>
  <c r="L667" i="1"/>
  <c r="BD667" i="1"/>
  <c r="BE667" i="1" s="1"/>
  <c r="BF667" i="1" s="1"/>
  <c r="L643" i="1"/>
  <c r="BD643" i="1"/>
  <c r="BE643" i="1" s="1"/>
  <c r="BF643" i="1" s="1"/>
  <c r="L627" i="1"/>
  <c r="BD627" i="1"/>
  <c r="BE627" i="1" s="1"/>
  <c r="BF627" i="1" s="1"/>
  <c r="L579" i="1"/>
  <c r="BD579" i="1"/>
  <c r="BE579" i="1" s="1"/>
  <c r="BF579" i="1" s="1"/>
  <c r="L555" i="1"/>
  <c r="BE555" i="1"/>
  <c r="BF555" i="1" s="1"/>
  <c r="L539" i="1"/>
  <c r="BD539" i="1"/>
  <c r="BE539" i="1" s="1"/>
  <c r="BF539" i="1" s="1"/>
  <c r="L507" i="1"/>
  <c r="BD507" i="1"/>
  <c r="BE507" i="1" s="1"/>
  <c r="BF507" i="1" s="1"/>
  <c r="L419" i="1"/>
  <c r="BD419" i="1"/>
  <c r="BE419" i="1" s="1"/>
  <c r="BF419" i="1" s="1"/>
  <c r="L387" i="1"/>
  <c r="BD387" i="1"/>
  <c r="BE387" i="1" s="1"/>
  <c r="BF387" i="1" s="1"/>
  <c r="L363" i="1"/>
  <c r="BD363" i="1"/>
  <c r="BE363" i="1" s="1"/>
  <c r="BF363" i="1" s="1"/>
  <c r="L339" i="1"/>
  <c r="BD339" i="1"/>
  <c r="BE339" i="1" s="1"/>
  <c r="BF339" i="1" s="1"/>
  <c r="L315" i="1"/>
  <c r="BD315" i="1"/>
  <c r="BE315" i="1" s="1"/>
  <c r="BF315" i="1" s="1"/>
  <c r="L291" i="1"/>
  <c r="BD291" i="1"/>
  <c r="BE291" i="1" s="1"/>
  <c r="BF291" i="1" s="1"/>
  <c r="L251" i="1"/>
  <c r="BE251" i="1"/>
  <c r="BF251" i="1" s="1"/>
  <c r="L179" i="1"/>
  <c r="BD179" i="1"/>
  <c r="BE179" i="1" s="1"/>
  <c r="BF179" i="1" s="1"/>
  <c r="L107" i="1"/>
  <c r="BD107" i="1"/>
  <c r="BE107" i="1" s="1"/>
  <c r="BF107" i="1" s="1"/>
  <c r="L75" i="1"/>
  <c r="L51" i="1"/>
  <c r="L908" i="15"/>
  <c r="AI908" i="15"/>
  <c r="AJ908" i="15" s="1"/>
  <c r="AK908" i="15" s="1"/>
  <c r="L870" i="15"/>
  <c r="AI870" i="15"/>
  <c r="AJ870" i="15" s="1"/>
  <c r="AK870" i="15" s="1"/>
  <c r="L837" i="15"/>
  <c r="AI837" i="15"/>
  <c r="AJ837" i="15" s="1"/>
  <c r="AK837" i="15" s="1"/>
  <c r="L827" i="15"/>
  <c r="AI827" i="15"/>
  <c r="AJ827" i="15" s="1"/>
  <c r="AK827" i="15" s="1"/>
  <c r="L815" i="15"/>
  <c r="AI815" i="15"/>
  <c r="AJ815" i="15" s="1"/>
  <c r="AK815" i="15" s="1"/>
  <c r="L805" i="15"/>
  <c r="AI805" i="15"/>
  <c r="AJ805" i="15" s="1"/>
  <c r="AK805" i="15" s="1"/>
  <c r="L796" i="15"/>
  <c r="AI796" i="15"/>
  <c r="AJ796" i="15" s="1"/>
  <c r="AK796" i="15" s="1"/>
  <c r="L787" i="15"/>
  <c r="AI787" i="15"/>
  <c r="AJ787" i="15" s="1"/>
  <c r="AK787" i="15" s="1"/>
  <c r="L778" i="15"/>
  <c r="AI778" i="15"/>
  <c r="AJ778" i="15" s="1"/>
  <c r="AK778" i="15" s="1"/>
  <c r="L770" i="15"/>
  <c r="AI770" i="15"/>
  <c r="AJ770" i="15" s="1"/>
  <c r="AK770" i="15" s="1"/>
  <c r="L761" i="15"/>
  <c r="AI761" i="15"/>
  <c r="AJ761" i="15" s="1"/>
  <c r="AK761" i="15" s="1"/>
  <c r="L753" i="15"/>
  <c r="AI753" i="15"/>
  <c r="AJ753" i="15" s="1"/>
  <c r="AK753" i="15" s="1"/>
  <c r="L744" i="15"/>
  <c r="AI744" i="15"/>
  <c r="AJ744" i="15" s="1"/>
  <c r="AK744" i="15" s="1"/>
  <c r="L666" i="15"/>
  <c r="AI666" i="15"/>
  <c r="AJ666" i="15" s="1"/>
  <c r="AK666" i="15" s="1"/>
  <c r="L626" i="15"/>
  <c r="AI626" i="15"/>
  <c r="AJ626" i="15" s="1"/>
  <c r="AK626" i="15" s="1"/>
  <c r="L618" i="15"/>
  <c r="AI618" i="15"/>
  <c r="AJ618" i="15" s="1"/>
  <c r="AK618" i="15" s="1"/>
  <c r="L609" i="15"/>
  <c r="AI609" i="15"/>
  <c r="AJ609" i="15" s="1"/>
  <c r="AK609" i="15" s="1"/>
  <c r="L288" i="15"/>
  <c r="AI288" i="15"/>
  <c r="AJ288" i="15" s="1"/>
  <c r="AK288" i="15" s="1"/>
  <c r="AK139" i="15"/>
  <c r="L1139" i="1"/>
  <c r="BD1139" i="1"/>
  <c r="BE1139" i="1" s="1"/>
  <c r="BF1139" i="1" s="1"/>
  <c r="L1131" i="1"/>
  <c r="BD1131" i="1"/>
  <c r="BE1131" i="1" s="1"/>
  <c r="BF1131" i="1" s="1"/>
  <c r="L1107" i="1"/>
  <c r="BD1107" i="1"/>
  <c r="BE1107" i="1" s="1"/>
  <c r="BF1107" i="1" s="1"/>
  <c r="L1091" i="1"/>
  <c r="BD1091" i="1"/>
  <c r="BE1091" i="1" s="1"/>
  <c r="BF1091" i="1" s="1"/>
  <c r="L1082" i="1"/>
  <c r="BD1082" i="1"/>
  <c r="BE1082" i="1" s="1"/>
  <c r="BF1082" i="1" s="1"/>
  <c r="L1066" i="1"/>
  <c r="BD1066" i="1"/>
  <c r="BE1066" i="1" s="1"/>
  <c r="BF1066" i="1" s="1"/>
  <c r="L1058" i="1"/>
  <c r="BD1058" i="1"/>
  <c r="BE1058" i="1" s="1"/>
  <c r="BF1058" i="1" s="1"/>
  <c r="L1050" i="1"/>
  <c r="BD1050" i="1"/>
  <c r="BE1050" i="1" s="1"/>
  <c r="BF1050" i="1" s="1"/>
  <c r="L1042" i="1"/>
  <c r="BD1042" i="1"/>
  <c r="BE1042" i="1" s="1"/>
  <c r="BF1042" i="1" s="1"/>
  <c r="L1026" i="1"/>
  <c r="BD1026" i="1"/>
  <c r="BE1026" i="1" s="1"/>
  <c r="BF1026" i="1" s="1"/>
  <c r="L1018" i="1"/>
  <c r="BD1018" i="1"/>
  <c r="BE1018" i="1" s="1"/>
  <c r="BF1018" i="1" s="1"/>
  <c r="L1002" i="1"/>
  <c r="BD1002" i="1"/>
  <c r="BE1002" i="1" s="1"/>
  <c r="BF1002" i="1" s="1"/>
  <c r="L994" i="1"/>
  <c r="BD994" i="1"/>
  <c r="BE994" i="1" s="1"/>
  <c r="BF994" i="1" s="1"/>
  <c r="L978" i="1"/>
  <c r="BD978" i="1"/>
  <c r="BE978" i="1" s="1"/>
  <c r="BF978" i="1" s="1"/>
  <c r="L970" i="1"/>
  <c r="BD970" i="1"/>
  <c r="BE970" i="1" s="1"/>
  <c r="BF970" i="1" s="1"/>
  <c r="L962" i="1"/>
  <c r="BD962" i="1"/>
  <c r="BE962" i="1" s="1"/>
  <c r="BF962" i="1" s="1"/>
  <c r="L954" i="1"/>
  <c r="BD954" i="1"/>
  <c r="BE954" i="1" s="1"/>
  <c r="BF954" i="1" s="1"/>
  <c r="L946" i="1"/>
  <c r="BD946" i="1"/>
  <c r="BE946" i="1" s="1"/>
  <c r="BF946" i="1" s="1"/>
  <c r="L938" i="1"/>
  <c r="BD938" i="1"/>
  <c r="BE938" i="1" s="1"/>
  <c r="BF938" i="1" s="1"/>
  <c r="L930" i="1"/>
  <c r="BD930" i="1"/>
  <c r="BE930" i="1" s="1"/>
  <c r="BF930" i="1" s="1"/>
  <c r="L922" i="1"/>
  <c r="BD922" i="1"/>
  <c r="BE922" i="1" s="1"/>
  <c r="BF922" i="1" s="1"/>
  <c r="L914" i="1"/>
  <c r="BD914" i="1"/>
  <c r="BE914" i="1" s="1"/>
  <c r="BF914" i="1" s="1"/>
  <c r="L906" i="1"/>
  <c r="BD906" i="1"/>
  <c r="BE906" i="1" s="1"/>
  <c r="BF906" i="1" s="1"/>
  <c r="L890" i="1"/>
  <c r="BD890" i="1"/>
  <c r="BE890" i="1" s="1"/>
  <c r="BF890" i="1" s="1"/>
  <c r="L882" i="1"/>
  <c r="BD882" i="1"/>
  <c r="BE882" i="1" s="1"/>
  <c r="BF882" i="1" s="1"/>
  <c r="L874" i="1"/>
  <c r="BD874" i="1"/>
  <c r="BE874" i="1" s="1"/>
  <c r="BF874" i="1" s="1"/>
  <c r="L866" i="1"/>
  <c r="BD866" i="1"/>
  <c r="BE866" i="1" s="1"/>
  <c r="BF866" i="1" s="1"/>
  <c r="L858" i="1"/>
  <c r="BD858" i="1"/>
  <c r="BE858" i="1" s="1"/>
  <c r="BF858" i="1" s="1"/>
  <c r="L850" i="1"/>
  <c r="BD850" i="1"/>
  <c r="BE850" i="1" s="1"/>
  <c r="BF850" i="1" s="1"/>
  <c r="L842" i="1"/>
  <c r="BD842" i="1"/>
  <c r="BE842" i="1" s="1"/>
  <c r="BF842" i="1" s="1"/>
  <c r="L826" i="1"/>
  <c r="BD826" i="1"/>
  <c r="BE826" i="1" s="1"/>
  <c r="BF826" i="1" s="1"/>
  <c r="L818" i="1"/>
  <c r="BD818" i="1"/>
  <c r="BE818" i="1" s="1"/>
  <c r="BF818" i="1" s="1"/>
  <c r="L810" i="1"/>
  <c r="BD810" i="1"/>
  <c r="BE810" i="1" s="1"/>
  <c r="BF810" i="1" s="1"/>
  <c r="L802" i="1"/>
  <c r="BD802" i="1"/>
  <c r="BE802" i="1" s="1"/>
  <c r="BF802" i="1" s="1"/>
  <c r="L786" i="1"/>
  <c r="BD786" i="1"/>
  <c r="BE786" i="1" s="1"/>
  <c r="BF786" i="1" s="1"/>
  <c r="L778" i="1"/>
  <c r="BD778" i="1"/>
  <c r="BE778" i="1" s="1"/>
  <c r="BF778" i="1" s="1"/>
  <c r="L770" i="1"/>
  <c r="BD770" i="1"/>
  <c r="BE770" i="1" s="1"/>
  <c r="BF770" i="1" s="1"/>
  <c r="L738" i="1"/>
  <c r="BD738" i="1"/>
  <c r="BE738" i="1" s="1"/>
  <c r="BF738" i="1" s="1"/>
  <c r="L722" i="1"/>
  <c r="BD722" i="1"/>
  <c r="BE722" i="1" s="1"/>
  <c r="BF722" i="1" s="1"/>
  <c r="L714" i="1"/>
  <c r="BD714" i="1"/>
  <c r="BE714" i="1" s="1"/>
  <c r="BF714" i="1" s="1"/>
  <c r="L706" i="1"/>
  <c r="BD706" i="1"/>
  <c r="BE706" i="1" s="1"/>
  <c r="BF706" i="1" s="1"/>
  <c r="L698" i="1"/>
  <c r="BD698" i="1"/>
  <c r="BE698" i="1" s="1"/>
  <c r="BF698" i="1" s="1"/>
  <c r="L682" i="1"/>
  <c r="BD682" i="1"/>
  <c r="BE682" i="1" s="1"/>
  <c r="BF682" i="1" s="1"/>
  <c r="L674" i="1"/>
  <c r="BD674" i="1"/>
  <c r="BE674" i="1" s="1"/>
  <c r="BF674" i="1" s="1"/>
  <c r="L666" i="1"/>
  <c r="BD666" i="1"/>
  <c r="BE666" i="1" s="1"/>
  <c r="BF666" i="1" s="1"/>
  <c r="L658" i="1"/>
  <c r="BD658" i="1"/>
  <c r="BE658" i="1" s="1"/>
  <c r="BF658" i="1" s="1"/>
  <c r="L650" i="1"/>
  <c r="BD650" i="1"/>
  <c r="BE650" i="1" s="1"/>
  <c r="BF650" i="1" s="1"/>
  <c r="L642" i="1"/>
  <c r="BD642" i="1"/>
  <c r="BE642" i="1" s="1"/>
  <c r="BF642" i="1" s="1"/>
  <c r="L634" i="1"/>
  <c r="BD634" i="1"/>
  <c r="BE634" i="1" s="1"/>
  <c r="BF634" i="1" s="1"/>
  <c r="L626" i="1"/>
  <c r="BD626" i="1"/>
  <c r="BE626" i="1" s="1"/>
  <c r="BF626" i="1" s="1"/>
  <c r="L610" i="1"/>
  <c r="BD610" i="1"/>
  <c r="BE610" i="1" s="1"/>
  <c r="BF610" i="1" s="1"/>
  <c r="L602" i="1"/>
  <c r="BD602" i="1"/>
  <c r="BE602" i="1" s="1"/>
  <c r="BF602" i="1" s="1"/>
  <c r="L594" i="1"/>
  <c r="BD594" i="1"/>
  <c r="BE594" i="1" s="1"/>
  <c r="BF594" i="1" s="1"/>
  <c r="L562" i="1"/>
  <c r="BD562" i="1"/>
  <c r="BE562" i="1" s="1"/>
  <c r="BF562" i="1" s="1"/>
  <c r="L554" i="1"/>
  <c r="BE554" i="1"/>
  <c r="BF554" i="1" s="1"/>
  <c r="L546" i="1"/>
  <c r="BD546" i="1"/>
  <c r="BE546" i="1" s="1"/>
  <c r="BF546" i="1" s="1"/>
  <c r="L530" i="1"/>
  <c r="BD530" i="1"/>
  <c r="BE530" i="1" s="1"/>
  <c r="BF530" i="1" s="1"/>
  <c r="L522" i="1"/>
  <c r="BD522" i="1"/>
  <c r="BE522" i="1" s="1"/>
  <c r="BF522" i="1" s="1"/>
  <c r="L498" i="1"/>
  <c r="BD498" i="1"/>
  <c r="BE498" i="1" s="1"/>
  <c r="BF498" i="1" s="1"/>
  <c r="L482" i="1"/>
  <c r="BD482" i="1"/>
  <c r="BE482" i="1" s="1"/>
  <c r="BF482" i="1" s="1"/>
  <c r="L474" i="1"/>
  <c r="BD474" i="1"/>
  <c r="BE474" i="1" s="1"/>
  <c r="BF474" i="1" s="1"/>
  <c r="L466" i="1"/>
  <c r="BD466" i="1"/>
  <c r="BE466" i="1" s="1"/>
  <c r="BF466" i="1" s="1"/>
  <c r="L458" i="1"/>
  <c r="BD458" i="1"/>
  <c r="BE458" i="1" s="1"/>
  <c r="BF458" i="1" s="1"/>
  <c r="L450" i="1"/>
  <c r="BD450" i="1"/>
  <c r="BE450" i="1" s="1"/>
  <c r="BF450" i="1" s="1"/>
  <c r="L418" i="1"/>
  <c r="BD418" i="1"/>
  <c r="BE418" i="1" s="1"/>
  <c r="BF418" i="1" s="1"/>
  <c r="L410" i="1"/>
  <c r="BD410" i="1"/>
  <c r="BE410" i="1" s="1"/>
  <c r="BF410" i="1" s="1"/>
  <c r="L402" i="1"/>
  <c r="BD402" i="1"/>
  <c r="BE402" i="1" s="1"/>
  <c r="BF402" i="1" s="1"/>
  <c r="L394" i="1"/>
  <c r="BD394" i="1"/>
  <c r="BE394" i="1" s="1"/>
  <c r="BF394" i="1" s="1"/>
  <c r="L386" i="1"/>
  <c r="BD386" i="1"/>
  <c r="BE386" i="1" s="1"/>
  <c r="BF386" i="1" s="1"/>
  <c r="L378" i="1"/>
  <c r="BD378" i="1"/>
  <c r="BE378" i="1" s="1"/>
  <c r="BF378" i="1" s="1"/>
  <c r="L370" i="1"/>
  <c r="BD370" i="1"/>
  <c r="BE370" i="1" s="1"/>
  <c r="BF370" i="1" s="1"/>
  <c r="L362" i="1"/>
  <c r="BD362" i="1"/>
  <c r="BE362" i="1" s="1"/>
  <c r="BF362" i="1" s="1"/>
  <c r="L354" i="1"/>
  <c r="BD354" i="1"/>
  <c r="BE354" i="1" s="1"/>
  <c r="BF354" i="1" s="1"/>
  <c r="L346" i="1"/>
  <c r="BD346" i="1"/>
  <c r="BE346" i="1" s="1"/>
  <c r="BF346" i="1" s="1"/>
  <c r="L338" i="1"/>
  <c r="BD338" i="1"/>
  <c r="BE338" i="1" s="1"/>
  <c r="BF338" i="1" s="1"/>
  <c r="L330" i="1"/>
  <c r="BD330" i="1"/>
  <c r="BE330" i="1" s="1"/>
  <c r="BF330" i="1" s="1"/>
  <c r="L322" i="1"/>
  <c r="BD322" i="1"/>
  <c r="BE322" i="1" s="1"/>
  <c r="BF322" i="1" s="1"/>
  <c r="L314" i="1"/>
  <c r="BD314" i="1"/>
  <c r="BE314" i="1" s="1"/>
  <c r="BF314" i="1" s="1"/>
  <c r="L306" i="1"/>
  <c r="BD306" i="1"/>
  <c r="BE306" i="1" s="1"/>
  <c r="BF306" i="1" s="1"/>
  <c r="L298" i="1"/>
  <c r="BD298" i="1"/>
  <c r="BE298" i="1" s="1"/>
  <c r="BF298" i="1" s="1"/>
  <c r="L290" i="1"/>
  <c r="BD290" i="1"/>
  <c r="BE290" i="1" s="1"/>
  <c r="BF290" i="1" s="1"/>
  <c r="L282" i="1"/>
  <c r="BD282" i="1"/>
  <c r="BE282" i="1" s="1"/>
  <c r="BF282" i="1" s="1"/>
  <c r="L274" i="1"/>
  <c r="BD274" i="1"/>
  <c r="BE274" i="1" s="1"/>
  <c r="BF274" i="1" s="1"/>
  <c r="L266" i="1"/>
  <c r="BD266" i="1"/>
  <c r="BE266" i="1" s="1"/>
  <c r="BF266" i="1" s="1"/>
  <c r="L258" i="1"/>
  <c r="BD258" i="1"/>
  <c r="BE258" i="1" s="1"/>
  <c r="BF258" i="1" s="1"/>
  <c r="L234" i="1"/>
  <c r="BD234" i="1"/>
  <c r="BE234" i="1" s="1"/>
  <c r="BF234" i="1" s="1"/>
  <c r="L210" i="1"/>
  <c r="BD210" i="1"/>
  <c r="BE210" i="1" s="1"/>
  <c r="BF210" i="1" s="1"/>
  <c r="L202" i="1"/>
  <c r="BD202" i="1"/>
  <c r="BE202" i="1" s="1"/>
  <c r="BF202" i="1" s="1"/>
  <c r="L178" i="1"/>
  <c r="BD178" i="1"/>
  <c r="BE178" i="1" s="1"/>
  <c r="BF178" i="1" s="1"/>
  <c r="L106" i="1"/>
  <c r="BD106" i="1"/>
  <c r="BE106" i="1" s="1"/>
  <c r="BF106" i="1" s="1"/>
  <c r="L90" i="1"/>
  <c r="L66" i="1"/>
  <c r="L58" i="1"/>
  <c r="L913" i="15"/>
  <c r="AI913" i="15"/>
  <c r="AJ913" i="15" s="1"/>
  <c r="AK913" i="15" s="1"/>
  <c r="L842" i="15"/>
  <c r="AI842" i="15"/>
  <c r="AJ842" i="15" s="1"/>
  <c r="AK842" i="15" s="1"/>
  <c r="L802" i="15"/>
  <c r="AI802" i="15"/>
  <c r="AJ802" i="15" s="1"/>
  <c r="AK802" i="15" s="1"/>
  <c r="L689" i="15"/>
  <c r="AI689" i="15"/>
  <c r="AJ689" i="15" s="1"/>
  <c r="AK689" i="15" s="1"/>
  <c r="L680" i="15"/>
  <c r="AI680" i="15"/>
  <c r="AJ680" i="15" s="1"/>
  <c r="AK680" i="15" s="1"/>
  <c r="L1136" i="1"/>
  <c r="BD1136" i="1"/>
  <c r="BE1136" i="1" s="1"/>
  <c r="BF1136" i="1" s="1"/>
  <c r="L1120" i="1"/>
  <c r="BD1120" i="1"/>
  <c r="BE1120" i="1" s="1"/>
  <c r="BF1120" i="1" s="1"/>
  <c r="BF1119" i="1" s="1"/>
  <c r="L1096" i="1"/>
  <c r="BD1096" i="1"/>
  <c r="BE1096" i="1" s="1"/>
  <c r="BF1096" i="1" s="1"/>
  <c r="L1079" i="1"/>
  <c r="BD1079" i="1"/>
  <c r="BE1079" i="1" s="1"/>
  <c r="BF1079" i="1" s="1"/>
  <c r="L959" i="1"/>
  <c r="BD959" i="1"/>
  <c r="BE959" i="1" s="1"/>
  <c r="BF959" i="1" s="1"/>
  <c r="L927" i="1"/>
  <c r="BD927" i="1"/>
  <c r="BE927" i="1" s="1"/>
  <c r="BF927" i="1" s="1"/>
  <c r="L887" i="1"/>
  <c r="BD887" i="1"/>
  <c r="BE887" i="1" s="1"/>
  <c r="BF887" i="1" s="1"/>
  <c r="L863" i="1"/>
  <c r="BD863" i="1"/>
  <c r="BE863" i="1" s="1"/>
  <c r="BF863" i="1" s="1"/>
  <c r="L823" i="1"/>
  <c r="BD823" i="1"/>
  <c r="BE823" i="1" s="1"/>
  <c r="BF823" i="1" s="1"/>
  <c r="L775" i="1"/>
  <c r="BD775" i="1"/>
  <c r="BE775" i="1" s="1"/>
  <c r="BF775" i="1" s="1"/>
  <c r="L743" i="1"/>
  <c r="BD743" i="1"/>
  <c r="BE743" i="1" s="1"/>
  <c r="BF743" i="1" s="1"/>
  <c r="L695" i="1"/>
  <c r="BD695" i="1"/>
  <c r="BE695" i="1" s="1"/>
  <c r="BF695" i="1" s="1"/>
  <c r="L623" i="1"/>
  <c r="BD623" i="1"/>
  <c r="BE623" i="1" s="1"/>
  <c r="BF623" i="1" s="1"/>
  <c r="L415" i="1"/>
  <c r="BD415" i="1"/>
  <c r="BE415" i="1" s="1"/>
  <c r="BF415" i="1" s="1"/>
  <c r="L335" i="1"/>
  <c r="BD335" i="1"/>
  <c r="BE335" i="1" s="1"/>
  <c r="BF335" i="1" s="1"/>
  <c r="L303" i="1"/>
  <c r="BD303" i="1"/>
  <c r="BE303" i="1" s="1"/>
  <c r="BF303" i="1" s="1"/>
  <c r="L271" i="1"/>
  <c r="BD271" i="1"/>
  <c r="BE271" i="1" s="1"/>
  <c r="BF271" i="1" s="1"/>
  <c r="L215" i="1"/>
  <c r="BD215" i="1"/>
  <c r="BE215" i="1" s="1"/>
  <c r="BF215" i="1" s="1"/>
  <c r="L127" i="1"/>
  <c r="BD127" i="1"/>
  <c r="BE127" i="1" s="1"/>
  <c r="BF127" i="1" s="1"/>
  <c r="L31" i="1"/>
  <c r="L924" i="15"/>
  <c r="AI924" i="15"/>
  <c r="AJ924" i="15" s="1"/>
  <c r="AK924" i="15" s="1"/>
  <c r="AK923" i="15" s="1"/>
  <c r="L841" i="15"/>
  <c r="AI841" i="15"/>
  <c r="AJ841" i="15" s="1"/>
  <c r="AK841" i="15" s="1"/>
  <c r="L801" i="15"/>
  <c r="AI801" i="15"/>
  <c r="AJ801" i="15" s="1"/>
  <c r="AK801" i="15" s="1"/>
  <c r="L740" i="15"/>
  <c r="AI740" i="15"/>
  <c r="AJ740" i="15" s="1"/>
  <c r="AK740" i="15" s="1"/>
  <c r="L577" i="15"/>
  <c r="AI577" i="15"/>
  <c r="AJ577" i="15" s="1"/>
  <c r="AK577" i="15" s="1"/>
  <c r="L552" i="15"/>
  <c r="AI552" i="15"/>
  <c r="AJ552" i="15" s="1"/>
  <c r="AK552" i="15" s="1"/>
  <c r="L1135" i="1"/>
  <c r="BD1135" i="1"/>
  <c r="BE1135" i="1" s="1"/>
  <c r="BF1135" i="1" s="1"/>
  <c r="L1103" i="1"/>
  <c r="BD1103" i="1"/>
  <c r="BE1103" i="1" s="1"/>
  <c r="BF1103" i="1" s="1"/>
  <c r="L1038" i="1"/>
  <c r="BD1038" i="1"/>
  <c r="BE1038" i="1" s="1"/>
  <c r="BF1038" i="1" s="1"/>
  <c r="L990" i="1"/>
  <c r="BD990" i="1"/>
  <c r="BE990" i="1" s="1"/>
  <c r="BF990" i="1" s="1"/>
  <c r="L958" i="1"/>
  <c r="BD958" i="1"/>
  <c r="BE958" i="1" s="1"/>
  <c r="BF958" i="1" s="1"/>
  <c r="L918" i="1"/>
  <c r="BD918" i="1"/>
  <c r="BE918" i="1" s="1"/>
  <c r="BF918" i="1" s="1"/>
  <c r="L886" i="1"/>
  <c r="BD886" i="1"/>
  <c r="BE886" i="1" s="1"/>
  <c r="BF886" i="1" s="1"/>
  <c r="L854" i="1"/>
  <c r="BD854" i="1"/>
  <c r="BE854" i="1" s="1"/>
  <c r="BF854" i="1" s="1"/>
  <c r="L814" i="1"/>
  <c r="BD814" i="1"/>
  <c r="BE814" i="1" s="1"/>
  <c r="BF814" i="1" s="1"/>
  <c r="L766" i="1"/>
  <c r="BD766" i="1"/>
  <c r="BE766" i="1" s="1"/>
  <c r="BF766" i="1" s="1"/>
  <c r="L726" i="1"/>
  <c r="BD726" i="1"/>
  <c r="BE726" i="1" s="1"/>
  <c r="BF726" i="1" s="1"/>
  <c r="L694" i="1"/>
  <c r="BD694" i="1"/>
  <c r="BE694" i="1" s="1"/>
  <c r="BF694" i="1" s="1"/>
  <c r="L630" i="1"/>
  <c r="BD630" i="1"/>
  <c r="BE630" i="1" s="1"/>
  <c r="BF630" i="1" s="1"/>
  <c r="L614" i="1"/>
  <c r="BD614" i="1"/>
  <c r="BE614" i="1" s="1"/>
  <c r="BF614" i="1" s="1"/>
  <c r="L590" i="1"/>
  <c r="BD590" i="1"/>
  <c r="BE590" i="1" s="1"/>
  <c r="BF590" i="1" s="1"/>
  <c r="L582" i="1"/>
  <c r="BE582" i="1"/>
  <c r="BF582" i="1" s="1"/>
  <c r="L550" i="1"/>
  <c r="BD550" i="1"/>
  <c r="BE550" i="1" s="1"/>
  <c r="BF550" i="1" s="1"/>
  <c r="L526" i="1"/>
  <c r="BD526" i="1"/>
  <c r="BE526" i="1" s="1"/>
  <c r="BF526" i="1" s="1"/>
  <c r="L502" i="1"/>
  <c r="BD502" i="1"/>
  <c r="BE502" i="1" s="1"/>
  <c r="BF502" i="1" s="1"/>
  <c r="L446" i="1"/>
  <c r="BD446" i="1"/>
  <c r="BE446" i="1" s="1"/>
  <c r="BF446" i="1" s="1"/>
  <c r="L422" i="1"/>
  <c r="BD422" i="1"/>
  <c r="BE422" i="1" s="1"/>
  <c r="BF422" i="1" s="1"/>
  <c r="L366" i="1"/>
  <c r="BD366" i="1"/>
  <c r="BE366" i="1" s="1"/>
  <c r="BF366" i="1" s="1"/>
  <c r="L334" i="1"/>
  <c r="BD334" i="1"/>
  <c r="BE334" i="1" s="1"/>
  <c r="BF334" i="1" s="1"/>
  <c r="L270" i="1"/>
  <c r="BD270" i="1"/>
  <c r="BE270" i="1" s="1"/>
  <c r="BF270" i="1" s="1"/>
  <c r="L246" i="1"/>
  <c r="BD246" i="1"/>
  <c r="BE246" i="1" s="1"/>
  <c r="BF246" i="1" s="1"/>
  <c r="L214" i="1"/>
  <c r="BD214" i="1"/>
  <c r="BE214" i="1" s="1"/>
  <c r="BF214" i="1" s="1"/>
  <c r="L182" i="1"/>
  <c r="BD182" i="1"/>
  <c r="BE182" i="1" s="1"/>
  <c r="BF182" i="1" s="1"/>
  <c r="L142" i="1"/>
  <c r="BD142" i="1"/>
  <c r="BE142" i="1" s="1"/>
  <c r="BF142" i="1" s="1"/>
  <c r="L921" i="15"/>
  <c r="AI921" i="15"/>
  <c r="AJ921" i="15" s="1"/>
  <c r="AK921" i="15" s="1"/>
  <c r="L840" i="15"/>
  <c r="AI840" i="15"/>
  <c r="AJ840" i="15" s="1"/>
  <c r="AK840" i="15" s="1"/>
  <c r="L799" i="15"/>
  <c r="AI799" i="15"/>
  <c r="AJ799" i="15" s="1"/>
  <c r="AK799" i="15" s="1"/>
  <c r="L713" i="15"/>
  <c r="AI713" i="15"/>
  <c r="AJ713" i="15" s="1"/>
  <c r="AK713" i="15" s="1"/>
  <c r="L536" i="15"/>
  <c r="AI536" i="15"/>
  <c r="AJ536" i="15" s="1"/>
  <c r="AK536" i="15" s="1"/>
  <c r="L497" i="15"/>
  <c r="AI497" i="15"/>
  <c r="AJ497" i="15" s="1"/>
  <c r="AK497" i="15" s="1"/>
  <c r="L440" i="15"/>
  <c r="AI440" i="15"/>
  <c r="AJ440" i="15" s="1"/>
  <c r="AK440" i="15" s="1"/>
  <c r="L933" i="15"/>
  <c r="AI933" i="15"/>
  <c r="AJ933" i="15" s="1"/>
  <c r="AK933" i="15" s="1"/>
  <c r="L909" i="15"/>
  <c r="AI909" i="15"/>
  <c r="AJ909" i="15" s="1"/>
  <c r="AK909" i="15" s="1"/>
  <c r="L871" i="15"/>
  <c r="AI871" i="15"/>
  <c r="AJ871" i="15" s="1"/>
  <c r="AK871" i="15" s="1"/>
  <c r="L838" i="15"/>
  <c r="AI838" i="15"/>
  <c r="AJ838" i="15" s="1"/>
  <c r="AK838" i="15" s="1"/>
  <c r="L807" i="15"/>
  <c r="AI807" i="15"/>
  <c r="AJ807" i="15" s="1"/>
  <c r="AK807" i="15" s="1"/>
  <c r="L745" i="15"/>
  <c r="AI745" i="15"/>
  <c r="AJ745" i="15" s="1"/>
  <c r="AK745" i="15" s="1"/>
  <c r="L736" i="15"/>
  <c r="AI736" i="15"/>
  <c r="AJ736" i="15" s="1"/>
  <c r="AK736" i="15" s="1"/>
  <c r="L728" i="15"/>
  <c r="AI728" i="15"/>
  <c r="AJ728" i="15" s="1"/>
  <c r="AK728" i="15" s="1"/>
  <c r="L400" i="15"/>
  <c r="AI400" i="15"/>
  <c r="AJ400" i="15" s="1"/>
  <c r="AK400" i="15" s="1"/>
  <c r="L1051" i="1"/>
  <c r="BD1051" i="1"/>
  <c r="BE1051" i="1" s="1"/>
  <c r="BF1051" i="1" s="1"/>
  <c r="L1027" i="1"/>
  <c r="BD1027" i="1"/>
  <c r="BE1027" i="1" s="1"/>
  <c r="BF1027" i="1" s="1"/>
  <c r="L1003" i="1"/>
  <c r="BD1003" i="1"/>
  <c r="BE1003" i="1" s="1"/>
  <c r="BF1003" i="1" s="1"/>
  <c r="L971" i="1"/>
  <c r="BD971" i="1"/>
  <c r="BE971" i="1" s="1"/>
  <c r="BF971" i="1" s="1"/>
  <c r="L947" i="1"/>
  <c r="BD947" i="1"/>
  <c r="BE947" i="1" s="1"/>
  <c r="BF947" i="1" s="1"/>
  <c r="L915" i="1"/>
  <c r="BD915" i="1"/>
  <c r="BE915" i="1" s="1"/>
  <c r="BF915" i="1" s="1"/>
  <c r="L907" i="1"/>
  <c r="BD907" i="1"/>
  <c r="BE907" i="1" s="1"/>
  <c r="BF907" i="1" s="1"/>
  <c r="L883" i="1"/>
  <c r="BD883" i="1"/>
  <c r="BE883" i="1" s="1"/>
  <c r="BF883" i="1" s="1"/>
  <c r="L875" i="1"/>
  <c r="BD875" i="1"/>
  <c r="BE875" i="1" s="1"/>
  <c r="BF875" i="1" s="1"/>
  <c r="L851" i="1"/>
  <c r="BD851" i="1"/>
  <c r="BE851" i="1" s="1"/>
  <c r="BF851" i="1" s="1"/>
  <c r="L827" i="1"/>
  <c r="BD827" i="1"/>
  <c r="BE827" i="1" s="1"/>
  <c r="BF827" i="1" s="1"/>
  <c r="L795" i="1"/>
  <c r="BD795" i="1"/>
  <c r="BE795" i="1" s="1"/>
  <c r="BF795" i="1" s="1"/>
  <c r="L771" i="1"/>
  <c r="BD771" i="1"/>
  <c r="BE771" i="1" s="1"/>
  <c r="BF771" i="1" s="1"/>
  <c r="L747" i="1"/>
  <c r="BD747" i="1"/>
  <c r="BE747" i="1" s="1"/>
  <c r="BF747" i="1" s="1"/>
  <c r="L699" i="1"/>
  <c r="BD699" i="1"/>
  <c r="BE699" i="1" s="1"/>
  <c r="BF699" i="1" s="1"/>
  <c r="L675" i="1"/>
  <c r="BD675" i="1"/>
  <c r="BE675" i="1" s="1"/>
  <c r="BF675" i="1" s="1"/>
  <c r="L635" i="1"/>
  <c r="BD635" i="1"/>
  <c r="BE635" i="1" s="1"/>
  <c r="BF635" i="1" s="1"/>
  <c r="L595" i="1"/>
  <c r="BD595" i="1"/>
  <c r="BE595" i="1" s="1"/>
  <c r="BF595" i="1" s="1"/>
  <c r="L571" i="1"/>
  <c r="BD571" i="1"/>
  <c r="BE571" i="1" s="1"/>
  <c r="BF571" i="1" s="1"/>
  <c r="L547" i="1"/>
  <c r="BD547" i="1"/>
  <c r="BE547" i="1" s="1"/>
  <c r="BF547" i="1" s="1"/>
  <c r="L515" i="1"/>
  <c r="BD515" i="1"/>
  <c r="L499" i="1"/>
  <c r="BD499" i="1"/>
  <c r="BE499" i="1" s="1"/>
  <c r="BF499" i="1" s="1"/>
  <c r="L475" i="1"/>
  <c r="BD475" i="1"/>
  <c r="BE475" i="1" s="1"/>
  <c r="BF475" i="1" s="1"/>
  <c r="L451" i="1"/>
  <c r="BD451" i="1"/>
  <c r="BE451" i="1" s="1"/>
  <c r="BF451" i="1" s="1"/>
  <c r="L411" i="1"/>
  <c r="BD411" i="1"/>
  <c r="BE411" i="1" s="1"/>
  <c r="BF411" i="1" s="1"/>
  <c r="L403" i="1"/>
  <c r="BD403" i="1"/>
  <c r="BE403" i="1" s="1"/>
  <c r="BF403" i="1" s="1"/>
  <c r="L379" i="1"/>
  <c r="BD379" i="1"/>
  <c r="BE379" i="1" s="1"/>
  <c r="BF379" i="1" s="1"/>
  <c r="L355" i="1"/>
  <c r="BD355" i="1"/>
  <c r="BE355" i="1" s="1"/>
  <c r="BF355" i="1" s="1"/>
  <c r="L307" i="1"/>
  <c r="BD307" i="1"/>
  <c r="BE307" i="1" s="1"/>
  <c r="BF307" i="1" s="1"/>
  <c r="L283" i="1"/>
  <c r="BD283" i="1"/>
  <c r="BE283" i="1" s="1"/>
  <c r="BF283" i="1" s="1"/>
  <c r="L275" i="1"/>
  <c r="BD275" i="1"/>
  <c r="BE275" i="1" s="1"/>
  <c r="BF275" i="1" s="1"/>
  <c r="L259" i="1"/>
  <c r="BD259" i="1"/>
  <c r="BE259" i="1" s="1"/>
  <c r="BF259" i="1" s="1"/>
  <c r="L235" i="1"/>
  <c r="BD235" i="1"/>
  <c r="BE235" i="1" s="1"/>
  <c r="BF235" i="1" s="1"/>
  <c r="L227" i="1"/>
  <c r="BD227" i="1"/>
  <c r="BE227" i="1" s="1"/>
  <c r="BF227" i="1" s="1"/>
  <c r="L203" i="1"/>
  <c r="BD203" i="1"/>
  <c r="BE203" i="1" s="1"/>
  <c r="BF203" i="1" s="1"/>
  <c r="L123" i="1"/>
  <c r="BD123" i="1"/>
  <c r="BE123" i="1" s="1"/>
  <c r="BF123" i="1" s="1"/>
  <c r="L83" i="1"/>
  <c r="L941" i="15"/>
  <c r="AI941" i="15"/>
  <c r="AJ941" i="15" s="1"/>
  <c r="AK941" i="15" s="1"/>
  <c r="L932" i="15"/>
  <c r="AI932" i="15"/>
  <c r="AJ932" i="15" s="1"/>
  <c r="AK932" i="15" s="1"/>
  <c r="L898" i="15"/>
  <c r="AI898" i="15"/>
  <c r="AJ898" i="15" s="1"/>
  <c r="AK898" i="15" s="1"/>
  <c r="L888" i="15"/>
  <c r="AI888" i="15"/>
  <c r="AJ888" i="15" s="1"/>
  <c r="AK888" i="15" s="1"/>
  <c r="L940" i="15"/>
  <c r="AI940" i="15"/>
  <c r="AJ940" i="15" s="1"/>
  <c r="AK940" i="15" s="1"/>
  <c r="L931" i="15"/>
  <c r="AI931" i="15"/>
  <c r="AJ931" i="15" s="1"/>
  <c r="AK931" i="15" s="1"/>
  <c r="L915" i="15"/>
  <c r="AI915" i="15"/>
  <c r="AJ915" i="15" s="1"/>
  <c r="AK915" i="15" s="1"/>
  <c r="L897" i="15"/>
  <c r="AI897" i="15"/>
  <c r="AJ897" i="15" s="1"/>
  <c r="AK897" i="15" s="1"/>
  <c r="L887" i="15"/>
  <c r="AI887" i="15"/>
  <c r="AJ887" i="15" s="1"/>
  <c r="L869" i="15"/>
  <c r="AI869" i="15"/>
  <c r="AJ869" i="15" s="1"/>
  <c r="AK869" i="15" s="1"/>
  <c r="L856" i="15"/>
  <c r="AI856" i="15"/>
  <c r="AJ856" i="15" s="1"/>
  <c r="AK856" i="15" s="1"/>
  <c r="L844" i="15"/>
  <c r="AI844" i="15"/>
  <c r="AJ844" i="15" s="1"/>
  <c r="AK844" i="15" s="1"/>
  <c r="L836" i="15"/>
  <c r="AI836" i="15"/>
  <c r="AJ836" i="15" s="1"/>
  <c r="AK836" i="15" s="1"/>
  <c r="L825" i="15"/>
  <c r="AI825" i="15"/>
  <c r="AJ825" i="15" s="1"/>
  <c r="AK825" i="15" s="1"/>
  <c r="L814" i="15"/>
  <c r="AI814" i="15"/>
  <c r="AJ814" i="15" s="1"/>
  <c r="AK814" i="15" s="1"/>
  <c r="L804" i="15"/>
  <c r="AI804" i="15"/>
  <c r="AJ804" i="15" s="1"/>
  <c r="AK804" i="15" s="1"/>
  <c r="L794" i="15"/>
  <c r="AI794" i="15"/>
  <c r="AJ794" i="15" s="1"/>
  <c r="AK794" i="15" s="1"/>
  <c r="L786" i="15"/>
  <c r="AI786" i="15"/>
  <c r="AJ786" i="15" s="1"/>
  <c r="AK786" i="15" s="1"/>
  <c r="L777" i="15"/>
  <c r="AI777" i="15"/>
  <c r="AJ777" i="15" s="1"/>
  <c r="AK777" i="15" s="1"/>
  <c r="L769" i="15"/>
  <c r="AI769" i="15"/>
  <c r="AJ769" i="15" s="1"/>
  <c r="AK769" i="15" s="1"/>
  <c r="L760" i="15"/>
  <c r="AI760" i="15"/>
  <c r="AJ760" i="15" s="1"/>
  <c r="AK760" i="15" s="1"/>
  <c r="L752" i="15"/>
  <c r="AI752" i="15"/>
  <c r="AJ752" i="15" s="1"/>
  <c r="AK752" i="15" s="1"/>
  <c r="L708" i="15"/>
  <c r="AI708" i="15"/>
  <c r="AJ708" i="15" s="1"/>
  <c r="AK708" i="15" s="1"/>
  <c r="L700" i="15"/>
  <c r="AI700" i="15"/>
  <c r="AJ700" i="15" s="1"/>
  <c r="AK700" i="15" s="1"/>
  <c r="L682" i="15"/>
  <c r="AI682" i="15"/>
  <c r="AJ682" i="15" s="1"/>
  <c r="AK682" i="15" s="1"/>
  <c r="L674" i="15"/>
  <c r="AI674" i="15"/>
  <c r="AJ674" i="15" s="1"/>
  <c r="AK674" i="15" s="1"/>
  <c r="L665" i="15"/>
  <c r="AI665" i="15"/>
  <c r="AJ665" i="15" s="1"/>
  <c r="AK665" i="15" s="1"/>
  <c r="L634" i="15"/>
  <c r="AI634" i="15"/>
  <c r="AJ634" i="15" s="1"/>
  <c r="AK634" i="15" s="1"/>
  <c r="L625" i="15"/>
  <c r="AI625" i="15"/>
  <c r="AJ625" i="15" s="1"/>
  <c r="AK625" i="15" s="1"/>
  <c r="L617" i="15"/>
  <c r="AI617" i="15"/>
  <c r="AJ617" i="15" s="1"/>
  <c r="AK617" i="15" s="1"/>
  <c r="L489" i="15"/>
  <c r="AI489" i="15"/>
  <c r="AJ489" i="15" s="1"/>
  <c r="AK489" i="15" s="1"/>
  <c r="AK186" i="15"/>
  <c r="L1138" i="1"/>
  <c r="BD1138" i="1"/>
  <c r="BE1138" i="1" s="1"/>
  <c r="BF1138" i="1" s="1"/>
  <c r="L1106" i="1"/>
  <c r="BD1106" i="1"/>
  <c r="BE1106" i="1" s="1"/>
  <c r="BF1106" i="1" s="1"/>
  <c r="L1090" i="1"/>
  <c r="BD1090" i="1"/>
  <c r="BE1090" i="1" s="1"/>
  <c r="BF1090" i="1" s="1"/>
  <c r="L1081" i="1"/>
  <c r="BD1081" i="1"/>
  <c r="BE1081" i="1" s="1"/>
  <c r="BF1081" i="1" s="1"/>
  <c r="L1065" i="1"/>
  <c r="BD1065" i="1"/>
  <c r="BE1065" i="1" s="1"/>
  <c r="BF1065" i="1" s="1"/>
  <c r="L1057" i="1"/>
  <c r="BD1057" i="1"/>
  <c r="BE1057" i="1" s="1"/>
  <c r="BF1057" i="1" s="1"/>
  <c r="L1041" i="1"/>
  <c r="BD1041" i="1"/>
  <c r="BE1041" i="1" s="1"/>
  <c r="BF1041" i="1" s="1"/>
  <c r="L1033" i="1"/>
  <c r="BD1033" i="1"/>
  <c r="BE1033" i="1" s="1"/>
  <c r="BF1033" i="1" s="1"/>
  <c r="L1025" i="1"/>
  <c r="BD1025" i="1"/>
  <c r="BE1025" i="1" s="1"/>
  <c r="BF1025" i="1" s="1"/>
  <c r="L1017" i="1"/>
  <c r="BD1017" i="1"/>
  <c r="BE1017" i="1" s="1"/>
  <c r="BF1017" i="1" s="1"/>
  <c r="L1001" i="1"/>
  <c r="BD1001" i="1"/>
  <c r="BE1001" i="1" s="1"/>
  <c r="BF1001" i="1" s="1"/>
  <c r="L993" i="1"/>
  <c r="BD993" i="1"/>
  <c r="BE993" i="1" s="1"/>
  <c r="BF993" i="1" s="1"/>
  <c r="L985" i="1"/>
  <c r="BD985" i="1"/>
  <c r="BE985" i="1" s="1"/>
  <c r="BF985" i="1" s="1"/>
  <c r="L977" i="1"/>
  <c r="BD977" i="1"/>
  <c r="BE977" i="1" s="1"/>
  <c r="BF977" i="1" s="1"/>
  <c r="L961" i="1"/>
  <c r="BD961" i="1"/>
  <c r="BE961" i="1" s="1"/>
  <c r="BF961" i="1" s="1"/>
  <c r="L953" i="1"/>
  <c r="BD953" i="1"/>
  <c r="BE953" i="1" s="1"/>
  <c r="BF953" i="1" s="1"/>
  <c r="L945" i="1"/>
  <c r="BD945" i="1"/>
  <c r="BE945" i="1" s="1"/>
  <c r="BF945" i="1" s="1"/>
  <c r="L937" i="1"/>
  <c r="BD937" i="1"/>
  <c r="BE937" i="1" s="1"/>
  <c r="BF937" i="1" s="1"/>
  <c r="L929" i="1"/>
  <c r="BD929" i="1"/>
  <c r="BE929" i="1" s="1"/>
  <c r="BF929" i="1" s="1"/>
  <c r="L921" i="1"/>
  <c r="BD921" i="1"/>
  <c r="BE921" i="1" s="1"/>
  <c r="BF921" i="1" s="1"/>
  <c r="L913" i="1"/>
  <c r="BD913" i="1"/>
  <c r="BE913" i="1" s="1"/>
  <c r="BF913" i="1" s="1"/>
  <c r="L905" i="1"/>
  <c r="BD905" i="1"/>
  <c r="BE905" i="1" s="1"/>
  <c r="BF905" i="1" s="1"/>
  <c r="L897" i="1"/>
  <c r="BD897" i="1"/>
  <c r="BE897" i="1" s="1"/>
  <c r="BF897" i="1" s="1"/>
  <c r="L889" i="1"/>
  <c r="BD889" i="1"/>
  <c r="BE889" i="1" s="1"/>
  <c r="BF889" i="1" s="1"/>
  <c r="L881" i="1"/>
  <c r="BD881" i="1"/>
  <c r="BE881" i="1" s="1"/>
  <c r="BF881" i="1" s="1"/>
  <c r="L865" i="1"/>
  <c r="BD865" i="1"/>
  <c r="BE865" i="1" s="1"/>
  <c r="BF865" i="1" s="1"/>
  <c r="L857" i="1"/>
  <c r="BD857" i="1"/>
  <c r="BE857" i="1" s="1"/>
  <c r="BF857" i="1" s="1"/>
  <c r="L841" i="1"/>
  <c r="BD841" i="1"/>
  <c r="BE841" i="1" s="1"/>
  <c r="BF841" i="1" s="1"/>
  <c r="L833" i="1"/>
  <c r="BD833" i="1"/>
  <c r="BE833" i="1" s="1"/>
  <c r="BF833" i="1" s="1"/>
  <c r="L825" i="1"/>
  <c r="BD825" i="1"/>
  <c r="BE825" i="1" s="1"/>
  <c r="BF825" i="1" s="1"/>
  <c r="L817" i="1"/>
  <c r="BD817" i="1"/>
  <c r="BE817" i="1" s="1"/>
  <c r="BF817" i="1" s="1"/>
  <c r="L809" i="1"/>
  <c r="BD809" i="1"/>
  <c r="BE809" i="1" s="1"/>
  <c r="BF809" i="1" s="1"/>
  <c r="L801" i="1"/>
  <c r="BD801" i="1"/>
  <c r="BE801" i="1" s="1"/>
  <c r="BF801" i="1" s="1"/>
  <c r="L793" i="1"/>
  <c r="BD793" i="1"/>
  <c r="BE793" i="1" s="1"/>
  <c r="BF793" i="1" s="1"/>
  <c r="L785" i="1"/>
  <c r="BD785" i="1"/>
  <c r="BE785" i="1" s="1"/>
  <c r="BF785" i="1" s="1"/>
  <c r="L777" i="1"/>
  <c r="BD777" i="1"/>
  <c r="BE777" i="1" s="1"/>
  <c r="BF777" i="1" s="1"/>
  <c r="L761" i="1"/>
  <c r="BD761" i="1"/>
  <c r="BE761" i="1" s="1"/>
  <c r="BF761" i="1" s="1"/>
  <c r="L753" i="1"/>
  <c r="BD753" i="1"/>
  <c r="BE753" i="1" s="1"/>
  <c r="BF753" i="1" s="1"/>
  <c r="L737" i="1"/>
  <c r="BD737" i="1"/>
  <c r="BE737" i="1" s="1"/>
  <c r="BF737" i="1" s="1"/>
  <c r="L721" i="1"/>
  <c r="BD721" i="1"/>
  <c r="BE721" i="1" s="1"/>
  <c r="BF721" i="1" s="1"/>
  <c r="L713" i="1"/>
  <c r="BD713" i="1"/>
  <c r="BE713" i="1" s="1"/>
  <c r="BF713" i="1" s="1"/>
  <c r="L705" i="1"/>
  <c r="BD705" i="1"/>
  <c r="BE705" i="1" s="1"/>
  <c r="BF705" i="1" s="1"/>
  <c r="L697" i="1"/>
  <c r="BD697" i="1"/>
  <c r="BE697" i="1" s="1"/>
  <c r="BF697" i="1" s="1"/>
  <c r="L689" i="1"/>
  <c r="BD689" i="1"/>
  <c r="BE689" i="1" s="1"/>
  <c r="BF689" i="1" s="1"/>
  <c r="L681" i="1"/>
  <c r="BD681" i="1"/>
  <c r="BE681" i="1" s="1"/>
  <c r="BF681" i="1" s="1"/>
  <c r="L665" i="1"/>
  <c r="BD665" i="1"/>
  <c r="BE665" i="1" s="1"/>
  <c r="BF665" i="1" s="1"/>
  <c r="L657" i="1"/>
  <c r="BD657" i="1"/>
  <c r="BE657" i="1" s="1"/>
  <c r="BF657" i="1" s="1"/>
  <c r="L649" i="1"/>
  <c r="BD649" i="1"/>
  <c r="BE649" i="1" s="1"/>
  <c r="BF649" i="1" s="1"/>
  <c r="L633" i="1"/>
  <c r="BD633" i="1"/>
  <c r="BE633" i="1" s="1"/>
  <c r="BF633" i="1" s="1"/>
  <c r="L625" i="1"/>
  <c r="BD625" i="1"/>
  <c r="BE625" i="1" s="1"/>
  <c r="BF625" i="1" s="1"/>
  <c r="L609" i="1"/>
  <c r="BD609" i="1"/>
  <c r="BE609" i="1" s="1"/>
  <c r="BF609" i="1" s="1"/>
  <c r="L601" i="1"/>
  <c r="BD601" i="1"/>
  <c r="BE601" i="1" s="1"/>
  <c r="BF601" i="1" s="1"/>
  <c r="L593" i="1"/>
  <c r="BD593" i="1"/>
  <c r="BE593" i="1" s="1"/>
  <c r="BF593" i="1" s="1"/>
  <c r="L577" i="1"/>
  <c r="BE577" i="1"/>
  <c r="BF577" i="1" s="1"/>
  <c r="L569" i="1"/>
  <c r="BD569" i="1"/>
  <c r="BE569" i="1" s="1"/>
  <c r="BF569" i="1" s="1"/>
  <c r="L561" i="1"/>
  <c r="BD561" i="1"/>
  <c r="BE561" i="1" s="1"/>
  <c r="BF561" i="1" s="1"/>
  <c r="L553" i="1"/>
  <c r="BD553" i="1"/>
  <c r="BE553" i="1" s="1"/>
  <c r="BF553" i="1" s="1"/>
  <c r="L529" i="1"/>
  <c r="BD529" i="1"/>
  <c r="BE529" i="1" s="1"/>
  <c r="BF529" i="1" s="1"/>
  <c r="L521" i="1"/>
  <c r="BD521" i="1"/>
  <c r="BE521" i="1" s="1"/>
  <c r="BF521" i="1" s="1"/>
  <c r="L489" i="1"/>
  <c r="BD489" i="1"/>
  <c r="BE489" i="1" s="1"/>
  <c r="BF489" i="1" s="1"/>
  <c r="L481" i="1"/>
  <c r="BD481" i="1"/>
  <c r="BE481" i="1" s="1"/>
  <c r="BF481" i="1" s="1"/>
  <c r="L473" i="1"/>
  <c r="BD473" i="1"/>
  <c r="BE473" i="1" s="1"/>
  <c r="BF473" i="1" s="1"/>
  <c r="L465" i="1"/>
  <c r="BD465" i="1"/>
  <c r="BE465" i="1" s="1"/>
  <c r="BF465" i="1" s="1"/>
  <c r="L457" i="1"/>
  <c r="BD457" i="1"/>
  <c r="BE457" i="1" s="1"/>
  <c r="BF457" i="1" s="1"/>
  <c r="L433" i="1"/>
  <c r="BD433" i="1"/>
  <c r="BE433" i="1" s="1"/>
  <c r="BF433" i="1" s="1"/>
  <c r="L425" i="1"/>
  <c r="BD425" i="1"/>
  <c r="BE425" i="1" s="1"/>
  <c r="BF425" i="1" s="1"/>
  <c r="L417" i="1"/>
  <c r="BD417" i="1"/>
  <c r="BE417" i="1" s="1"/>
  <c r="BF417" i="1" s="1"/>
  <c r="L409" i="1"/>
  <c r="BD409" i="1"/>
  <c r="BE409" i="1" s="1"/>
  <c r="BF409" i="1" s="1"/>
  <c r="L401" i="1"/>
  <c r="BD401" i="1"/>
  <c r="BE401" i="1" s="1"/>
  <c r="BF401" i="1" s="1"/>
  <c r="L393" i="1"/>
  <c r="BD393" i="1"/>
  <c r="BE393" i="1" s="1"/>
  <c r="BF393" i="1" s="1"/>
  <c r="L385" i="1"/>
  <c r="BD385" i="1"/>
  <c r="BE385" i="1" s="1"/>
  <c r="BF385" i="1" s="1"/>
  <c r="L377" i="1"/>
  <c r="BD377" i="1"/>
  <c r="BE377" i="1" s="1"/>
  <c r="BF377" i="1" s="1"/>
  <c r="L369" i="1"/>
  <c r="BD369" i="1"/>
  <c r="BE369" i="1" s="1"/>
  <c r="BF369" i="1" s="1"/>
  <c r="L361" i="1"/>
  <c r="BD361" i="1"/>
  <c r="BE361" i="1" s="1"/>
  <c r="BF361" i="1" s="1"/>
  <c r="L353" i="1"/>
  <c r="BD353" i="1"/>
  <c r="BE353" i="1" s="1"/>
  <c r="BF353" i="1" s="1"/>
  <c r="L345" i="1"/>
  <c r="BD345" i="1"/>
  <c r="BE345" i="1" s="1"/>
  <c r="BF345" i="1" s="1"/>
  <c r="L329" i="1"/>
  <c r="BD329" i="1"/>
  <c r="BE329" i="1" s="1"/>
  <c r="BF329" i="1" s="1"/>
  <c r="L321" i="1"/>
  <c r="BD321" i="1"/>
  <c r="BE321" i="1" s="1"/>
  <c r="BF321" i="1" s="1"/>
  <c r="L313" i="1"/>
  <c r="BD313" i="1"/>
  <c r="BE313" i="1" s="1"/>
  <c r="BF313" i="1" s="1"/>
  <c r="L305" i="1"/>
  <c r="BD305" i="1"/>
  <c r="BE305" i="1" s="1"/>
  <c r="BF305" i="1" s="1"/>
  <c r="L289" i="1"/>
  <c r="BD289" i="1"/>
  <c r="BE289" i="1" s="1"/>
  <c r="BF289" i="1" s="1"/>
  <c r="L281" i="1"/>
  <c r="BD281" i="1"/>
  <c r="BE281" i="1" s="1"/>
  <c r="BF281" i="1" s="1"/>
  <c r="L273" i="1"/>
  <c r="BD273" i="1"/>
  <c r="BE273" i="1" s="1"/>
  <c r="BF273" i="1" s="1"/>
  <c r="L265" i="1"/>
  <c r="BD265" i="1"/>
  <c r="BE265" i="1" s="1"/>
  <c r="BF265" i="1" s="1"/>
  <c r="L257" i="1"/>
  <c r="BD257" i="1"/>
  <c r="BE257" i="1" s="1"/>
  <c r="BF257" i="1" s="1"/>
  <c r="L249" i="1"/>
  <c r="BD249" i="1"/>
  <c r="BE249" i="1" s="1"/>
  <c r="BF249" i="1" s="1"/>
  <c r="L217" i="1"/>
  <c r="BD217" i="1"/>
  <c r="BE217" i="1" s="1"/>
  <c r="BF217" i="1" s="1"/>
  <c r="L201" i="1"/>
  <c r="BD201" i="1"/>
  <c r="BE201" i="1" s="1"/>
  <c r="BF201" i="1" s="1"/>
  <c r="L177" i="1"/>
  <c r="BD177" i="1"/>
  <c r="BE177" i="1" s="1"/>
  <c r="BF177" i="1" s="1"/>
  <c r="L169" i="1"/>
  <c r="BD169" i="1"/>
  <c r="L129" i="1"/>
  <c r="BD129" i="1"/>
  <c r="BE129" i="1" s="1"/>
  <c r="BF129" i="1" s="1"/>
  <c r="L105" i="1"/>
  <c r="BD105" i="1"/>
  <c r="BE105" i="1" s="1"/>
  <c r="BF105" i="1" s="1"/>
  <c r="L81" i="1"/>
  <c r="L73" i="1"/>
  <c r="L41" i="1"/>
  <c r="L25" i="1"/>
  <c r="L885" i="15"/>
  <c r="AI885" i="15"/>
  <c r="AJ885" i="15" s="1"/>
  <c r="AK885" i="15" s="1"/>
  <c r="L823" i="15"/>
  <c r="AJ823" i="15"/>
  <c r="AK823" i="15" s="1"/>
  <c r="L698" i="15"/>
  <c r="AI698" i="15"/>
  <c r="AJ698" i="15" s="1"/>
  <c r="AK698" i="15" s="1"/>
  <c r="L632" i="15"/>
  <c r="AI632" i="15"/>
  <c r="AJ632" i="15" s="1"/>
  <c r="AK632" i="15" s="1"/>
  <c r="L569" i="15"/>
  <c r="AI569" i="15"/>
  <c r="AJ569" i="15" s="1"/>
  <c r="AK569" i="15" s="1"/>
  <c r="L561" i="15"/>
  <c r="AI561" i="15"/>
  <c r="AJ561" i="15" s="1"/>
  <c r="AK561" i="15" s="1"/>
  <c r="L521" i="15"/>
  <c r="AI521" i="15"/>
  <c r="AJ521" i="15" s="1"/>
  <c r="AK521" i="15" s="1"/>
  <c r="L368" i="15"/>
  <c r="AI368" i="15"/>
  <c r="AJ368" i="15" s="1"/>
  <c r="AK368" i="15" s="1"/>
  <c r="L999" i="1"/>
  <c r="BD999" i="1"/>
  <c r="BE999" i="1" s="1"/>
  <c r="BF999" i="1" s="1"/>
  <c r="L935" i="1"/>
  <c r="BD935" i="1"/>
  <c r="BE935" i="1" s="1"/>
  <c r="BF935" i="1" s="1"/>
  <c r="L895" i="1"/>
  <c r="BD895" i="1"/>
  <c r="BE895" i="1" s="1"/>
  <c r="BF895" i="1" s="1"/>
  <c r="L855" i="1"/>
  <c r="BD855" i="1"/>
  <c r="BE855" i="1" s="1"/>
  <c r="BF855" i="1" s="1"/>
  <c r="L831" i="1"/>
  <c r="BD831" i="1"/>
  <c r="BE831" i="1" s="1"/>
  <c r="BF831" i="1" s="1"/>
  <c r="L807" i="1"/>
  <c r="BD807" i="1"/>
  <c r="BE807" i="1" s="1"/>
  <c r="BF807" i="1" s="1"/>
  <c r="L783" i="1"/>
  <c r="BD783" i="1"/>
  <c r="BE783" i="1" s="1"/>
  <c r="BF783" i="1" s="1"/>
  <c r="L751" i="1"/>
  <c r="BD751" i="1"/>
  <c r="BE751" i="1" s="1"/>
  <c r="BF751" i="1" s="1"/>
  <c r="L727" i="1"/>
  <c r="BD727" i="1"/>
  <c r="BE727" i="1" s="1"/>
  <c r="BF727" i="1" s="1"/>
  <c r="L703" i="1"/>
  <c r="BD703" i="1"/>
  <c r="BE703" i="1" s="1"/>
  <c r="BF703" i="1" s="1"/>
  <c r="L607" i="1"/>
  <c r="BD607" i="1"/>
  <c r="BE607" i="1" s="1"/>
  <c r="BF607" i="1" s="1"/>
  <c r="L575" i="1"/>
  <c r="BD575" i="1"/>
  <c r="BE575" i="1" s="1"/>
  <c r="BF575" i="1" s="1"/>
  <c r="L551" i="1"/>
  <c r="BD551" i="1"/>
  <c r="BE551" i="1" s="1"/>
  <c r="BF551" i="1" s="1"/>
  <c r="L503" i="1"/>
  <c r="BD503" i="1"/>
  <c r="BE503" i="1" s="1"/>
  <c r="BF503" i="1" s="1"/>
  <c r="L383" i="1"/>
  <c r="BD383" i="1"/>
  <c r="BE383" i="1" s="1"/>
  <c r="BF383" i="1" s="1"/>
  <c r="L351" i="1"/>
  <c r="BD351" i="1"/>
  <c r="BE351" i="1" s="1"/>
  <c r="BF351" i="1" s="1"/>
  <c r="L311" i="1"/>
  <c r="BD311" i="1"/>
  <c r="BE311" i="1" s="1"/>
  <c r="BF311" i="1" s="1"/>
  <c r="L263" i="1"/>
  <c r="BD263" i="1"/>
  <c r="BE263" i="1" s="1"/>
  <c r="BF263" i="1" s="1"/>
  <c r="L151" i="1"/>
  <c r="BD151" i="1"/>
  <c r="BE151" i="1" s="1"/>
  <c r="BF151" i="1" s="1"/>
  <c r="L63" i="1"/>
  <c r="L47" i="1"/>
  <c r="L947" i="15"/>
  <c r="L893" i="15"/>
  <c r="AI893" i="15"/>
  <c r="AJ893" i="15" s="1"/>
  <c r="AK893" i="15" s="1"/>
  <c r="L862" i="15"/>
  <c r="AI862" i="15"/>
  <c r="AJ862" i="15" s="1"/>
  <c r="AK862" i="15" s="1"/>
  <c r="L822" i="15"/>
  <c r="AJ822" i="15"/>
  <c r="AK822" i="15" s="1"/>
  <c r="L783" i="15"/>
  <c r="AI783" i="15"/>
  <c r="AJ783" i="15" s="1"/>
  <c r="AK783" i="15" s="1"/>
  <c r="L602" i="15"/>
  <c r="AI602" i="15"/>
  <c r="AJ602" i="15" s="1"/>
  <c r="AK602" i="15" s="1"/>
  <c r="L568" i="15"/>
  <c r="AI568" i="15"/>
  <c r="AJ568" i="15" s="1"/>
  <c r="AK568" i="15" s="1"/>
  <c r="L529" i="15"/>
  <c r="AI529" i="15"/>
  <c r="AJ529" i="15" s="1"/>
  <c r="AK529" i="15" s="1"/>
  <c r="L1111" i="1"/>
  <c r="BD1111" i="1"/>
  <c r="BE1111" i="1" s="1"/>
  <c r="BF1111" i="1" s="1"/>
  <c r="L1078" i="1"/>
  <c r="BD1078" i="1"/>
  <c r="BE1078" i="1" s="1"/>
  <c r="BF1078" i="1" s="1"/>
  <c r="L1030" i="1"/>
  <c r="BD1030" i="1"/>
  <c r="BE1030" i="1" s="1"/>
  <c r="BF1030" i="1" s="1"/>
  <c r="L974" i="1"/>
  <c r="BD974" i="1"/>
  <c r="BE974" i="1" s="1"/>
  <c r="BF974" i="1" s="1"/>
  <c r="L942" i="1"/>
  <c r="BD942" i="1"/>
  <c r="BE942" i="1" s="1"/>
  <c r="BF942" i="1" s="1"/>
  <c r="L910" i="1"/>
  <c r="BD910" i="1"/>
  <c r="BE910" i="1" s="1"/>
  <c r="BF910" i="1" s="1"/>
  <c r="L870" i="1"/>
  <c r="BD870" i="1"/>
  <c r="BE870" i="1" s="1"/>
  <c r="BF870" i="1" s="1"/>
  <c r="L838" i="1"/>
  <c r="BD838" i="1"/>
  <c r="BE838" i="1" s="1"/>
  <c r="BF838" i="1" s="1"/>
  <c r="L798" i="1"/>
  <c r="BD798" i="1"/>
  <c r="BE798" i="1" s="1"/>
  <c r="BF798" i="1" s="1"/>
  <c r="L782" i="1"/>
  <c r="BD782" i="1"/>
  <c r="BE782" i="1" s="1"/>
  <c r="BF782" i="1" s="1"/>
  <c r="L750" i="1"/>
  <c r="BD750" i="1"/>
  <c r="BE750" i="1" s="1"/>
  <c r="BF750" i="1" s="1"/>
  <c r="L718" i="1"/>
  <c r="BD718" i="1"/>
  <c r="BE718" i="1" s="1"/>
  <c r="BF718" i="1" s="1"/>
  <c r="L686" i="1"/>
  <c r="BD686" i="1"/>
  <c r="BE686" i="1" s="1"/>
  <c r="BF686" i="1" s="1"/>
  <c r="L670" i="1"/>
  <c r="BD670" i="1"/>
  <c r="BE670" i="1" s="1"/>
  <c r="BF670" i="1" s="1"/>
  <c r="L622" i="1"/>
  <c r="BD622" i="1"/>
  <c r="BE622" i="1" s="1"/>
  <c r="BF622" i="1" s="1"/>
  <c r="L598" i="1"/>
  <c r="BD598" i="1"/>
  <c r="BE598" i="1" s="1"/>
  <c r="BF598" i="1" s="1"/>
  <c r="L534" i="1"/>
  <c r="BD534" i="1"/>
  <c r="BE534" i="1" s="1"/>
  <c r="BF534" i="1" s="1"/>
  <c r="L470" i="1"/>
  <c r="BD470" i="1"/>
  <c r="BE470" i="1" s="1"/>
  <c r="BF470" i="1" s="1"/>
  <c r="L454" i="1"/>
  <c r="BD454" i="1"/>
  <c r="BE454" i="1" s="1"/>
  <c r="BF454" i="1" s="1"/>
  <c r="L398" i="1"/>
  <c r="BD398" i="1"/>
  <c r="BE398" i="1" s="1"/>
  <c r="BF398" i="1" s="1"/>
  <c r="L358" i="1"/>
  <c r="BD358" i="1"/>
  <c r="BE358" i="1" s="1"/>
  <c r="BF358" i="1" s="1"/>
  <c r="L326" i="1"/>
  <c r="BD326" i="1"/>
  <c r="BE326" i="1" s="1"/>
  <c r="BF326" i="1" s="1"/>
  <c r="L286" i="1"/>
  <c r="BD286" i="1"/>
  <c r="BE286" i="1" s="1"/>
  <c r="BF286" i="1" s="1"/>
  <c r="L158" i="1"/>
  <c r="BD158" i="1"/>
  <c r="BE158" i="1" s="1"/>
  <c r="BF158" i="1" s="1"/>
  <c r="L134" i="1"/>
  <c r="BD134" i="1"/>
  <c r="BE134" i="1" s="1"/>
  <c r="BF134" i="1" s="1"/>
  <c r="L30" i="1"/>
  <c r="L944" i="15"/>
  <c r="AI944" i="15"/>
  <c r="AJ944" i="15" s="1"/>
  <c r="AK944" i="15" s="1"/>
  <c r="L892" i="15"/>
  <c r="AI892" i="15"/>
  <c r="AJ892" i="15" s="1"/>
  <c r="AK892" i="15" s="1"/>
  <c r="L861" i="15"/>
  <c r="AI861" i="15"/>
  <c r="AJ861" i="15" s="1"/>
  <c r="AK861" i="15" s="1"/>
  <c r="L809" i="15"/>
  <c r="AI809" i="15"/>
  <c r="AJ809" i="15" s="1"/>
  <c r="AK809" i="15" s="1"/>
  <c r="L704" i="15"/>
  <c r="AI704" i="15"/>
  <c r="AJ704" i="15" s="1"/>
  <c r="AK704" i="15" s="1"/>
  <c r="L528" i="15"/>
  <c r="AI528" i="15"/>
  <c r="AJ528" i="15" s="1"/>
  <c r="AK528" i="15" s="1"/>
  <c r="L473" i="15"/>
  <c r="AI473" i="15"/>
  <c r="AJ473" i="15" s="1"/>
  <c r="AK473" i="15" s="1"/>
  <c r="L849" i="15"/>
  <c r="AI849" i="15"/>
  <c r="AJ849" i="15" s="1"/>
  <c r="AK849" i="15" s="1"/>
  <c r="L819" i="15"/>
  <c r="AI819" i="15"/>
  <c r="AJ819" i="15" s="1"/>
  <c r="AK819" i="15" s="1"/>
  <c r="L797" i="15"/>
  <c r="AI797" i="15"/>
  <c r="AJ797" i="15" s="1"/>
  <c r="AK797" i="15" s="1"/>
  <c r="L788" i="15"/>
  <c r="AI788" i="15"/>
  <c r="AJ788" i="15" s="1"/>
  <c r="AK788" i="15" s="1"/>
  <c r="L762" i="15"/>
  <c r="AI762" i="15"/>
  <c r="AJ762" i="15" s="1"/>
  <c r="AK762" i="15" s="1"/>
  <c r="L544" i="15"/>
  <c r="AI544" i="15"/>
  <c r="AJ544" i="15" s="1"/>
  <c r="AK544" i="15" s="1"/>
  <c r="L1132" i="1"/>
  <c r="BD1132" i="1"/>
  <c r="BE1132" i="1" s="1"/>
  <c r="BF1132" i="1" s="1"/>
  <c r="L1116" i="1"/>
  <c r="BD1116" i="1"/>
  <c r="BE1116" i="1" s="1"/>
  <c r="BF1116" i="1" s="1"/>
  <c r="L1083" i="1"/>
  <c r="BD1083" i="1"/>
  <c r="BE1083" i="1" s="1"/>
  <c r="BF1083" i="1" s="1"/>
  <c r="L1019" i="1"/>
  <c r="BD1019" i="1"/>
  <c r="BE1019" i="1" s="1"/>
  <c r="BF1019" i="1" s="1"/>
  <c r="L979" i="1"/>
  <c r="BD979" i="1"/>
  <c r="BE979" i="1" s="1"/>
  <c r="BF979" i="1" s="1"/>
  <c r="L923" i="1"/>
  <c r="BD923" i="1"/>
  <c r="BE923" i="1" s="1"/>
  <c r="BF923" i="1" s="1"/>
  <c r="L891" i="1"/>
  <c r="BD891" i="1"/>
  <c r="BE891" i="1" s="1"/>
  <c r="BF891" i="1" s="1"/>
  <c r="L859" i="1"/>
  <c r="BD859" i="1"/>
  <c r="BE859" i="1" s="1"/>
  <c r="BF859" i="1" s="1"/>
  <c r="L835" i="1"/>
  <c r="BD835" i="1"/>
  <c r="BE835" i="1" s="1"/>
  <c r="BF835" i="1" s="1"/>
  <c r="L803" i="1"/>
  <c r="BD803" i="1"/>
  <c r="BE803" i="1" s="1"/>
  <c r="BF803" i="1" s="1"/>
  <c r="L779" i="1"/>
  <c r="BD779" i="1"/>
  <c r="BE779" i="1" s="1"/>
  <c r="BF779" i="1" s="1"/>
  <c r="L755" i="1"/>
  <c r="BD755" i="1"/>
  <c r="BE755" i="1" s="1"/>
  <c r="BF755" i="1" s="1"/>
  <c r="L723" i="1"/>
  <c r="BD723" i="1"/>
  <c r="BE723" i="1" s="1"/>
  <c r="BF723" i="1" s="1"/>
  <c r="L691" i="1"/>
  <c r="BD691" i="1"/>
  <c r="BE691" i="1" s="1"/>
  <c r="BF691" i="1" s="1"/>
  <c r="L651" i="1"/>
  <c r="BD651" i="1"/>
  <c r="BE651" i="1" s="1"/>
  <c r="BF651" i="1" s="1"/>
  <c r="L531" i="1"/>
  <c r="BD531" i="1"/>
  <c r="BE531" i="1" s="1"/>
  <c r="BF531" i="1" s="1"/>
  <c r="L523" i="1"/>
  <c r="BD523" i="1"/>
  <c r="BE523" i="1" s="1"/>
  <c r="BF523" i="1" s="1"/>
  <c r="L483" i="1"/>
  <c r="BD483" i="1"/>
  <c r="BE483" i="1" s="1"/>
  <c r="BF483" i="1" s="1"/>
  <c r="L467" i="1"/>
  <c r="BD467" i="1"/>
  <c r="BE467" i="1" s="1"/>
  <c r="BF467" i="1" s="1"/>
  <c r="L459" i="1"/>
  <c r="BD459" i="1"/>
  <c r="BE459" i="1" s="1"/>
  <c r="BF459" i="1" s="1"/>
  <c r="L443" i="1"/>
  <c r="BD443" i="1"/>
  <c r="BE443" i="1" s="1"/>
  <c r="BF443" i="1" s="1"/>
  <c r="L395" i="1"/>
  <c r="BD395" i="1"/>
  <c r="BE395" i="1" s="1"/>
  <c r="BF395" i="1" s="1"/>
  <c r="L347" i="1"/>
  <c r="BD347" i="1"/>
  <c r="BE347" i="1" s="1"/>
  <c r="BF347" i="1" s="1"/>
  <c r="L323" i="1"/>
  <c r="BD323" i="1"/>
  <c r="BE323" i="1" s="1"/>
  <c r="BF323" i="1" s="1"/>
  <c r="L299" i="1"/>
  <c r="BD299" i="1"/>
  <c r="BE299" i="1" s="1"/>
  <c r="BF299" i="1" s="1"/>
  <c r="L267" i="1"/>
  <c r="BD267" i="1"/>
  <c r="BE267" i="1" s="1"/>
  <c r="BF267" i="1" s="1"/>
  <c r="L139" i="1"/>
  <c r="BD139" i="1"/>
  <c r="BE139" i="1" s="1"/>
  <c r="BF139" i="1" s="1"/>
  <c r="L99" i="1"/>
  <c r="L59" i="1"/>
  <c r="L43" i="1"/>
  <c r="L21" i="15"/>
  <c r="L916" i="15"/>
  <c r="AI916" i="15"/>
  <c r="AJ916" i="15" s="1"/>
  <c r="AK916" i="15" s="1"/>
  <c r="L858" i="15"/>
  <c r="AI858" i="15"/>
  <c r="AJ858" i="15" s="1"/>
  <c r="L939" i="15"/>
  <c r="AI939" i="15"/>
  <c r="AJ939" i="15" s="1"/>
  <c r="AK939" i="15" s="1"/>
  <c r="L929" i="15"/>
  <c r="AI929" i="15"/>
  <c r="AJ929" i="15" s="1"/>
  <c r="AK929" i="15" s="1"/>
  <c r="L896" i="15"/>
  <c r="AI896" i="15"/>
  <c r="AJ896" i="15" s="1"/>
  <c r="AK896" i="15" s="1"/>
  <c r="L886" i="15"/>
  <c r="AI886" i="15"/>
  <c r="AJ886" i="15" s="1"/>
  <c r="AK886" i="15" s="1"/>
  <c r="L868" i="15"/>
  <c r="AI868" i="15"/>
  <c r="AJ868" i="15" s="1"/>
  <c r="AK868" i="15" s="1"/>
  <c r="L855" i="15"/>
  <c r="AI855" i="15"/>
  <c r="AJ855" i="15" s="1"/>
  <c r="AK855" i="15" s="1"/>
  <c r="L843" i="15"/>
  <c r="AI843" i="15"/>
  <c r="AJ843" i="15" s="1"/>
  <c r="AK843" i="15" s="1"/>
  <c r="L835" i="15"/>
  <c r="AI835" i="15"/>
  <c r="AJ835" i="15" s="1"/>
  <c r="AK835" i="15" s="1"/>
  <c r="L824" i="15"/>
  <c r="AI824" i="15"/>
  <c r="AJ824" i="15" s="1"/>
  <c r="AK824" i="15" s="1"/>
  <c r="L813" i="15"/>
  <c r="AI813" i="15"/>
  <c r="AJ813" i="15" s="1"/>
  <c r="AK813" i="15" s="1"/>
  <c r="L803" i="15"/>
  <c r="AI803" i="15"/>
  <c r="AJ803" i="15" s="1"/>
  <c r="AK803" i="15" s="1"/>
  <c r="L793" i="15"/>
  <c r="AI793" i="15"/>
  <c r="AJ793" i="15" s="1"/>
  <c r="AK793" i="15" s="1"/>
  <c r="L785" i="15"/>
  <c r="AI785" i="15"/>
  <c r="AJ785" i="15" s="1"/>
  <c r="AK785" i="15" s="1"/>
  <c r="L776" i="15"/>
  <c r="AI776" i="15"/>
  <c r="AJ776" i="15" s="1"/>
  <c r="AK776" i="15" s="1"/>
  <c r="L768" i="15"/>
  <c r="AI768" i="15"/>
  <c r="AJ768" i="15" s="1"/>
  <c r="AK768" i="15" s="1"/>
  <c r="L724" i="15"/>
  <c r="AI724" i="15"/>
  <c r="AJ724" i="15" s="1"/>
  <c r="AK724" i="15" s="1"/>
  <c r="L716" i="15"/>
  <c r="AI716" i="15"/>
  <c r="AJ716" i="15" s="1"/>
  <c r="AK716" i="15" s="1"/>
  <c r="L690" i="15"/>
  <c r="AI690" i="15"/>
  <c r="AJ690" i="15" s="1"/>
  <c r="AK690" i="15" s="1"/>
  <c r="L681" i="15"/>
  <c r="AI681" i="15"/>
  <c r="AJ681" i="15" s="1"/>
  <c r="AK681" i="15" s="1"/>
  <c r="L672" i="15"/>
  <c r="AI672" i="15"/>
  <c r="AJ672" i="15" s="1"/>
  <c r="AK672" i="15" s="1"/>
  <c r="L664" i="15"/>
  <c r="AI664" i="15"/>
  <c r="AJ664" i="15" s="1"/>
  <c r="AK664" i="15" s="1"/>
  <c r="L642" i="15"/>
  <c r="AI642" i="15"/>
  <c r="AJ642" i="15" s="1"/>
  <c r="AK642" i="15" s="1"/>
  <c r="L633" i="15"/>
  <c r="AI633" i="15"/>
  <c r="AJ633" i="15" s="1"/>
  <c r="AK633" i="15" s="1"/>
  <c r="L624" i="15"/>
  <c r="AI624" i="15"/>
  <c r="AJ624" i="15" s="1"/>
  <c r="AK624" i="15" s="1"/>
  <c r="L616" i="15"/>
  <c r="AI616" i="15"/>
  <c r="AJ616" i="15" s="1"/>
  <c r="AK616" i="15" s="1"/>
  <c r="L513" i="15"/>
  <c r="AI513" i="15"/>
  <c r="AJ513" i="15" s="1"/>
  <c r="AK513" i="15" s="1"/>
  <c r="L488" i="15"/>
  <c r="AI488" i="15"/>
  <c r="AJ488" i="15" s="1"/>
  <c r="AK488" i="15" s="1"/>
  <c r="L360" i="15"/>
  <c r="AI360" i="15"/>
  <c r="AJ360" i="15" s="1"/>
  <c r="AK360" i="15" s="1"/>
  <c r="L352" i="15"/>
  <c r="AI352" i="15"/>
  <c r="AJ352" i="15" s="1"/>
  <c r="AK352" i="15" s="1"/>
  <c r="L320" i="15"/>
  <c r="AI320" i="15"/>
  <c r="AJ320" i="15" s="1"/>
  <c r="AK320" i="15" s="1"/>
  <c r="L312" i="15"/>
  <c r="AI312" i="15"/>
  <c r="AJ312" i="15" s="1"/>
  <c r="AK312" i="15" s="1"/>
  <c r="L304" i="15"/>
  <c r="AI304" i="15"/>
  <c r="AJ304" i="15" s="1"/>
  <c r="AK304" i="15" s="1"/>
  <c r="L296" i="15"/>
  <c r="AI296" i="15"/>
  <c r="AJ296" i="15" s="1"/>
  <c r="AK296" i="15" s="1"/>
  <c r="L23" i="1"/>
  <c r="L1137" i="1"/>
  <c r="BD1137" i="1"/>
  <c r="BE1137" i="1" s="1"/>
  <c r="BF1137" i="1" s="1"/>
  <c r="L1129" i="1"/>
  <c r="BD1129" i="1"/>
  <c r="BE1129" i="1" s="1"/>
  <c r="BF1129" i="1" s="1"/>
  <c r="L1105" i="1"/>
  <c r="BD1105" i="1"/>
  <c r="BE1105" i="1" s="1"/>
  <c r="BF1105" i="1" s="1"/>
  <c r="L1097" i="1"/>
  <c r="BD1097" i="1"/>
  <c r="BE1097" i="1" s="1"/>
  <c r="BF1097" i="1" s="1"/>
  <c r="L1088" i="1"/>
  <c r="BD1088" i="1"/>
  <c r="BE1088" i="1" s="1"/>
  <c r="BF1088" i="1" s="1"/>
  <c r="L1080" i="1"/>
  <c r="BE1080" i="1"/>
  <c r="BF1080" i="1" s="1"/>
  <c r="L1064" i="1"/>
  <c r="BD1064" i="1"/>
  <c r="BE1064" i="1" s="1"/>
  <c r="BF1064" i="1" s="1"/>
  <c r="L1056" i="1"/>
  <c r="BD1056" i="1"/>
  <c r="BE1056" i="1" s="1"/>
  <c r="BF1056" i="1" s="1"/>
  <c r="L1032" i="1"/>
  <c r="BD1032" i="1"/>
  <c r="BE1032" i="1" s="1"/>
  <c r="BF1032" i="1" s="1"/>
  <c r="L1016" i="1"/>
  <c r="BD1016" i="1"/>
  <c r="BE1016" i="1" s="1"/>
  <c r="BF1016" i="1" s="1"/>
  <c r="L1000" i="1"/>
  <c r="BD1000" i="1"/>
  <c r="BE1000" i="1" s="1"/>
  <c r="BF1000" i="1" s="1"/>
  <c r="L992" i="1"/>
  <c r="BD992" i="1"/>
  <c r="BE992" i="1" s="1"/>
  <c r="BF992" i="1" s="1"/>
  <c r="L984" i="1"/>
  <c r="BD984" i="1"/>
  <c r="BE984" i="1" s="1"/>
  <c r="BF984" i="1" s="1"/>
  <c r="L976" i="1"/>
  <c r="BD976" i="1"/>
  <c r="BE976" i="1" s="1"/>
  <c r="BF976" i="1" s="1"/>
  <c r="L968" i="1"/>
  <c r="BD968" i="1"/>
  <c r="BE968" i="1" s="1"/>
  <c r="BF968" i="1" s="1"/>
  <c r="L960" i="1"/>
  <c r="BD960" i="1"/>
  <c r="BE960" i="1" s="1"/>
  <c r="BF960" i="1" s="1"/>
  <c r="L952" i="1"/>
  <c r="BD952" i="1"/>
  <c r="BE952" i="1" s="1"/>
  <c r="BF952" i="1" s="1"/>
  <c r="L944" i="1"/>
  <c r="BD944" i="1"/>
  <c r="BE944" i="1" s="1"/>
  <c r="BF944" i="1" s="1"/>
  <c r="L936" i="1"/>
  <c r="BD936" i="1"/>
  <c r="BE936" i="1" s="1"/>
  <c r="BF936" i="1" s="1"/>
  <c r="L928" i="1"/>
  <c r="BD928" i="1"/>
  <c r="BE928" i="1" s="1"/>
  <c r="BF928" i="1" s="1"/>
  <c r="L920" i="1"/>
  <c r="BD920" i="1"/>
  <c r="BE920" i="1" s="1"/>
  <c r="BF920" i="1" s="1"/>
  <c r="L912" i="1"/>
  <c r="BD912" i="1"/>
  <c r="BE912" i="1" s="1"/>
  <c r="BF912" i="1" s="1"/>
  <c r="L904" i="1"/>
  <c r="BD904" i="1"/>
  <c r="BE904" i="1" s="1"/>
  <c r="BF904" i="1" s="1"/>
  <c r="L896" i="1"/>
  <c r="BD896" i="1"/>
  <c r="BE896" i="1" s="1"/>
  <c r="BF896" i="1" s="1"/>
  <c r="L880" i="1"/>
  <c r="BD880" i="1"/>
  <c r="BE880" i="1" s="1"/>
  <c r="BF880" i="1" s="1"/>
  <c r="L872" i="1"/>
  <c r="BD872" i="1"/>
  <c r="BE872" i="1" s="1"/>
  <c r="BF872" i="1" s="1"/>
  <c r="L864" i="1"/>
  <c r="BD864" i="1"/>
  <c r="BE864" i="1" s="1"/>
  <c r="BF864" i="1" s="1"/>
  <c r="L856" i="1"/>
  <c r="BD856" i="1"/>
  <c r="BE856" i="1" s="1"/>
  <c r="BF856" i="1" s="1"/>
  <c r="L848" i="1"/>
  <c r="BD848" i="1"/>
  <c r="BE848" i="1" s="1"/>
  <c r="BF848" i="1" s="1"/>
  <c r="L840" i="1"/>
  <c r="BD840" i="1"/>
  <c r="BE840" i="1" s="1"/>
  <c r="BF840" i="1" s="1"/>
  <c r="L832" i="1"/>
  <c r="BD832" i="1"/>
  <c r="BE832" i="1" s="1"/>
  <c r="BF832" i="1" s="1"/>
  <c r="L824" i="1"/>
  <c r="BD824" i="1"/>
  <c r="BE824" i="1" s="1"/>
  <c r="BF824" i="1" s="1"/>
  <c r="L816" i="1"/>
  <c r="BD816" i="1"/>
  <c r="BE816" i="1" s="1"/>
  <c r="BF816" i="1" s="1"/>
  <c r="L808" i="1"/>
  <c r="BD808" i="1"/>
  <c r="BE808" i="1" s="1"/>
  <c r="BF808" i="1" s="1"/>
  <c r="L800" i="1"/>
  <c r="BD800" i="1"/>
  <c r="BE800" i="1" s="1"/>
  <c r="BF800" i="1" s="1"/>
  <c r="L792" i="1"/>
  <c r="BD792" i="1"/>
  <c r="BE792" i="1" s="1"/>
  <c r="BF792" i="1" s="1"/>
  <c r="L784" i="1"/>
  <c r="BD784" i="1"/>
  <c r="BE784" i="1" s="1"/>
  <c r="BF784" i="1" s="1"/>
  <c r="L776" i="1"/>
  <c r="BD776" i="1"/>
  <c r="BE776" i="1" s="1"/>
  <c r="BF776" i="1" s="1"/>
  <c r="L768" i="1"/>
  <c r="BD768" i="1"/>
  <c r="BE768" i="1" s="1"/>
  <c r="BF768" i="1" s="1"/>
  <c r="L760" i="1"/>
  <c r="BD760" i="1"/>
  <c r="BE760" i="1" s="1"/>
  <c r="BF760" i="1" s="1"/>
  <c r="L752" i="1"/>
  <c r="BD752" i="1"/>
  <c r="BE752" i="1" s="1"/>
  <c r="BF752" i="1" s="1"/>
  <c r="L736" i="1"/>
  <c r="BD736" i="1"/>
  <c r="BE736" i="1" s="1"/>
  <c r="BF736" i="1" s="1"/>
  <c r="L728" i="1"/>
  <c r="BD728" i="1"/>
  <c r="BE728" i="1" s="1"/>
  <c r="BF728" i="1" s="1"/>
  <c r="L720" i="1"/>
  <c r="BD720" i="1"/>
  <c r="BE720" i="1" s="1"/>
  <c r="BF720" i="1" s="1"/>
  <c r="L704" i="1"/>
  <c r="BD704" i="1"/>
  <c r="BE704" i="1" s="1"/>
  <c r="BF704" i="1" s="1"/>
  <c r="L696" i="1"/>
  <c r="BD696" i="1"/>
  <c r="BE696" i="1" s="1"/>
  <c r="BF696" i="1" s="1"/>
  <c r="L688" i="1"/>
  <c r="BD688" i="1"/>
  <c r="BE688" i="1" s="1"/>
  <c r="BF688" i="1" s="1"/>
  <c r="L664" i="1"/>
  <c r="BD664" i="1"/>
  <c r="BE664" i="1" s="1"/>
  <c r="BF664" i="1" s="1"/>
  <c r="L656" i="1"/>
  <c r="BD656" i="1"/>
  <c r="BE656" i="1" s="1"/>
  <c r="BF656" i="1" s="1"/>
  <c r="L648" i="1"/>
  <c r="BD648" i="1"/>
  <c r="BE648" i="1" s="1"/>
  <c r="BF648" i="1" s="1"/>
  <c r="L640" i="1"/>
  <c r="BD640" i="1"/>
  <c r="BE640" i="1" s="1"/>
  <c r="BF640" i="1" s="1"/>
  <c r="L632" i="1"/>
  <c r="BD632" i="1"/>
  <c r="BE632" i="1" s="1"/>
  <c r="BF632" i="1" s="1"/>
  <c r="L624" i="1"/>
  <c r="BD624" i="1"/>
  <c r="BE624" i="1" s="1"/>
  <c r="BF624" i="1" s="1"/>
  <c r="L608" i="1"/>
  <c r="BD608" i="1"/>
  <c r="BE608" i="1" s="1"/>
  <c r="BF608" i="1" s="1"/>
  <c r="L600" i="1"/>
  <c r="BD600" i="1"/>
  <c r="BE600" i="1" s="1"/>
  <c r="BF600" i="1" s="1"/>
  <c r="L576" i="1"/>
  <c r="BD576" i="1"/>
  <c r="BE576" i="1" s="1"/>
  <c r="BF576" i="1" s="1"/>
  <c r="L568" i="1"/>
  <c r="BD568" i="1"/>
  <c r="BE568" i="1" s="1"/>
  <c r="BF568" i="1" s="1"/>
  <c r="L552" i="1"/>
  <c r="BD552" i="1"/>
  <c r="BE552" i="1" s="1"/>
  <c r="BF552" i="1" s="1"/>
  <c r="L544" i="1"/>
  <c r="BD544" i="1"/>
  <c r="BE544" i="1" s="1"/>
  <c r="BF544" i="1" s="1"/>
  <c r="L528" i="1"/>
  <c r="BD528" i="1"/>
  <c r="BE528" i="1" s="1"/>
  <c r="BF528" i="1" s="1"/>
  <c r="L520" i="1"/>
  <c r="BD520" i="1"/>
  <c r="BE520" i="1" s="1"/>
  <c r="BF520" i="1" s="1"/>
  <c r="L488" i="1"/>
  <c r="BD488" i="1"/>
  <c r="BE488" i="1" s="1"/>
  <c r="BF488" i="1" s="1"/>
  <c r="L480" i="1"/>
  <c r="BD480" i="1"/>
  <c r="BE480" i="1" s="1"/>
  <c r="BF480" i="1" s="1"/>
  <c r="L472" i="1"/>
  <c r="BD472" i="1"/>
  <c r="BE472" i="1" s="1"/>
  <c r="BF472" i="1" s="1"/>
  <c r="L464" i="1"/>
  <c r="BD464" i="1"/>
  <c r="BE464" i="1" s="1"/>
  <c r="BF464" i="1" s="1"/>
  <c r="L456" i="1"/>
  <c r="BD456" i="1"/>
  <c r="BE456" i="1" s="1"/>
  <c r="BF456" i="1" s="1"/>
  <c r="L424" i="1"/>
  <c r="BD424" i="1"/>
  <c r="BE424" i="1" s="1"/>
  <c r="BF424" i="1" s="1"/>
  <c r="L416" i="1"/>
  <c r="BD416" i="1"/>
  <c r="BE416" i="1" s="1"/>
  <c r="BF416" i="1" s="1"/>
  <c r="L408" i="1"/>
  <c r="BD408" i="1"/>
  <c r="BE408" i="1" s="1"/>
  <c r="BF408" i="1" s="1"/>
  <c r="L400" i="1"/>
  <c r="BD400" i="1"/>
  <c r="BE400" i="1" s="1"/>
  <c r="BF400" i="1" s="1"/>
  <c r="L368" i="1"/>
  <c r="BD368" i="1"/>
  <c r="BE368" i="1" s="1"/>
  <c r="BF368" i="1" s="1"/>
  <c r="L360" i="1"/>
  <c r="BD360" i="1"/>
  <c r="BE360" i="1" s="1"/>
  <c r="BF360" i="1" s="1"/>
  <c r="L352" i="1"/>
  <c r="BD352" i="1"/>
  <c r="BE352" i="1" s="1"/>
  <c r="BF352" i="1" s="1"/>
  <c r="L344" i="1"/>
  <c r="BD344" i="1"/>
  <c r="BE344" i="1" s="1"/>
  <c r="BF344" i="1" s="1"/>
  <c r="L328" i="1"/>
  <c r="BD328" i="1"/>
  <c r="BE328" i="1" s="1"/>
  <c r="BF328" i="1" s="1"/>
  <c r="L320" i="1"/>
  <c r="BD320" i="1"/>
  <c r="BE320" i="1" s="1"/>
  <c r="BF320" i="1" s="1"/>
  <c r="L312" i="1"/>
  <c r="BD312" i="1"/>
  <c r="BE312" i="1" s="1"/>
  <c r="BF312" i="1" s="1"/>
  <c r="L296" i="1"/>
  <c r="BD296" i="1"/>
  <c r="BE296" i="1" s="1"/>
  <c r="BF296" i="1" s="1"/>
  <c r="L288" i="1"/>
  <c r="BD288" i="1"/>
  <c r="BE288" i="1" s="1"/>
  <c r="BF288" i="1" s="1"/>
  <c r="L280" i="1"/>
  <c r="BD280" i="1"/>
  <c r="BE280" i="1" s="1"/>
  <c r="BF280" i="1" s="1"/>
  <c r="L272" i="1"/>
  <c r="BD272" i="1"/>
  <c r="BE272" i="1" s="1"/>
  <c r="BF272" i="1" s="1"/>
  <c r="L264" i="1"/>
  <c r="BD264" i="1"/>
  <c r="BE264" i="1" s="1"/>
  <c r="BF264" i="1" s="1"/>
  <c r="L256" i="1"/>
  <c r="BD256" i="1"/>
  <c r="BE256" i="1" s="1"/>
  <c r="BF256" i="1" s="1"/>
  <c r="L248" i="1"/>
  <c r="BD248" i="1"/>
  <c r="BE248" i="1" s="1"/>
  <c r="BF248" i="1" s="1"/>
  <c r="L216" i="1"/>
  <c r="BD216" i="1"/>
  <c r="BE216" i="1" s="1"/>
  <c r="BF216" i="1" s="1"/>
  <c r="L192" i="1"/>
  <c r="BD192" i="1"/>
  <c r="BE192" i="1" s="1"/>
  <c r="BF192" i="1" s="1"/>
  <c r="L184" i="1"/>
  <c r="BD184" i="1"/>
  <c r="BE184" i="1" s="1"/>
  <c r="BF184" i="1" s="1"/>
  <c r="L104" i="1"/>
  <c r="BD104" i="1"/>
  <c r="BE104" i="1" s="1"/>
  <c r="BF104" i="1" s="1"/>
  <c r="L88" i="1"/>
  <c r="L72" i="1"/>
  <c r="L64" i="1"/>
  <c r="L56" i="1"/>
  <c r="N437" i="15"/>
  <c r="L876" i="15"/>
  <c r="N883" i="15"/>
  <c r="M785" i="15"/>
  <c r="M520" i="15"/>
  <c r="M472" i="15"/>
  <c r="M929" i="15"/>
  <c r="M913" i="15"/>
  <c r="M714" i="15"/>
  <c r="M841" i="15"/>
  <c r="M772" i="15"/>
  <c r="M649" i="15"/>
  <c r="M488" i="15"/>
  <c r="M833" i="15"/>
  <c r="M801" i="15"/>
  <c r="M745" i="15"/>
  <c r="M578" i="15"/>
  <c r="M352" i="15"/>
  <c r="M664" i="15"/>
  <c r="M873" i="15"/>
  <c r="M793" i="15"/>
  <c r="M729" i="15"/>
  <c r="M553" i="15"/>
  <c r="H36" i="1"/>
  <c r="M1079" i="1"/>
  <c r="M1013" i="1"/>
  <c r="M517" i="1"/>
  <c r="L532" i="15"/>
  <c r="M532" i="15"/>
  <c r="L341" i="15"/>
  <c r="M341" i="15"/>
  <c r="L322" i="15"/>
  <c r="M322" i="15"/>
  <c r="L251" i="15"/>
  <c r="M251" i="15"/>
  <c r="L242" i="15"/>
  <c r="M242" i="15"/>
  <c r="L201" i="15"/>
  <c r="M201" i="15"/>
  <c r="L143" i="15"/>
  <c r="M143" i="15"/>
  <c r="L98" i="15"/>
  <c r="M98" i="15"/>
  <c r="L89" i="15"/>
  <c r="M89" i="15"/>
  <c r="L77" i="15"/>
  <c r="M77" i="15"/>
  <c r="L59" i="15"/>
  <c r="M59" i="15"/>
  <c r="L50" i="15"/>
  <c r="M50" i="15"/>
  <c r="L42" i="15"/>
  <c r="M42" i="15"/>
  <c r="L33" i="15"/>
  <c r="M33" i="15"/>
  <c r="M937" i="15"/>
  <c r="M921" i="15"/>
  <c r="M897" i="15"/>
  <c r="M881" i="15"/>
  <c r="M849" i="15"/>
  <c r="M825" i="15"/>
  <c r="M809" i="15"/>
  <c r="M760" i="15"/>
  <c r="M700" i="15"/>
  <c r="M682" i="15"/>
  <c r="M634" i="15"/>
  <c r="M617" i="15"/>
  <c r="L759" i="15"/>
  <c r="M759" i="15"/>
  <c r="L751" i="15"/>
  <c r="M751" i="15"/>
  <c r="L742" i="15"/>
  <c r="M742" i="15"/>
  <c r="L733" i="15"/>
  <c r="M733" i="15"/>
  <c r="L707" i="15"/>
  <c r="M707" i="15"/>
  <c r="L699" i="15"/>
  <c r="M699" i="15"/>
  <c r="L652" i="15"/>
  <c r="M652" i="15"/>
  <c r="L607" i="15"/>
  <c r="M607" i="15"/>
  <c r="L590" i="15"/>
  <c r="M590" i="15"/>
  <c r="L580" i="15"/>
  <c r="M580" i="15"/>
  <c r="L570" i="15"/>
  <c r="M570" i="15"/>
  <c r="L562" i="15"/>
  <c r="M562" i="15"/>
  <c r="L554" i="15"/>
  <c r="M554" i="15"/>
  <c r="L539" i="15"/>
  <c r="M539" i="15"/>
  <c r="L531" i="15"/>
  <c r="M531" i="15"/>
  <c r="L522" i="15"/>
  <c r="M522" i="15"/>
  <c r="L500" i="15"/>
  <c r="M500" i="15"/>
  <c r="L476" i="15"/>
  <c r="M476" i="15"/>
  <c r="L468" i="15"/>
  <c r="M468" i="15"/>
  <c r="L460" i="15"/>
  <c r="M460" i="15"/>
  <c r="L452" i="15"/>
  <c r="M452" i="15"/>
  <c r="L443" i="15"/>
  <c r="M443" i="15"/>
  <c r="L435" i="15"/>
  <c r="M435" i="15"/>
  <c r="L427" i="15"/>
  <c r="M427" i="15"/>
  <c r="L415" i="15"/>
  <c r="M415" i="15"/>
  <c r="L405" i="15"/>
  <c r="M405" i="15"/>
  <c r="L397" i="15"/>
  <c r="M397" i="15"/>
  <c r="L389" i="15"/>
  <c r="M389" i="15"/>
  <c r="L377" i="15"/>
  <c r="M377" i="15"/>
  <c r="L369" i="15"/>
  <c r="M369" i="15"/>
  <c r="L339" i="15"/>
  <c r="M339" i="15"/>
  <c r="L329" i="15"/>
  <c r="M329" i="15"/>
  <c r="L321" i="15"/>
  <c r="M321" i="15"/>
  <c r="L313" i="15"/>
  <c r="M313" i="15"/>
  <c r="L305" i="15"/>
  <c r="M305" i="15"/>
  <c r="L297" i="15"/>
  <c r="M297" i="15"/>
  <c r="L286" i="15"/>
  <c r="M286" i="15"/>
  <c r="L278" i="15"/>
  <c r="M278" i="15"/>
  <c r="L270" i="15"/>
  <c r="M270" i="15"/>
  <c r="L260" i="15"/>
  <c r="M260" i="15"/>
  <c r="L249" i="15"/>
  <c r="M249" i="15"/>
  <c r="L241" i="15"/>
  <c r="M241" i="15"/>
  <c r="L233" i="15"/>
  <c r="M233" i="15"/>
  <c r="L224" i="15"/>
  <c r="M224" i="15"/>
  <c r="L216" i="15"/>
  <c r="M216" i="15"/>
  <c r="L208" i="15"/>
  <c r="M208" i="15"/>
  <c r="L200" i="15"/>
  <c r="M200" i="15"/>
  <c r="L187" i="15"/>
  <c r="M187" i="15"/>
  <c r="L175" i="15"/>
  <c r="M175" i="15"/>
  <c r="L165" i="15"/>
  <c r="M165" i="15"/>
  <c r="L142" i="15"/>
  <c r="M142" i="15"/>
  <c r="L132" i="15"/>
  <c r="M132" i="15"/>
  <c r="L122" i="15"/>
  <c r="L113" i="15"/>
  <c r="M113" i="15"/>
  <c r="L105" i="15"/>
  <c r="M105" i="15"/>
  <c r="L97" i="15"/>
  <c r="M97" i="15"/>
  <c r="L88" i="15"/>
  <c r="M88" i="15"/>
  <c r="L76" i="15"/>
  <c r="M76" i="15"/>
  <c r="L68" i="15"/>
  <c r="M68" i="15"/>
  <c r="L58" i="15"/>
  <c r="M58" i="15"/>
  <c r="L49" i="15"/>
  <c r="M49" i="15"/>
  <c r="L41" i="15"/>
  <c r="M41" i="15"/>
  <c r="M944" i="15"/>
  <c r="M936" i="15"/>
  <c r="M920" i="15"/>
  <c r="M912" i="15"/>
  <c r="M904" i="15"/>
  <c r="M896" i="15"/>
  <c r="M888" i="15"/>
  <c r="M880" i="15"/>
  <c r="M856" i="15"/>
  <c r="M848" i="15"/>
  <c r="M840" i="15"/>
  <c r="M832" i="15"/>
  <c r="M824" i="15"/>
  <c r="M808" i="15"/>
  <c r="M792" i="15"/>
  <c r="M784" i="15"/>
  <c r="M770" i="15"/>
  <c r="M756" i="15"/>
  <c r="M744" i="15"/>
  <c r="M728" i="15"/>
  <c r="M713" i="15"/>
  <c r="M698" i="15"/>
  <c r="M681" i="15"/>
  <c r="M648" i="15"/>
  <c r="M633" i="15"/>
  <c r="M616" i="15"/>
  <c r="M602" i="15"/>
  <c r="M577" i="15"/>
  <c r="M552" i="15"/>
  <c r="M497" i="15"/>
  <c r="M464" i="15"/>
  <c r="L743" i="15"/>
  <c r="M743" i="15"/>
  <c r="L563" i="15"/>
  <c r="M563" i="15"/>
  <c r="L514" i="15"/>
  <c r="M514" i="15"/>
  <c r="L453" i="15"/>
  <c r="M453" i="15"/>
  <c r="L428" i="15"/>
  <c r="M428" i="15"/>
  <c r="L378" i="15"/>
  <c r="M378" i="15"/>
  <c r="L306" i="15"/>
  <c r="M306" i="15"/>
  <c r="L261" i="15"/>
  <c r="M261" i="15"/>
  <c r="L225" i="15"/>
  <c r="M225" i="15"/>
  <c r="L217" i="15"/>
  <c r="M217" i="15"/>
  <c r="L168" i="15"/>
  <c r="M168" i="15"/>
  <c r="L135" i="15"/>
  <c r="M135" i="15"/>
  <c r="L123" i="15"/>
  <c r="M123" i="15"/>
  <c r="L106" i="15"/>
  <c r="M106" i="15"/>
  <c r="L69" i="15"/>
  <c r="M69" i="15"/>
  <c r="L775" i="15"/>
  <c r="M775" i="15"/>
  <c r="L767" i="15"/>
  <c r="M767" i="15"/>
  <c r="L758" i="15"/>
  <c r="M758" i="15"/>
  <c r="L749" i="15"/>
  <c r="M749" i="15"/>
  <c r="L741" i="15"/>
  <c r="M741" i="15"/>
  <c r="L723" i="15"/>
  <c r="M723" i="15"/>
  <c r="L715" i="15"/>
  <c r="M715" i="15"/>
  <c r="L671" i="15"/>
  <c r="M671" i="15"/>
  <c r="L663" i="15"/>
  <c r="M663" i="15"/>
  <c r="L651" i="15"/>
  <c r="M651" i="15"/>
  <c r="L623" i="15"/>
  <c r="M623" i="15"/>
  <c r="L615" i="15"/>
  <c r="M615" i="15"/>
  <c r="L603" i="15"/>
  <c r="M603" i="15"/>
  <c r="L589" i="15"/>
  <c r="M589" i="15"/>
  <c r="L538" i="15"/>
  <c r="M538" i="15"/>
  <c r="L530" i="15"/>
  <c r="M530" i="15"/>
  <c r="L509" i="15"/>
  <c r="M509" i="15"/>
  <c r="L499" i="15"/>
  <c r="M499" i="15"/>
  <c r="L486" i="15"/>
  <c r="M486" i="15"/>
  <c r="L475" i="15"/>
  <c r="M475" i="15"/>
  <c r="L467" i="15"/>
  <c r="M467" i="15"/>
  <c r="L459" i="15"/>
  <c r="M459" i="15"/>
  <c r="L451" i="15"/>
  <c r="M451" i="15"/>
  <c r="L442" i="15"/>
  <c r="M442" i="15"/>
  <c r="L434" i="15"/>
  <c r="M434" i="15"/>
  <c r="L423" i="15"/>
  <c r="M423" i="15"/>
  <c r="L414" i="15"/>
  <c r="M414" i="15"/>
  <c r="L404" i="15"/>
  <c r="M404" i="15"/>
  <c r="L396" i="15"/>
  <c r="M396" i="15"/>
  <c r="L388" i="15"/>
  <c r="M388" i="15"/>
  <c r="L359" i="15"/>
  <c r="M359" i="15"/>
  <c r="L351" i="15"/>
  <c r="M351" i="15"/>
  <c r="L338" i="15"/>
  <c r="M338" i="15"/>
  <c r="L285" i="15"/>
  <c r="M285" i="15"/>
  <c r="L277" i="15"/>
  <c r="M277" i="15"/>
  <c r="L269" i="15"/>
  <c r="M269" i="15"/>
  <c r="L258" i="15"/>
  <c r="M258" i="15"/>
  <c r="L248" i="15"/>
  <c r="M248" i="15"/>
  <c r="L240" i="15"/>
  <c r="M240" i="15"/>
  <c r="L232" i="15"/>
  <c r="M232" i="15"/>
  <c r="L223" i="15"/>
  <c r="M223" i="15"/>
  <c r="L215" i="15"/>
  <c r="M215" i="15"/>
  <c r="L207" i="15"/>
  <c r="M207" i="15"/>
  <c r="L199" i="15"/>
  <c r="M199" i="15"/>
  <c r="L184" i="15"/>
  <c r="M184" i="15"/>
  <c r="L174" i="15"/>
  <c r="M174" i="15"/>
  <c r="L164" i="15"/>
  <c r="M164" i="15"/>
  <c r="L141" i="15"/>
  <c r="M141" i="15"/>
  <c r="L129" i="15"/>
  <c r="M129" i="15"/>
  <c r="L121" i="15"/>
  <c r="M121" i="15"/>
  <c r="L112" i="15"/>
  <c r="M112" i="15"/>
  <c r="L104" i="15"/>
  <c r="M104" i="15"/>
  <c r="L96" i="15"/>
  <c r="M96" i="15"/>
  <c r="L87" i="15"/>
  <c r="M87" i="15"/>
  <c r="L75" i="15"/>
  <c r="M75" i="15"/>
  <c r="L67" i="15"/>
  <c r="M67" i="15"/>
  <c r="L57" i="15"/>
  <c r="M57" i="15"/>
  <c r="L48" i="15"/>
  <c r="M48" i="15"/>
  <c r="L39" i="15"/>
  <c r="M39" i="15"/>
  <c r="M943" i="15"/>
  <c r="M935" i="15"/>
  <c r="M919" i="15"/>
  <c r="M911" i="15"/>
  <c r="M903" i="15"/>
  <c r="M895" i="15"/>
  <c r="M879" i="15"/>
  <c r="M871" i="15"/>
  <c r="M863" i="15"/>
  <c r="M855" i="15"/>
  <c r="M839" i="15"/>
  <c r="M831" i="15"/>
  <c r="M823" i="15"/>
  <c r="M815" i="15"/>
  <c r="M807" i="15"/>
  <c r="M799" i="15"/>
  <c r="M791" i="15"/>
  <c r="M783" i="15"/>
  <c r="M769" i="15"/>
  <c r="M754" i="15"/>
  <c r="M740" i="15"/>
  <c r="M712" i="15"/>
  <c r="M680" i="15"/>
  <c r="M632" i="15"/>
  <c r="M601" i="15"/>
  <c r="M576" i="15"/>
  <c r="M537" i="15"/>
  <c r="M513" i="15"/>
  <c r="M496" i="15"/>
  <c r="M328" i="15"/>
  <c r="M288" i="15"/>
  <c r="L653" i="15"/>
  <c r="M653" i="15"/>
  <c r="L571" i="15"/>
  <c r="M571" i="15"/>
  <c r="L398" i="15"/>
  <c r="M398" i="15"/>
  <c r="L176" i="15"/>
  <c r="M176" i="15"/>
  <c r="L774" i="15"/>
  <c r="M774" i="15"/>
  <c r="L766" i="15"/>
  <c r="M766" i="15"/>
  <c r="L757" i="15"/>
  <c r="M757" i="15"/>
  <c r="L731" i="15"/>
  <c r="M731" i="15"/>
  <c r="L679" i="15"/>
  <c r="M679" i="15"/>
  <c r="L670" i="15"/>
  <c r="M670" i="15"/>
  <c r="M662" i="15"/>
  <c r="L662" i="15"/>
  <c r="L630" i="15"/>
  <c r="M630" i="15"/>
  <c r="L622" i="15"/>
  <c r="M622" i="15"/>
  <c r="L614" i="15"/>
  <c r="M614" i="15"/>
  <c r="L588" i="15"/>
  <c r="M588" i="15"/>
  <c r="L508" i="15"/>
  <c r="M508" i="15"/>
  <c r="L498" i="15"/>
  <c r="M498" i="15"/>
  <c r="L484" i="15"/>
  <c r="M484" i="15"/>
  <c r="L474" i="15"/>
  <c r="M474" i="15"/>
  <c r="L466" i="15"/>
  <c r="M466" i="15"/>
  <c r="L458" i="15"/>
  <c r="L450" i="15"/>
  <c r="M450" i="15"/>
  <c r="L441" i="15"/>
  <c r="M441" i="15"/>
  <c r="L433" i="15"/>
  <c r="M433" i="15"/>
  <c r="L422" i="15"/>
  <c r="M422" i="15"/>
  <c r="L413" i="15"/>
  <c r="M413" i="15"/>
  <c r="L403" i="15"/>
  <c r="M403" i="15"/>
  <c r="L395" i="15"/>
  <c r="M395" i="15"/>
  <c r="L387" i="15"/>
  <c r="M387" i="15"/>
  <c r="L375" i="15"/>
  <c r="M375" i="15"/>
  <c r="L367" i="15"/>
  <c r="M367" i="15"/>
  <c r="L358" i="15"/>
  <c r="M358" i="15"/>
  <c r="L350" i="15"/>
  <c r="M350" i="15"/>
  <c r="L337" i="15"/>
  <c r="M337" i="15"/>
  <c r="L319" i="15"/>
  <c r="M319" i="15"/>
  <c r="L311" i="15"/>
  <c r="M311" i="15"/>
  <c r="L303" i="15"/>
  <c r="M303" i="15"/>
  <c r="L295" i="15"/>
  <c r="M295" i="15"/>
  <c r="L284" i="15"/>
  <c r="M284" i="15"/>
  <c r="L276" i="15"/>
  <c r="M276" i="15"/>
  <c r="L268" i="15"/>
  <c r="M268" i="15"/>
  <c r="L257" i="15"/>
  <c r="M257" i="15"/>
  <c r="L247" i="15"/>
  <c r="M247" i="15"/>
  <c r="L239" i="15"/>
  <c r="M239" i="15"/>
  <c r="L230" i="15"/>
  <c r="M230" i="15"/>
  <c r="L222" i="15"/>
  <c r="M222" i="15"/>
  <c r="L214" i="15"/>
  <c r="M214" i="15"/>
  <c r="L206" i="15"/>
  <c r="M206" i="15"/>
  <c r="L198" i="15"/>
  <c r="M198" i="15"/>
  <c r="L183" i="15"/>
  <c r="M183" i="15"/>
  <c r="L173" i="15"/>
  <c r="M173" i="15"/>
  <c r="L161" i="15"/>
  <c r="M161" i="15"/>
  <c r="L153" i="15"/>
  <c r="M153" i="15"/>
  <c r="L128" i="15"/>
  <c r="M128" i="15"/>
  <c r="L119" i="15"/>
  <c r="M119" i="15"/>
  <c r="L111" i="15"/>
  <c r="M111" i="15"/>
  <c r="L95" i="15"/>
  <c r="M95" i="15"/>
  <c r="L86" i="15"/>
  <c r="M86" i="15"/>
  <c r="L74" i="15"/>
  <c r="M74" i="15"/>
  <c r="L66" i="15"/>
  <c r="M66" i="15"/>
  <c r="L56" i="15"/>
  <c r="M56" i="15"/>
  <c r="L47" i="15"/>
  <c r="M47" i="15"/>
  <c r="L38" i="15"/>
  <c r="M38" i="15"/>
  <c r="M942" i="15"/>
  <c r="M910" i="15"/>
  <c r="M902" i="15"/>
  <c r="M886" i="15"/>
  <c r="M878" i="15"/>
  <c r="M870" i="15"/>
  <c r="M862" i="15"/>
  <c r="M838" i="15"/>
  <c r="M830" i="15"/>
  <c r="M822" i="15"/>
  <c r="M814" i="15"/>
  <c r="M798" i="15"/>
  <c r="M790" i="15"/>
  <c r="M782" i="15"/>
  <c r="M768" i="15"/>
  <c r="M753" i="15"/>
  <c r="M724" i="15"/>
  <c r="M696" i="15"/>
  <c r="M674" i="15"/>
  <c r="M610" i="15"/>
  <c r="M600" i="15"/>
  <c r="M536" i="15"/>
  <c r="M448" i="15"/>
  <c r="M416" i="15"/>
  <c r="L734" i="15"/>
  <c r="M734" i="15"/>
  <c r="L691" i="15"/>
  <c r="M691" i="15"/>
  <c r="L581" i="15"/>
  <c r="M581" i="15"/>
  <c r="L523" i="15"/>
  <c r="M523" i="15"/>
  <c r="L436" i="15"/>
  <c r="M436" i="15"/>
  <c r="L361" i="15"/>
  <c r="M361" i="15"/>
  <c r="L330" i="15"/>
  <c r="M330" i="15"/>
  <c r="L279" i="15"/>
  <c r="M279" i="15"/>
  <c r="L188" i="15"/>
  <c r="M188" i="15"/>
  <c r="L739" i="15"/>
  <c r="M739" i="15"/>
  <c r="L695" i="15"/>
  <c r="M695" i="15"/>
  <c r="L687" i="15"/>
  <c r="M687" i="15"/>
  <c r="L678" i="15"/>
  <c r="M678" i="15"/>
  <c r="L669" i="15"/>
  <c r="M669" i="15"/>
  <c r="L639" i="15"/>
  <c r="M639" i="15"/>
  <c r="L629" i="15"/>
  <c r="M629" i="15"/>
  <c r="L621" i="15"/>
  <c r="M621" i="15"/>
  <c r="L612" i="15"/>
  <c r="M612" i="15"/>
  <c r="L567" i="15"/>
  <c r="M567" i="15"/>
  <c r="L559" i="15"/>
  <c r="M559" i="15"/>
  <c r="L548" i="15"/>
  <c r="M548" i="15"/>
  <c r="L519" i="15"/>
  <c r="M519" i="15"/>
  <c r="L506" i="15"/>
  <c r="M506" i="15"/>
  <c r="L483" i="15"/>
  <c r="M483" i="15"/>
  <c r="L465" i="15"/>
  <c r="M465" i="15"/>
  <c r="L457" i="15"/>
  <c r="L449" i="15"/>
  <c r="M449" i="15"/>
  <c r="L421" i="15"/>
  <c r="M421" i="15"/>
  <c r="L411" i="15"/>
  <c r="M411" i="15"/>
  <c r="L402" i="15"/>
  <c r="M402" i="15"/>
  <c r="L394" i="15"/>
  <c r="M394" i="15"/>
  <c r="L386" i="15"/>
  <c r="M386" i="15"/>
  <c r="L374" i="15"/>
  <c r="M374" i="15"/>
  <c r="L366" i="15"/>
  <c r="M366" i="15"/>
  <c r="L357" i="15"/>
  <c r="M357" i="15"/>
  <c r="L349" i="15"/>
  <c r="M349" i="15"/>
  <c r="L326" i="15"/>
  <c r="M326" i="15"/>
  <c r="L318" i="15"/>
  <c r="M318" i="15"/>
  <c r="L310" i="15"/>
  <c r="M310" i="15"/>
  <c r="L302" i="15"/>
  <c r="M302" i="15"/>
  <c r="L294" i="15"/>
  <c r="M294" i="15"/>
  <c r="L283" i="15"/>
  <c r="M283" i="15"/>
  <c r="L275" i="15"/>
  <c r="M275" i="15"/>
  <c r="L267" i="15"/>
  <c r="M267" i="15"/>
  <c r="L256" i="15"/>
  <c r="M256" i="15"/>
  <c r="L246" i="15"/>
  <c r="M246" i="15"/>
  <c r="L238" i="15"/>
  <c r="M238" i="15"/>
  <c r="L229" i="15"/>
  <c r="M229" i="15"/>
  <c r="L221" i="15"/>
  <c r="M221" i="15"/>
  <c r="L213" i="15"/>
  <c r="M213" i="15"/>
  <c r="L205" i="15"/>
  <c r="M205" i="15"/>
  <c r="L197" i="15"/>
  <c r="M197" i="15"/>
  <c r="L182" i="15"/>
  <c r="M182" i="15"/>
  <c r="L172" i="15"/>
  <c r="M172" i="15"/>
  <c r="L160" i="15"/>
  <c r="M160" i="15"/>
  <c r="L150" i="15"/>
  <c r="M150" i="15"/>
  <c r="L127" i="15"/>
  <c r="M127" i="15"/>
  <c r="L118" i="15"/>
  <c r="M118" i="15"/>
  <c r="L110" i="15"/>
  <c r="M110" i="15"/>
  <c r="L102" i="15"/>
  <c r="M102" i="15"/>
  <c r="L94" i="15"/>
  <c r="M94" i="15"/>
  <c r="L85" i="15"/>
  <c r="M85" i="15"/>
  <c r="L73" i="15"/>
  <c r="M73" i="15"/>
  <c r="L65" i="15"/>
  <c r="M65" i="15"/>
  <c r="L55" i="15"/>
  <c r="M55" i="15"/>
  <c r="L46" i="15"/>
  <c r="M46" i="15"/>
  <c r="L37" i="15"/>
  <c r="M37" i="15"/>
  <c r="L29" i="15"/>
  <c r="M29" i="15"/>
  <c r="M21" i="15"/>
  <c r="M941" i="15"/>
  <c r="M933" i="15"/>
  <c r="M925" i="15"/>
  <c r="M909" i="15"/>
  <c r="M901" i="15"/>
  <c r="M893" i="15"/>
  <c r="M885" i="15"/>
  <c r="M877" i="15"/>
  <c r="M869" i="15"/>
  <c r="M861" i="15"/>
  <c r="M853" i="15"/>
  <c r="M837" i="15"/>
  <c r="M821" i="15"/>
  <c r="M813" i="15"/>
  <c r="M805" i="15"/>
  <c r="M797" i="15"/>
  <c r="M789" i="15"/>
  <c r="M752" i="15"/>
  <c r="M737" i="15"/>
  <c r="M722" i="15"/>
  <c r="M708" i="15"/>
  <c r="M690" i="15"/>
  <c r="M658" i="15"/>
  <c r="M642" i="15"/>
  <c r="M626" i="15"/>
  <c r="M609" i="15"/>
  <c r="M586" i="15"/>
  <c r="M569" i="15"/>
  <c r="M529" i="15"/>
  <c r="M481" i="15"/>
  <c r="M376" i="15"/>
  <c r="M320" i="15"/>
  <c r="L555" i="15"/>
  <c r="M555" i="15"/>
  <c r="L469" i="15"/>
  <c r="M469" i="15"/>
  <c r="L406" i="15"/>
  <c r="M406" i="15"/>
  <c r="L314" i="15"/>
  <c r="M314" i="15"/>
  <c r="L156" i="15"/>
  <c r="M156" i="15"/>
  <c r="L773" i="15"/>
  <c r="M773" i="15"/>
  <c r="L747" i="15"/>
  <c r="M747" i="15"/>
  <c r="L781" i="15"/>
  <c r="M781" i="15"/>
  <c r="L763" i="15"/>
  <c r="M763" i="15"/>
  <c r="L755" i="15"/>
  <c r="M755" i="15"/>
  <c r="L703" i="15"/>
  <c r="M703" i="15"/>
  <c r="L694" i="15"/>
  <c r="M694" i="15"/>
  <c r="L686" i="15"/>
  <c r="M686" i="15"/>
  <c r="L677" i="15"/>
  <c r="M677" i="15"/>
  <c r="L668" i="15"/>
  <c r="M668" i="15"/>
  <c r="L638" i="15"/>
  <c r="M638" i="15"/>
  <c r="L628" i="15"/>
  <c r="M628" i="15"/>
  <c r="L620" i="15"/>
  <c r="M620" i="15"/>
  <c r="L611" i="15"/>
  <c r="M611" i="15"/>
  <c r="L575" i="15"/>
  <c r="M575" i="15"/>
  <c r="L566" i="15"/>
  <c r="M566" i="15"/>
  <c r="L558" i="15"/>
  <c r="M558" i="15"/>
  <c r="L547" i="15"/>
  <c r="M547" i="15"/>
  <c r="L535" i="15"/>
  <c r="M535" i="15"/>
  <c r="L527" i="15"/>
  <c r="M527" i="15"/>
  <c r="L517" i="15"/>
  <c r="M517" i="15"/>
  <c r="L439" i="15"/>
  <c r="M439" i="15"/>
  <c r="L431" i="15"/>
  <c r="M431" i="15"/>
  <c r="L419" i="15"/>
  <c r="M419" i="15"/>
  <c r="L410" i="15"/>
  <c r="M410" i="15"/>
  <c r="L401" i="15"/>
  <c r="M401" i="15"/>
  <c r="L393" i="15"/>
  <c r="M393" i="15"/>
  <c r="L381" i="15"/>
  <c r="M381" i="15"/>
  <c r="L373" i="15"/>
  <c r="M373" i="15"/>
  <c r="L365" i="15"/>
  <c r="M365" i="15"/>
  <c r="L356" i="15"/>
  <c r="M356" i="15"/>
  <c r="L335" i="15"/>
  <c r="M335" i="15"/>
  <c r="L325" i="15"/>
  <c r="M325" i="15"/>
  <c r="L317" i="15"/>
  <c r="M317" i="15"/>
  <c r="L309" i="15"/>
  <c r="M309" i="15"/>
  <c r="L301" i="15"/>
  <c r="M301" i="15"/>
  <c r="L291" i="15"/>
  <c r="M291" i="15"/>
  <c r="L282" i="15"/>
  <c r="M282" i="15"/>
  <c r="L274" i="15"/>
  <c r="M274" i="15"/>
  <c r="L264" i="15"/>
  <c r="M264" i="15"/>
  <c r="L255" i="15"/>
  <c r="M255" i="15"/>
  <c r="L245" i="15"/>
  <c r="M245" i="15"/>
  <c r="L237" i="15"/>
  <c r="M237" i="15"/>
  <c r="L228" i="15"/>
  <c r="M228" i="15"/>
  <c r="L220" i="15"/>
  <c r="M220" i="15"/>
  <c r="L212" i="15"/>
  <c r="M212" i="15"/>
  <c r="L204" i="15"/>
  <c r="M204" i="15"/>
  <c r="L191" i="15"/>
  <c r="M191" i="15"/>
  <c r="L181" i="15"/>
  <c r="M181" i="15"/>
  <c r="L171" i="15"/>
  <c r="M171" i="15"/>
  <c r="L159" i="15"/>
  <c r="M159" i="15"/>
  <c r="L147" i="15"/>
  <c r="M147" i="15"/>
  <c r="L126" i="15"/>
  <c r="M126" i="15"/>
  <c r="L117" i="15"/>
  <c r="M117" i="15"/>
  <c r="L109" i="15"/>
  <c r="M109" i="15"/>
  <c r="L101" i="15"/>
  <c r="M101" i="15"/>
  <c r="L93" i="15"/>
  <c r="M93" i="15"/>
  <c r="L84" i="15"/>
  <c r="M84" i="15"/>
  <c r="L72" i="15"/>
  <c r="M72" i="15"/>
  <c r="L64" i="15"/>
  <c r="M64" i="15"/>
  <c r="L54" i="15"/>
  <c r="M54" i="15"/>
  <c r="L45" i="15"/>
  <c r="M45" i="15"/>
  <c r="L36" i="15"/>
  <c r="M36" i="15"/>
  <c r="L28" i="15"/>
  <c r="M28" i="15"/>
  <c r="M948" i="15"/>
  <c r="M940" i="15"/>
  <c r="M932" i="15"/>
  <c r="M924" i="15"/>
  <c r="M916" i="15"/>
  <c r="M908" i="15"/>
  <c r="M900" i="15"/>
  <c r="M892" i="15"/>
  <c r="M884" i="15"/>
  <c r="M876" i="15"/>
  <c r="M868" i="15"/>
  <c r="M860" i="15"/>
  <c r="M852" i="15"/>
  <c r="M844" i="15"/>
  <c r="M836" i="15"/>
  <c r="M828" i="15"/>
  <c r="M820" i="15"/>
  <c r="M812" i="15"/>
  <c r="M804" i="15"/>
  <c r="M796" i="15"/>
  <c r="M788" i="15"/>
  <c r="M778" i="15"/>
  <c r="M764" i="15"/>
  <c r="M736" i="15"/>
  <c r="M721" i="15"/>
  <c r="M706" i="15"/>
  <c r="M689" i="15"/>
  <c r="M672" i="15"/>
  <c r="M641" i="15"/>
  <c r="M625" i="15"/>
  <c r="M608" i="15"/>
  <c r="M585" i="15"/>
  <c r="M568" i="15"/>
  <c r="M528" i="15"/>
  <c r="M480" i="15"/>
  <c r="M440" i="15"/>
  <c r="M368" i="15"/>
  <c r="M344" i="15"/>
  <c r="M312" i="15"/>
  <c r="L717" i="15"/>
  <c r="M717" i="15"/>
  <c r="L501" i="15"/>
  <c r="M501" i="15"/>
  <c r="L461" i="15"/>
  <c r="M461" i="15"/>
  <c r="L390" i="15"/>
  <c r="M390" i="15"/>
  <c r="L353" i="15"/>
  <c r="M353" i="15"/>
  <c r="L298" i="15"/>
  <c r="M298" i="15"/>
  <c r="L271" i="15"/>
  <c r="M271" i="15"/>
  <c r="L209" i="15"/>
  <c r="M209" i="15"/>
  <c r="L771" i="15"/>
  <c r="M771" i="15"/>
  <c r="L719" i="15"/>
  <c r="M719" i="15"/>
  <c r="L711" i="15"/>
  <c r="M711" i="15"/>
  <c r="L702" i="15"/>
  <c r="M702" i="15"/>
  <c r="L693" i="15"/>
  <c r="M693" i="15"/>
  <c r="L684" i="15"/>
  <c r="M684" i="15"/>
  <c r="L676" i="15"/>
  <c r="M676" i="15"/>
  <c r="L667" i="15"/>
  <c r="M667" i="15"/>
  <c r="L655" i="15"/>
  <c r="M655" i="15"/>
  <c r="L646" i="15"/>
  <c r="M646" i="15"/>
  <c r="L637" i="15"/>
  <c r="M637" i="15"/>
  <c r="L627" i="15"/>
  <c r="M627" i="15"/>
  <c r="L619" i="15"/>
  <c r="M619" i="15"/>
  <c r="L598" i="15"/>
  <c r="M598" i="15"/>
  <c r="L583" i="15"/>
  <c r="M583" i="15"/>
  <c r="L574" i="15"/>
  <c r="M574" i="15"/>
  <c r="L565" i="15"/>
  <c r="M565" i="15"/>
  <c r="L557" i="15"/>
  <c r="M557" i="15"/>
  <c r="L534" i="15"/>
  <c r="M534" i="15"/>
  <c r="L526" i="15"/>
  <c r="M526" i="15"/>
  <c r="L516" i="15"/>
  <c r="M516" i="15"/>
  <c r="L503" i="15"/>
  <c r="M503" i="15"/>
  <c r="L494" i="15"/>
  <c r="M494" i="15"/>
  <c r="L471" i="15"/>
  <c r="M471" i="15"/>
  <c r="L463" i="15"/>
  <c r="M463" i="15"/>
  <c r="L455" i="15"/>
  <c r="M455" i="15"/>
  <c r="L446" i="15"/>
  <c r="M446" i="15"/>
  <c r="L438" i="15"/>
  <c r="M438" i="15"/>
  <c r="L430" i="15"/>
  <c r="M430" i="15"/>
  <c r="L418" i="15"/>
  <c r="M418" i="15"/>
  <c r="L409" i="15"/>
  <c r="M409" i="15"/>
  <c r="L380" i="15"/>
  <c r="M380" i="15"/>
  <c r="L372" i="15"/>
  <c r="M372" i="15"/>
  <c r="L364" i="15"/>
  <c r="M364" i="15"/>
  <c r="L355" i="15"/>
  <c r="M355" i="15"/>
  <c r="L343" i="15"/>
  <c r="M343" i="15"/>
  <c r="L334" i="15"/>
  <c r="M334" i="15"/>
  <c r="L324" i="15"/>
  <c r="M324" i="15"/>
  <c r="L316" i="15"/>
  <c r="M316" i="15"/>
  <c r="L308" i="15"/>
  <c r="M308" i="15"/>
  <c r="L300" i="15"/>
  <c r="M300" i="15"/>
  <c r="L290" i="15"/>
  <c r="M290" i="15"/>
  <c r="L281" i="15"/>
  <c r="M281" i="15"/>
  <c r="L273" i="15"/>
  <c r="M273" i="15"/>
  <c r="L263" i="15"/>
  <c r="M263" i="15"/>
  <c r="L254" i="15"/>
  <c r="M254" i="15"/>
  <c r="L244" i="15"/>
  <c r="M244" i="15"/>
  <c r="L236" i="15"/>
  <c r="M236" i="15"/>
  <c r="L227" i="15"/>
  <c r="M227" i="15"/>
  <c r="L219" i="15"/>
  <c r="M219" i="15"/>
  <c r="L211" i="15"/>
  <c r="M211" i="15"/>
  <c r="L203" i="15"/>
  <c r="M203" i="15"/>
  <c r="L190" i="15"/>
  <c r="M190" i="15"/>
  <c r="L180" i="15"/>
  <c r="M180" i="15"/>
  <c r="L170" i="15"/>
  <c r="M170" i="15"/>
  <c r="L158" i="15"/>
  <c r="M158" i="15"/>
  <c r="L146" i="15"/>
  <c r="M146" i="15"/>
  <c r="L137" i="15"/>
  <c r="M137" i="15"/>
  <c r="L125" i="15"/>
  <c r="M125" i="15"/>
  <c r="L116" i="15"/>
  <c r="M116" i="15"/>
  <c r="L108" i="15"/>
  <c r="M108" i="15"/>
  <c r="L100" i="15"/>
  <c r="M100" i="15"/>
  <c r="L91" i="15"/>
  <c r="M91" i="15"/>
  <c r="L83" i="15"/>
  <c r="M83" i="15"/>
  <c r="L71" i="15"/>
  <c r="M71" i="15"/>
  <c r="L61" i="15"/>
  <c r="M61" i="15"/>
  <c r="L53" i="15"/>
  <c r="M53" i="15"/>
  <c r="L44" i="15"/>
  <c r="M44" i="15"/>
  <c r="L35" i="15"/>
  <c r="M35" i="15"/>
  <c r="M947" i="15"/>
  <c r="M939" i="15"/>
  <c r="M931" i="15"/>
  <c r="M915" i="15"/>
  <c r="M907" i="15"/>
  <c r="M899" i="15"/>
  <c r="M891" i="15"/>
  <c r="M883" i="15"/>
  <c r="M851" i="15"/>
  <c r="M843" i="15"/>
  <c r="M835" i="15"/>
  <c r="M827" i="15"/>
  <c r="M819" i="15"/>
  <c r="M803" i="15"/>
  <c r="M787" i="15"/>
  <c r="M777" i="15"/>
  <c r="M762" i="15"/>
  <c r="M748" i="15"/>
  <c r="M732" i="15"/>
  <c r="M720" i="15"/>
  <c r="M705" i="15"/>
  <c r="M688" i="15"/>
  <c r="M666" i="15"/>
  <c r="M656" i="15"/>
  <c r="M640" i="15"/>
  <c r="M624" i="15"/>
  <c r="M561" i="15"/>
  <c r="M432" i="15"/>
  <c r="M400" i="15"/>
  <c r="M304" i="15"/>
  <c r="L23" i="15"/>
  <c r="M23" i="15"/>
  <c r="L726" i="15"/>
  <c r="M726" i="15"/>
  <c r="L643" i="15"/>
  <c r="M643" i="15"/>
  <c r="L541" i="15"/>
  <c r="M541" i="15"/>
  <c r="L477" i="15"/>
  <c r="M477" i="15"/>
  <c r="L444" i="15"/>
  <c r="M444" i="15"/>
  <c r="L370" i="15"/>
  <c r="M370" i="15"/>
  <c r="L234" i="15"/>
  <c r="M234" i="15"/>
  <c r="L25" i="15"/>
  <c r="M25" i="15"/>
  <c r="L779" i="15"/>
  <c r="M779" i="15"/>
  <c r="L735" i="15"/>
  <c r="M735" i="15"/>
  <c r="L727" i="15"/>
  <c r="M727" i="15"/>
  <c r="L718" i="15"/>
  <c r="M718" i="15"/>
  <c r="L709" i="15"/>
  <c r="M709" i="15"/>
  <c r="L701" i="15"/>
  <c r="M701" i="15"/>
  <c r="L692" i="15"/>
  <c r="M692" i="15"/>
  <c r="L683" i="15"/>
  <c r="M683" i="15"/>
  <c r="L675" i="15"/>
  <c r="M675" i="15"/>
  <c r="L654" i="15"/>
  <c r="M654" i="15"/>
  <c r="L644" i="15"/>
  <c r="M644" i="15"/>
  <c r="L636" i="15"/>
  <c r="M636" i="15"/>
  <c r="L596" i="15"/>
  <c r="M596" i="15"/>
  <c r="L582" i="15"/>
  <c r="M582" i="15"/>
  <c r="L573" i="15"/>
  <c r="M573" i="15"/>
  <c r="L564" i="15"/>
  <c r="M564" i="15"/>
  <c r="L556" i="15"/>
  <c r="M556" i="15"/>
  <c r="L543" i="15"/>
  <c r="M543" i="15"/>
  <c r="L533" i="15"/>
  <c r="M533" i="15"/>
  <c r="L524" i="15"/>
  <c r="M524" i="15"/>
  <c r="L515" i="15"/>
  <c r="M515" i="15"/>
  <c r="L502" i="15"/>
  <c r="M502" i="15"/>
  <c r="L490" i="15"/>
  <c r="M490" i="15"/>
  <c r="L479" i="15"/>
  <c r="M479" i="15"/>
  <c r="L470" i="15"/>
  <c r="M470" i="15"/>
  <c r="L462" i="15"/>
  <c r="L454" i="15"/>
  <c r="M454" i="15"/>
  <c r="L445" i="15"/>
  <c r="M445" i="15"/>
  <c r="L437" i="15"/>
  <c r="M437" i="15"/>
  <c r="L429" i="15"/>
  <c r="M429" i="15"/>
  <c r="L417" i="15"/>
  <c r="M417" i="15"/>
  <c r="L407" i="15"/>
  <c r="M407" i="15"/>
  <c r="L399" i="15"/>
  <c r="M399" i="15"/>
  <c r="L391" i="15"/>
  <c r="M391" i="15"/>
  <c r="L379" i="15"/>
  <c r="M379" i="15"/>
  <c r="L371" i="15"/>
  <c r="M371" i="15"/>
  <c r="L362" i="15"/>
  <c r="M362" i="15"/>
  <c r="L354" i="15"/>
  <c r="M354" i="15"/>
  <c r="L342" i="15"/>
  <c r="M342" i="15"/>
  <c r="L333" i="15"/>
  <c r="M333" i="15"/>
  <c r="L323" i="15"/>
  <c r="M323" i="15"/>
  <c r="L315" i="15"/>
  <c r="M315" i="15"/>
  <c r="L307" i="15"/>
  <c r="M307" i="15"/>
  <c r="L299" i="15"/>
  <c r="M299" i="15"/>
  <c r="L289" i="15"/>
  <c r="M289" i="15"/>
  <c r="L280" i="15"/>
  <c r="M280" i="15"/>
  <c r="L272" i="15"/>
  <c r="M272" i="15"/>
  <c r="L262" i="15"/>
  <c r="M262" i="15"/>
  <c r="L253" i="15"/>
  <c r="M253" i="15"/>
  <c r="L243" i="15"/>
  <c r="M243" i="15"/>
  <c r="L235" i="15"/>
  <c r="M235" i="15"/>
  <c r="L226" i="15"/>
  <c r="M226" i="15"/>
  <c r="L218" i="15"/>
  <c r="M218" i="15"/>
  <c r="L210" i="15"/>
  <c r="M210" i="15"/>
  <c r="L202" i="15"/>
  <c r="M202" i="15"/>
  <c r="L189" i="15"/>
  <c r="M189" i="15"/>
  <c r="L179" i="15"/>
  <c r="M179" i="15"/>
  <c r="L169" i="15"/>
  <c r="M169" i="15"/>
  <c r="L157" i="15"/>
  <c r="M157" i="15"/>
  <c r="L144" i="15"/>
  <c r="M144" i="15"/>
  <c r="L136" i="15"/>
  <c r="M136" i="15"/>
  <c r="L124" i="15"/>
  <c r="M124" i="15"/>
  <c r="L115" i="15"/>
  <c r="M115" i="15"/>
  <c r="L107" i="15"/>
  <c r="M107" i="15"/>
  <c r="L99" i="15"/>
  <c r="M99" i="15"/>
  <c r="L90" i="15"/>
  <c r="M90" i="15"/>
  <c r="L82" i="15"/>
  <c r="M82" i="15"/>
  <c r="L70" i="15"/>
  <c r="M70" i="15"/>
  <c r="L60" i="15"/>
  <c r="M60" i="15"/>
  <c r="L52" i="15"/>
  <c r="M52" i="15"/>
  <c r="L43" i="15"/>
  <c r="M43" i="15"/>
  <c r="L34" i="15"/>
  <c r="M34" i="15"/>
  <c r="L26" i="15"/>
  <c r="M26" i="15"/>
  <c r="M938" i="15"/>
  <c r="M914" i="15"/>
  <c r="M898" i="15"/>
  <c r="M890" i="15"/>
  <c r="M882" i="15"/>
  <c r="M874" i="15"/>
  <c r="M850" i="15"/>
  <c r="M842" i="15"/>
  <c r="M810" i="15"/>
  <c r="M802" i="15"/>
  <c r="M794" i="15"/>
  <c r="M786" i="15"/>
  <c r="M776" i="15"/>
  <c r="M761" i="15"/>
  <c r="M746" i="15"/>
  <c r="M730" i="15"/>
  <c r="M716" i="15"/>
  <c r="M704" i="15"/>
  <c r="M665" i="15"/>
  <c r="M650" i="15"/>
  <c r="M618" i="15"/>
  <c r="M594" i="15"/>
  <c r="M560" i="15"/>
  <c r="M544" i="15"/>
  <c r="M521" i="15"/>
  <c r="M505" i="15"/>
  <c r="M489" i="15"/>
  <c r="M473" i="15"/>
  <c r="M392" i="15"/>
  <c r="M360" i="15"/>
  <c r="M336" i="15"/>
  <c r="M296" i="15"/>
  <c r="P914" i="15"/>
  <c r="J914" i="15"/>
  <c r="H914" i="15" s="1"/>
  <c r="P913" i="15"/>
  <c r="J913" i="15"/>
  <c r="H913" i="15" s="1"/>
  <c r="P912" i="15"/>
  <c r="J912" i="15"/>
  <c r="H912" i="15" s="1"/>
  <c r="F1110" i="1"/>
  <c r="L1110" i="1" s="1"/>
  <c r="F1109" i="1"/>
  <c r="BF1109" i="1" s="1"/>
  <c r="F1108" i="1"/>
  <c r="L1108" i="1" s="1"/>
  <c r="N1110" i="1"/>
  <c r="J1110" i="1"/>
  <c r="H1110" i="1" s="1"/>
  <c r="N1109" i="1"/>
  <c r="J1109" i="1"/>
  <c r="H1109" i="1" s="1"/>
  <c r="N1108" i="1"/>
  <c r="J1108" i="1"/>
  <c r="H1108" i="1" s="1"/>
  <c r="BE31" i="1" l="1"/>
  <c r="BF31" i="1" s="1"/>
  <c r="BE244" i="1"/>
  <c r="BF244" i="1" s="1"/>
  <c r="BC61" i="1"/>
  <c r="C25" i="9" s="1"/>
  <c r="BE99" i="1"/>
  <c r="BF99" i="1" s="1"/>
  <c r="BF97" i="1" s="1"/>
  <c r="C27" i="9" s="1"/>
  <c r="BE169" i="1"/>
  <c r="BF169" i="1" s="1"/>
  <c r="BF112" i="1" s="1"/>
  <c r="BE173" i="1"/>
  <c r="BF173" i="1" s="1"/>
  <c r="BF171" i="1" s="1"/>
  <c r="C31" i="9" s="1"/>
  <c r="C23" i="9"/>
  <c r="AH79" i="15"/>
  <c r="BC111" i="1" s="1"/>
  <c r="AK492" i="15"/>
  <c r="BC24" i="1"/>
  <c r="BC22" i="1" s="1"/>
  <c r="C55" i="9"/>
  <c r="I1110" i="1"/>
  <c r="AL900" i="15"/>
  <c r="AI900" i="15" s="1"/>
  <c r="AJ900" i="15" s="1"/>
  <c r="AK900" i="15" s="1"/>
  <c r="BD1095" i="1"/>
  <c r="BE1095" i="1" s="1"/>
  <c r="BF1095" i="1" s="1"/>
  <c r="AL899" i="15"/>
  <c r="AI899" i="15" s="1"/>
  <c r="AJ899" i="15" s="1"/>
  <c r="AK899" i="15" s="1"/>
  <c r="BD1094" i="1"/>
  <c r="BE1094" i="1" s="1"/>
  <c r="BF1094" i="1" s="1"/>
  <c r="AK946" i="15"/>
  <c r="AK384" i="15"/>
  <c r="AK592" i="15"/>
  <c r="BE515" i="1"/>
  <c r="BF515" i="1" s="1"/>
  <c r="AK194" i="15"/>
  <c r="AK605" i="15"/>
  <c r="BF1142" i="1"/>
  <c r="AK346" i="15"/>
  <c r="AK660" i="15"/>
  <c r="BF745" i="1"/>
  <c r="AK511" i="15"/>
  <c r="BF390" i="1"/>
  <c r="AK927" i="15"/>
  <c r="AK817" i="15"/>
  <c r="I1108" i="1"/>
  <c r="BF175" i="1"/>
  <c r="C33" i="9" s="1"/>
  <c r="BF1108" i="1"/>
  <c r="BF684" i="1"/>
  <c r="BF660" i="1"/>
  <c r="AK906" i="15"/>
  <c r="BF188" i="1"/>
  <c r="C35" i="9" s="1"/>
  <c r="AK918" i="15"/>
  <c r="BF1123" i="1"/>
  <c r="BF620" i="1"/>
  <c r="BF956" i="1"/>
  <c r="I1109" i="1"/>
  <c r="BF198" i="1"/>
  <c r="C39" i="9" s="1"/>
  <c r="AK550" i="15"/>
  <c r="BF1110" i="1"/>
  <c r="L1109" i="1"/>
  <c r="M1146" i="1"/>
  <c r="M1147" i="1" s="1"/>
  <c r="N949" i="15"/>
  <c r="N950" i="15" s="1"/>
  <c r="I912" i="15"/>
  <c r="O912" i="15"/>
  <c r="I913" i="15"/>
  <c r="O913" i="15"/>
  <c r="I914" i="15"/>
  <c r="O914" i="15"/>
  <c r="F1115" i="1"/>
  <c r="AZ1115" i="1" s="1"/>
  <c r="BC1115" i="1" s="1"/>
  <c r="BC1114" i="1" s="1"/>
  <c r="C59" i="9" l="1"/>
  <c r="C57" i="9"/>
  <c r="L1115" i="1"/>
  <c r="B231" i="1"/>
  <c r="I2580" i="4"/>
  <c r="B2580" i="4" s="1"/>
  <c r="F2580" i="4"/>
  <c r="G2580" i="4" s="1"/>
  <c r="I2582" i="4"/>
  <c r="F2582" i="4"/>
  <c r="G2582" i="4" s="1"/>
  <c r="I2581" i="4"/>
  <c r="B2581" i="4" s="1"/>
  <c r="F2581" i="4"/>
  <c r="G2581" i="4" s="1"/>
  <c r="I2579" i="4"/>
  <c r="B2579" i="4" s="1"/>
  <c r="A2577" i="4" s="1"/>
  <c r="F2579" i="4"/>
  <c r="G2579" i="4" s="1"/>
  <c r="F2574" i="4"/>
  <c r="G2574" i="4" s="1"/>
  <c r="F2573" i="4"/>
  <c r="G2573" i="4" s="1"/>
  <c r="F2572" i="4"/>
  <c r="G2572" i="4" s="1"/>
  <c r="G2583" i="4" l="1"/>
  <c r="G2575" i="4"/>
  <c r="J31" i="1" s="1"/>
  <c r="H31" i="1" s="1"/>
  <c r="I31" i="1" s="1"/>
  <c r="J184" i="15" l="1"/>
  <c r="H184" i="15" s="1"/>
  <c r="J231" i="1"/>
  <c r="H231" i="1" s="1"/>
  <c r="I231" i="1" s="1"/>
  <c r="P871" i="15"/>
  <c r="J871" i="15"/>
  <c r="H871" i="15" s="1"/>
  <c r="P870" i="15"/>
  <c r="J870" i="15"/>
  <c r="H870" i="15" s="1"/>
  <c r="N1065" i="1"/>
  <c r="J1065" i="1"/>
  <c r="H1065" i="1" s="1"/>
  <c r="I1065" i="1" s="1"/>
  <c r="N1066" i="1"/>
  <c r="J1066" i="1"/>
  <c r="H1066" i="1" s="1"/>
  <c r="I1066" i="1" s="1"/>
  <c r="N1111" i="1"/>
  <c r="J1111" i="1"/>
  <c r="H1111" i="1" s="1"/>
  <c r="I1111" i="1" s="1"/>
  <c r="I871" i="15" l="1"/>
  <c r="O871" i="15"/>
  <c r="I870" i="15"/>
  <c r="O870" i="15"/>
  <c r="I184" i="15"/>
  <c r="O184" i="15"/>
  <c r="A2563" i="4"/>
  <c r="C869" i="15" s="1"/>
  <c r="I2567" i="4"/>
  <c r="F2567" i="4"/>
  <c r="G2567" i="4" s="1"/>
  <c r="I2566" i="4"/>
  <c r="F2566" i="4"/>
  <c r="G2566" i="4" s="1"/>
  <c r="I2565" i="4"/>
  <c r="F2565" i="4"/>
  <c r="G2565" i="4" s="1"/>
  <c r="P60" i="15"/>
  <c r="J60" i="15"/>
  <c r="H60" i="15" s="1"/>
  <c r="J94" i="1"/>
  <c r="H94" i="1" s="1"/>
  <c r="I94" i="1" s="1"/>
  <c r="N94" i="1"/>
  <c r="I60" i="15" l="1"/>
  <c r="O60" i="15"/>
  <c r="G2568" i="4"/>
  <c r="J869" i="15" l="1"/>
  <c r="H869" i="15" s="1"/>
  <c r="J1064" i="1"/>
  <c r="H1064" i="1" s="1"/>
  <c r="I1064" i="1" s="1"/>
  <c r="P237" i="15"/>
  <c r="J237" i="15"/>
  <c r="J284" i="1"/>
  <c r="D45" i="18"/>
  <c r="I869" i="15" l="1"/>
  <c r="O869" i="15"/>
  <c r="F1084" i="1" l="1"/>
  <c r="F887" i="15"/>
  <c r="F1624" i="4"/>
  <c r="G1624" i="4" s="1"/>
  <c r="F1625" i="4"/>
  <c r="G1625" i="4" s="1"/>
  <c r="F1618" i="4"/>
  <c r="G1618" i="4" s="1"/>
  <c r="F1619" i="4"/>
  <c r="G1619" i="4" s="1"/>
  <c r="F1612" i="4"/>
  <c r="G1612" i="4" s="1"/>
  <c r="F1613" i="4"/>
  <c r="G1613" i="4" s="1"/>
  <c r="F1606" i="4"/>
  <c r="G1606" i="4" s="1"/>
  <c r="F1607" i="4"/>
  <c r="G1607" i="4" s="1"/>
  <c r="F2521" i="4"/>
  <c r="G2521" i="4" s="1"/>
  <c r="M887" i="15" l="1"/>
  <c r="AK887" i="15"/>
  <c r="AK865" i="15" s="1"/>
  <c r="L1084" i="1"/>
  <c r="BF1084" i="1"/>
  <c r="BF1060" i="1" s="1"/>
  <c r="G1608" i="4"/>
  <c r="G1626" i="4"/>
  <c r="G1620" i="4"/>
  <c r="G1614" i="4"/>
  <c r="G2522" i="4"/>
  <c r="N1074" i="1" l="1"/>
  <c r="C1013" i="1" l="1"/>
  <c r="G1504" i="4"/>
  <c r="P437" i="15"/>
  <c r="J437" i="15"/>
  <c r="H437" i="15" s="1"/>
  <c r="N517" i="1"/>
  <c r="J517" i="1"/>
  <c r="H517" i="1" s="1"/>
  <c r="I437" i="15" l="1"/>
  <c r="O437" i="15"/>
  <c r="I517" i="1"/>
  <c r="F45" i="1" l="1"/>
  <c r="BC45" i="1" l="1"/>
  <c r="AZ45" i="1"/>
  <c r="L45" i="1"/>
  <c r="E861" i="4"/>
  <c r="F1117" i="1" l="1"/>
  <c r="F1104" i="1"/>
  <c r="F237" i="1"/>
  <c r="F212" i="1"/>
  <c r="F122" i="15"/>
  <c r="AK122" i="15" s="1"/>
  <c r="L1117" i="1" l="1"/>
  <c r="BF1117" i="1"/>
  <c r="BF1114" i="1" s="1"/>
  <c r="C53" i="9" s="1"/>
  <c r="M122" i="15"/>
  <c r="AK79" i="15"/>
  <c r="C29" i="9" s="1"/>
  <c r="L212" i="1"/>
  <c r="BF212" i="1"/>
  <c r="BF209" i="1" s="1"/>
  <c r="C43" i="9" s="1"/>
  <c r="L1104" i="1"/>
  <c r="BF1104" i="1"/>
  <c r="BF1101" i="1" s="1"/>
  <c r="C51" i="9" s="1"/>
  <c r="L237" i="1"/>
  <c r="BF237" i="1"/>
  <c r="BF233" i="1" s="1"/>
  <c r="C47" i="9" s="1"/>
  <c r="N66" i="1"/>
  <c r="J66" i="1"/>
  <c r="H66" i="1" s="1"/>
  <c r="I66" i="1" s="1"/>
  <c r="P246" i="15"/>
  <c r="J246" i="15"/>
  <c r="J662" i="1"/>
  <c r="J292" i="1"/>
  <c r="N30" i="1"/>
  <c r="J30" i="1"/>
  <c r="I2559" i="4"/>
  <c r="B2559" i="4" s="1"/>
  <c r="F2559" i="4"/>
  <c r="G2559" i="4" s="1"/>
  <c r="I2560" i="4" l="1"/>
  <c r="F2560" i="4"/>
  <c r="G2560" i="4" s="1"/>
  <c r="I2558" i="4"/>
  <c r="F2558" i="4"/>
  <c r="G2558" i="4" s="1"/>
  <c r="P852" i="15"/>
  <c r="J852" i="15"/>
  <c r="H852" i="15" s="1"/>
  <c r="P851" i="15"/>
  <c r="J851" i="15"/>
  <c r="H851" i="15" s="1"/>
  <c r="N992" i="1"/>
  <c r="J992" i="1"/>
  <c r="H992" i="1" s="1"/>
  <c r="I992" i="1" s="1"/>
  <c r="N993" i="1"/>
  <c r="J993" i="1"/>
  <c r="H993" i="1" s="1"/>
  <c r="I993" i="1" s="1"/>
  <c r="I1786" i="4"/>
  <c r="I2509" i="4"/>
  <c r="I2502" i="4"/>
  <c r="I2495" i="4"/>
  <c r="I2488" i="4"/>
  <c r="I2481" i="4"/>
  <c r="I2467" i="4"/>
  <c r="I2398" i="4"/>
  <c r="I2377" i="4"/>
  <c r="I2366" i="4"/>
  <c r="I2358" i="4"/>
  <c r="I2353" i="4"/>
  <c r="I2350" i="4"/>
  <c r="I2345" i="4"/>
  <c r="I2337" i="4"/>
  <c r="I2320" i="4"/>
  <c r="I2312" i="4"/>
  <c r="I2303" i="4"/>
  <c r="I2270" i="4"/>
  <c r="I2255" i="4"/>
  <c r="I2250" i="4"/>
  <c r="I2242" i="4"/>
  <c r="I2235" i="4"/>
  <c r="I2211" i="4"/>
  <c r="I2179" i="4"/>
  <c r="I2174" i="4"/>
  <c r="I2169" i="4"/>
  <c r="I2164" i="4"/>
  <c r="I2159" i="4"/>
  <c r="I2154" i="4"/>
  <c r="I2147" i="4"/>
  <c r="I2140" i="4"/>
  <c r="I2125" i="4"/>
  <c r="I2118" i="4"/>
  <c r="I2110" i="4"/>
  <c r="I2102" i="4"/>
  <c r="I2101" i="4"/>
  <c r="I2094" i="4"/>
  <c r="I2093" i="4"/>
  <c r="I2092" i="4"/>
  <c r="I2091" i="4"/>
  <c r="I2085" i="4"/>
  <c r="I2078" i="4"/>
  <c r="I2076" i="4"/>
  <c r="I2070" i="4"/>
  <c r="I2056" i="4"/>
  <c r="I2049" i="4"/>
  <c r="I2042" i="4"/>
  <c r="I2036" i="4"/>
  <c r="I2029" i="4"/>
  <c r="I2022" i="4"/>
  <c r="I2014" i="4"/>
  <c r="I2008" i="4"/>
  <c r="I2001" i="4"/>
  <c r="I1995" i="4"/>
  <c r="F1995" i="4"/>
  <c r="I1987" i="4"/>
  <c r="I1980" i="4"/>
  <c r="I1978" i="4"/>
  <c r="I1964" i="4"/>
  <c r="I1958" i="4"/>
  <c r="I1951" i="4"/>
  <c r="I1944" i="4"/>
  <c r="I1937" i="4"/>
  <c r="I1932" i="4"/>
  <c r="I1919" i="4"/>
  <c r="I1912" i="4"/>
  <c r="I1899" i="4"/>
  <c r="I1890" i="4"/>
  <c r="I1883" i="4"/>
  <c r="I1874" i="4"/>
  <c r="I1866" i="4"/>
  <c r="I1804" i="4"/>
  <c r="I1795" i="4"/>
  <c r="I1778" i="4"/>
  <c r="I1761" i="4"/>
  <c r="I1749" i="4"/>
  <c r="I1741" i="4"/>
  <c r="I1703" i="4"/>
  <c r="I1700" i="4"/>
  <c r="I1691" i="4"/>
  <c r="I1688" i="4"/>
  <c r="I1679" i="4"/>
  <c r="I1676" i="4"/>
  <c r="I1600" i="4"/>
  <c r="I1593" i="4"/>
  <c r="I1560" i="4"/>
  <c r="I1531" i="4"/>
  <c r="I1523" i="4"/>
  <c r="I1509" i="4"/>
  <c r="I1483" i="4"/>
  <c r="I1476" i="4"/>
  <c r="I1453" i="4"/>
  <c r="I1446" i="4"/>
  <c r="I1439" i="4"/>
  <c r="I1410" i="4"/>
  <c r="I1403" i="4"/>
  <c r="I1397" i="4"/>
  <c r="I1390" i="4"/>
  <c r="I1389" i="4"/>
  <c r="I1382" i="4"/>
  <c r="I1375" i="4"/>
  <c r="I1368" i="4"/>
  <c r="I1345" i="4"/>
  <c r="I1339" i="4"/>
  <c r="I1332" i="4"/>
  <c r="I1319" i="4"/>
  <c r="I1304" i="4"/>
  <c r="I1297" i="4"/>
  <c r="I1290" i="4"/>
  <c r="I1283" i="4"/>
  <c r="I1276" i="4"/>
  <c r="I1269" i="4"/>
  <c r="I1262" i="4"/>
  <c r="I1255" i="4"/>
  <c r="I1248" i="4"/>
  <c r="I1234" i="4"/>
  <c r="I1227" i="4"/>
  <c r="I1220" i="4"/>
  <c r="I1213" i="4"/>
  <c r="I1206" i="4"/>
  <c r="I1199" i="4"/>
  <c r="I1192" i="4"/>
  <c r="I1176" i="4"/>
  <c r="I1169" i="4"/>
  <c r="I1162" i="4"/>
  <c r="I1155" i="4"/>
  <c r="I1148" i="4"/>
  <c r="I1141" i="4"/>
  <c r="I1134" i="4"/>
  <c r="I1127" i="4"/>
  <c r="I1120" i="4"/>
  <c r="I1113" i="4"/>
  <c r="I1106" i="4"/>
  <c r="I1099" i="4"/>
  <c r="I1092" i="4"/>
  <c r="I1085" i="4"/>
  <c r="I1078" i="4"/>
  <c r="I1071" i="4"/>
  <c r="I1064" i="4"/>
  <c r="I1057" i="4"/>
  <c r="I1050" i="4"/>
  <c r="I1043" i="4"/>
  <c r="I1036" i="4"/>
  <c r="I1029" i="4"/>
  <c r="I995" i="4"/>
  <c r="I887" i="4"/>
  <c r="I651" i="4"/>
  <c r="I643" i="4"/>
  <c r="I633" i="4"/>
  <c r="I611" i="4"/>
  <c r="I429" i="4"/>
  <c r="I417" i="4"/>
  <c r="I408" i="4"/>
  <c r="I395" i="4"/>
  <c r="I390" i="4"/>
  <c r="I304" i="4"/>
  <c r="I196" i="4"/>
  <c r="I186" i="4"/>
  <c r="I187" i="4"/>
  <c r="I188" i="4"/>
  <c r="I851" i="15" l="1"/>
  <c r="O851" i="15"/>
  <c r="I852" i="15"/>
  <c r="O852" i="15"/>
  <c r="G2561" i="4"/>
  <c r="I2553" i="4"/>
  <c r="F2553" i="4"/>
  <c r="G2553" i="4" s="1"/>
  <c r="I2552" i="4"/>
  <c r="F2552" i="4"/>
  <c r="G2552" i="4" s="1"/>
  <c r="I2551" i="4"/>
  <c r="F2551" i="4"/>
  <c r="G2551" i="4" s="1"/>
  <c r="I2550" i="4"/>
  <c r="F2550" i="4"/>
  <c r="G2550" i="4" s="1"/>
  <c r="I2545" i="4"/>
  <c r="F2545" i="4"/>
  <c r="G2545" i="4" s="1"/>
  <c r="I2544" i="4"/>
  <c r="F2544" i="4"/>
  <c r="G2544" i="4" s="1"/>
  <c r="I2543" i="4"/>
  <c r="F2543" i="4"/>
  <c r="G2543" i="4" s="1"/>
  <c r="J520" i="1" l="1"/>
  <c r="H520" i="1" s="1"/>
  <c r="I520" i="1" s="1"/>
  <c r="J444" i="15"/>
  <c r="H444" i="15" s="1"/>
  <c r="G2554" i="4"/>
  <c r="G2546" i="4"/>
  <c r="I444" i="15" l="1"/>
  <c r="O444" i="15"/>
  <c r="J885" i="15"/>
  <c r="H885" i="15" s="1"/>
  <c r="J1081" i="1"/>
  <c r="H1081" i="1" s="1"/>
  <c r="I1081" i="1" s="1"/>
  <c r="J1080" i="1"/>
  <c r="H1080" i="1" s="1"/>
  <c r="I1080" i="1" s="1"/>
  <c r="J884" i="15"/>
  <c r="H884" i="15" s="1"/>
  <c r="I884" i="15" l="1"/>
  <c r="O884" i="15"/>
  <c r="I885" i="15"/>
  <c r="O885" i="15"/>
  <c r="F1011" i="4"/>
  <c r="G1011" i="4" s="1"/>
  <c r="F1538" i="4"/>
  <c r="G1538" i="4" s="1"/>
  <c r="F1516" i="4"/>
  <c r="G1516" i="4" s="1"/>
  <c r="F975" i="4"/>
  <c r="G975" i="4" s="1"/>
  <c r="F1910" i="4"/>
  <c r="G1910" i="4" s="1"/>
  <c r="F1907" i="4"/>
  <c r="G1907" i="4" s="1"/>
  <c r="F1699" i="4"/>
  <c r="G1699" i="4" s="1"/>
  <c r="F1687" i="4"/>
  <c r="G1687" i="4" s="1"/>
  <c r="F1675" i="4"/>
  <c r="G1675" i="4" s="1"/>
  <c r="F1696" i="4"/>
  <c r="G1696" i="4" s="1"/>
  <c r="F1684" i="4"/>
  <c r="G1684" i="4" s="1"/>
  <c r="F1672" i="4"/>
  <c r="G1672" i="4" s="1"/>
  <c r="I1971" i="4"/>
  <c r="F435" i="1"/>
  <c r="L435" i="1" l="1"/>
  <c r="BF435" i="1"/>
  <c r="H30" i="1"/>
  <c r="I30" i="1" s="1"/>
  <c r="F26" i="1"/>
  <c r="BF26" i="1" s="1"/>
  <c r="BF22" i="1" s="1"/>
  <c r="P436" i="15"/>
  <c r="J436" i="15"/>
  <c r="H436" i="15" s="1"/>
  <c r="O436" i="15" s="1"/>
  <c r="P435" i="15"/>
  <c r="J435" i="15"/>
  <c r="N516" i="1"/>
  <c r="J516" i="1"/>
  <c r="H516" i="1" s="1"/>
  <c r="F516" i="1"/>
  <c r="N515" i="1"/>
  <c r="J515" i="1"/>
  <c r="H515" i="1" s="1"/>
  <c r="I515" i="1" s="1"/>
  <c r="I2538" i="4"/>
  <c r="F2538" i="4"/>
  <c r="G2538" i="4" s="1"/>
  <c r="I2537" i="4"/>
  <c r="F2537" i="4"/>
  <c r="G2537" i="4" s="1"/>
  <c r="I2536" i="4"/>
  <c r="F2536" i="4"/>
  <c r="G2536" i="4" s="1"/>
  <c r="N509" i="1"/>
  <c r="J509" i="1"/>
  <c r="H509" i="1" s="1"/>
  <c r="I509" i="1" s="1"/>
  <c r="B18" i="1"/>
  <c r="F38" i="1"/>
  <c r="N29" i="1"/>
  <c r="J29" i="1"/>
  <c r="H29" i="1" s="1"/>
  <c r="I29" i="1" s="1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660" i="15"/>
  <c r="R662" i="15"/>
  <c r="R663" i="15"/>
  <c r="R664" i="15"/>
  <c r="R665" i="15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78" i="15"/>
  <c r="R679" i="15"/>
  <c r="R680" i="15"/>
  <c r="R681" i="15"/>
  <c r="R682" i="15"/>
  <c r="R683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R705" i="15"/>
  <c r="R706" i="15"/>
  <c r="R707" i="15"/>
  <c r="R708" i="15"/>
  <c r="R709" i="15"/>
  <c r="R710" i="15"/>
  <c r="R711" i="15"/>
  <c r="R712" i="15"/>
  <c r="R713" i="15"/>
  <c r="R714" i="15"/>
  <c r="R715" i="15"/>
  <c r="R716" i="15"/>
  <c r="R717" i="15"/>
  <c r="R718" i="15"/>
  <c r="R719" i="15"/>
  <c r="R720" i="15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R735" i="15"/>
  <c r="R736" i="15"/>
  <c r="R737" i="15"/>
  <c r="R738" i="15"/>
  <c r="R739" i="15"/>
  <c r="R740" i="15"/>
  <c r="R741" i="15"/>
  <c r="R742" i="15"/>
  <c r="R743" i="15"/>
  <c r="R744" i="15"/>
  <c r="R745" i="15"/>
  <c r="R746" i="15"/>
  <c r="R747" i="15"/>
  <c r="R748" i="15"/>
  <c r="R749" i="15"/>
  <c r="R750" i="15"/>
  <c r="R751" i="15"/>
  <c r="R752" i="15"/>
  <c r="R753" i="15"/>
  <c r="R754" i="15"/>
  <c r="R755" i="15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R768" i="15"/>
  <c r="R769" i="15"/>
  <c r="R770" i="15"/>
  <c r="R771" i="15"/>
  <c r="R772" i="15"/>
  <c r="R773" i="15"/>
  <c r="R774" i="15"/>
  <c r="R775" i="15"/>
  <c r="R776" i="15"/>
  <c r="R777" i="15"/>
  <c r="R778" i="15"/>
  <c r="R779" i="15"/>
  <c r="R780" i="15"/>
  <c r="R781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R804" i="15"/>
  <c r="R805" i="15"/>
  <c r="R806" i="15"/>
  <c r="R807" i="15"/>
  <c r="R808" i="15"/>
  <c r="R809" i="15"/>
  <c r="R810" i="15"/>
  <c r="R811" i="15"/>
  <c r="R812" i="15"/>
  <c r="R813" i="15"/>
  <c r="R814" i="15"/>
  <c r="R815" i="15"/>
  <c r="I2305" i="4"/>
  <c r="B2305" i="4" s="1"/>
  <c r="F2305" i="4"/>
  <c r="G2305" i="4" s="1"/>
  <c r="I2304" i="4"/>
  <c r="F2304" i="4"/>
  <c r="G2304" i="4" s="1"/>
  <c r="AZ38" i="1" l="1"/>
  <c r="BC38" i="1"/>
  <c r="BC34" i="1" s="1"/>
  <c r="C21" i="9" s="1"/>
  <c r="L26" i="1"/>
  <c r="C19" i="9"/>
  <c r="L516" i="1"/>
  <c r="BF516" i="1"/>
  <c r="L38" i="1"/>
  <c r="H435" i="15"/>
  <c r="I436" i="15"/>
  <c r="I516" i="1"/>
  <c r="G2539" i="4"/>
  <c r="J1014" i="1" s="1"/>
  <c r="G2532" i="4"/>
  <c r="J874" i="15" s="1"/>
  <c r="H874" i="15" s="1"/>
  <c r="F2526" i="4"/>
  <c r="G2526" i="4" s="1"/>
  <c r="G2527" i="4" s="1"/>
  <c r="J878" i="15" s="1"/>
  <c r="J877" i="15"/>
  <c r="F2516" i="4"/>
  <c r="G2516" i="4" s="1"/>
  <c r="G2517" i="4" s="1"/>
  <c r="J876" i="15" s="1"/>
  <c r="P762" i="15"/>
  <c r="J762" i="15"/>
  <c r="H762" i="15" s="1"/>
  <c r="P799" i="15"/>
  <c r="J799" i="15"/>
  <c r="H799" i="15" s="1"/>
  <c r="P798" i="15"/>
  <c r="J798" i="15"/>
  <c r="H798" i="15" s="1"/>
  <c r="P805" i="15"/>
  <c r="J805" i="15"/>
  <c r="H805" i="15" s="1"/>
  <c r="P804" i="15"/>
  <c r="J804" i="15"/>
  <c r="H804" i="15" s="1"/>
  <c r="P815" i="15"/>
  <c r="J815" i="15"/>
  <c r="H815" i="15" s="1"/>
  <c r="P814" i="15"/>
  <c r="J814" i="15"/>
  <c r="H814" i="15" s="1"/>
  <c r="P810" i="15"/>
  <c r="J810" i="15"/>
  <c r="H810" i="15" s="1"/>
  <c r="P809" i="15"/>
  <c r="J809" i="15"/>
  <c r="H809" i="15" s="1"/>
  <c r="P790" i="15"/>
  <c r="J790" i="15"/>
  <c r="H790" i="15" s="1"/>
  <c r="P789" i="15"/>
  <c r="J789" i="15"/>
  <c r="H789" i="15" s="1"/>
  <c r="P788" i="15"/>
  <c r="J788" i="15"/>
  <c r="H788" i="15" s="1"/>
  <c r="P787" i="15"/>
  <c r="P775" i="15"/>
  <c r="J775" i="15"/>
  <c r="H775" i="15" s="1"/>
  <c r="P773" i="15"/>
  <c r="J773" i="15"/>
  <c r="H773" i="15" s="1"/>
  <c r="P774" i="15"/>
  <c r="J774" i="15"/>
  <c r="H774" i="15" s="1"/>
  <c r="P747" i="15"/>
  <c r="J747" i="15"/>
  <c r="H747" i="15" s="1"/>
  <c r="P748" i="15"/>
  <c r="J748" i="15"/>
  <c r="H748" i="15" s="1"/>
  <c r="P746" i="15"/>
  <c r="J746" i="15"/>
  <c r="H746" i="15" s="1"/>
  <c r="P745" i="15"/>
  <c r="J745" i="15"/>
  <c r="H745" i="15" s="1"/>
  <c r="P736" i="15"/>
  <c r="J736" i="15"/>
  <c r="H736" i="15" s="1"/>
  <c r="P735" i="15"/>
  <c r="J735" i="15"/>
  <c r="H735" i="15" s="1"/>
  <c r="P734" i="15"/>
  <c r="J734" i="15"/>
  <c r="H734" i="15" s="1"/>
  <c r="P733" i="15"/>
  <c r="J733" i="15"/>
  <c r="H733" i="15" s="1"/>
  <c r="P732" i="15"/>
  <c r="J732" i="15"/>
  <c r="H732" i="15" s="1"/>
  <c r="P731" i="15"/>
  <c r="J731" i="15"/>
  <c r="H731" i="15" s="1"/>
  <c r="P723" i="15"/>
  <c r="J723" i="15"/>
  <c r="H723" i="15" s="1"/>
  <c r="P722" i="15"/>
  <c r="J722" i="15"/>
  <c r="H722" i="15" s="1"/>
  <c r="P721" i="15"/>
  <c r="J721" i="15"/>
  <c r="H721" i="15" s="1"/>
  <c r="P720" i="15"/>
  <c r="J720" i="15"/>
  <c r="H720" i="15" s="1"/>
  <c r="P719" i="15"/>
  <c r="J719" i="15"/>
  <c r="H719" i="15" s="1"/>
  <c r="P718" i="15"/>
  <c r="J718" i="15"/>
  <c r="H718" i="15" s="1"/>
  <c r="P717" i="15"/>
  <c r="J717" i="15"/>
  <c r="H717" i="15" s="1"/>
  <c r="P708" i="15"/>
  <c r="J708" i="15"/>
  <c r="H708" i="15" s="1"/>
  <c r="P707" i="15"/>
  <c r="J707" i="15"/>
  <c r="H707" i="15" s="1"/>
  <c r="P706" i="15"/>
  <c r="J706" i="15"/>
  <c r="H706" i="15" s="1"/>
  <c r="P705" i="15"/>
  <c r="J705" i="15"/>
  <c r="H705" i="15" s="1"/>
  <c r="P704" i="15"/>
  <c r="J704" i="15"/>
  <c r="H704" i="15" s="1"/>
  <c r="P695" i="15"/>
  <c r="J695" i="15"/>
  <c r="H695" i="15" s="1"/>
  <c r="P694" i="15"/>
  <c r="J694" i="15"/>
  <c r="H694" i="15" s="1"/>
  <c r="P693" i="15"/>
  <c r="J693" i="15"/>
  <c r="H693" i="15" s="1"/>
  <c r="P692" i="15"/>
  <c r="J692" i="15"/>
  <c r="H692" i="15" s="1"/>
  <c r="P691" i="15"/>
  <c r="J691" i="15"/>
  <c r="H691" i="15" s="1"/>
  <c r="P683" i="15"/>
  <c r="J683" i="15"/>
  <c r="H683" i="15" s="1"/>
  <c r="P682" i="15"/>
  <c r="J682" i="15"/>
  <c r="H682" i="15" s="1"/>
  <c r="P681" i="15"/>
  <c r="J681" i="15"/>
  <c r="H681" i="15" s="1"/>
  <c r="P680" i="15"/>
  <c r="J680" i="15"/>
  <c r="H680" i="15" s="1"/>
  <c r="P671" i="15"/>
  <c r="J671" i="15"/>
  <c r="H671" i="15" s="1"/>
  <c r="P670" i="15"/>
  <c r="J670" i="15"/>
  <c r="H670" i="15" s="1"/>
  <c r="P669" i="15"/>
  <c r="J669" i="15"/>
  <c r="H669" i="15" s="1"/>
  <c r="P668" i="15"/>
  <c r="J668" i="15"/>
  <c r="H668" i="15" s="1"/>
  <c r="I2511" i="4"/>
  <c r="F2511" i="4"/>
  <c r="G2511" i="4" s="1"/>
  <c r="I2510" i="4"/>
  <c r="F2510" i="4"/>
  <c r="G2510" i="4" s="1"/>
  <c r="F2509" i="4"/>
  <c r="G2509" i="4" s="1"/>
  <c r="I2504" i="4"/>
  <c r="F2504" i="4"/>
  <c r="G2504" i="4" s="1"/>
  <c r="I2503" i="4"/>
  <c r="F2503" i="4"/>
  <c r="G2503" i="4" s="1"/>
  <c r="F2502" i="4"/>
  <c r="G2502" i="4" s="1"/>
  <c r="I2497" i="4"/>
  <c r="F2497" i="4"/>
  <c r="G2497" i="4" s="1"/>
  <c r="I2496" i="4"/>
  <c r="F2496" i="4"/>
  <c r="G2496" i="4" s="1"/>
  <c r="F2495" i="4"/>
  <c r="G2495" i="4" s="1"/>
  <c r="I2490" i="4"/>
  <c r="F2490" i="4"/>
  <c r="G2490" i="4" s="1"/>
  <c r="I2489" i="4"/>
  <c r="F2489" i="4"/>
  <c r="G2489" i="4" s="1"/>
  <c r="I2483" i="4"/>
  <c r="F2483" i="4"/>
  <c r="G2483" i="4" s="1"/>
  <c r="I2482" i="4"/>
  <c r="F2482" i="4"/>
  <c r="G2482" i="4" s="1"/>
  <c r="F2488" i="4"/>
  <c r="G2488" i="4" s="1"/>
  <c r="F2481" i="4"/>
  <c r="G2481" i="4" s="1"/>
  <c r="I2476" i="4"/>
  <c r="F2476" i="4"/>
  <c r="G2476" i="4" s="1"/>
  <c r="I2475" i="4"/>
  <c r="F2475" i="4"/>
  <c r="G2475" i="4" s="1"/>
  <c r="I2474" i="4"/>
  <c r="F2474" i="4"/>
  <c r="G2474" i="4" s="1"/>
  <c r="I2469" i="4"/>
  <c r="F2469" i="4"/>
  <c r="G2469" i="4" s="1"/>
  <c r="I2468" i="4"/>
  <c r="F2468" i="4"/>
  <c r="G2468" i="4" s="1"/>
  <c r="F2467" i="4"/>
  <c r="G2467" i="4" s="1"/>
  <c r="I2460" i="4"/>
  <c r="F2460" i="4"/>
  <c r="G2460" i="4" s="1"/>
  <c r="I2461" i="4"/>
  <c r="F2461" i="4"/>
  <c r="G2461" i="4" s="1"/>
  <c r="I2462" i="4"/>
  <c r="F2462" i="4"/>
  <c r="G2462" i="4" s="1"/>
  <c r="P374" i="15"/>
  <c r="J374" i="15"/>
  <c r="H374" i="15" s="1"/>
  <c r="P291" i="15"/>
  <c r="J291" i="15"/>
  <c r="H291" i="15" s="1"/>
  <c r="P247" i="15"/>
  <c r="J247" i="15"/>
  <c r="H247" i="15" s="1"/>
  <c r="F2455" i="4"/>
  <c r="G2455" i="4" s="1"/>
  <c r="G2456" i="4" s="1"/>
  <c r="J594" i="15" s="1"/>
  <c r="H594" i="15" s="1"/>
  <c r="I2447" i="4"/>
  <c r="F2447" i="4"/>
  <c r="G2447" i="4" s="1"/>
  <c r="I2448" i="4"/>
  <c r="F2448" i="4"/>
  <c r="G2448" i="4" s="1"/>
  <c r="I2451" i="4"/>
  <c r="F2451" i="4"/>
  <c r="G2451" i="4" s="1"/>
  <c r="I2450" i="4"/>
  <c r="F2450" i="4"/>
  <c r="G2450" i="4" s="1"/>
  <c r="I2449" i="4"/>
  <c r="F2449" i="4"/>
  <c r="G2449" i="4" s="1"/>
  <c r="F2432" i="4"/>
  <c r="G2432" i="4" s="1"/>
  <c r="I2432" i="4"/>
  <c r="F2433" i="4"/>
  <c r="G2433" i="4" s="1"/>
  <c r="I2433" i="4"/>
  <c r="F2434" i="4"/>
  <c r="G2434" i="4" s="1"/>
  <c r="I2434" i="4"/>
  <c r="I2435" i="4"/>
  <c r="F2436" i="4"/>
  <c r="G2436" i="4" s="1"/>
  <c r="I2436" i="4"/>
  <c r="F2437" i="4"/>
  <c r="G2437" i="4" s="1"/>
  <c r="I2437" i="4"/>
  <c r="I2431" i="4"/>
  <c r="F2431" i="4"/>
  <c r="G2431" i="4" s="1"/>
  <c r="F2435" i="4"/>
  <c r="G2435" i="4" s="1"/>
  <c r="F2438" i="4"/>
  <c r="G2438" i="4" s="1"/>
  <c r="I2438" i="4"/>
  <c r="F2439" i="4"/>
  <c r="G2439" i="4" s="1"/>
  <c r="I2439" i="4"/>
  <c r="F2440" i="4"/>
  <c r="G2440" i="4" s="1"/>
  <c r="I2440" i="4"/>
  <c r="F2441" i="4"/>
  <c r="G2441" i="4" s="1"/>
  <c r="I2441" i="4"/>
  <c r="F2442" i="4"/>
  <c r="G2442" i="4" s="1"/>
  <c r="I2442" i="4"/>
  <c r="I2425" i="4"/>
  <c r="B2425" i="4" s="1"/>
  <c r="F2425" i="4"/>
  <c r="G2425" i="4" s="1"/>
  <c r="I2424" i="4"/>
  <c r="B2424" i="4" s="1"/>
  <c r="F2424" i="4"/>
  <c r="G2424" i="4" s="1"/>
  <c r="I2423" i="4"/>
  <c r="B2423" i="4" s="1"/>
  <c r="F2423" i="4"/>
  <c r="G2423" i="4" s="1"/>
  <c r="I2419" i="4"/>
  <c r="F2419" i="4"/>
  <c r="G2419" i="4" s="1"/>
  <c r="I2418" i="4"/>
  <c r="F2418" i="4"/>
  <c r="G2418" i="4" s="1"/>
  <c r="I2412" i="4"/>
  <c r="B2412" i="4" s="1"/>
  <c r="F2412" i="4"/>
  <c r="G2412" i="4" s="1"/>
  <c r="I2406" i="4"/>
  <c r="F2406" i="4"/>
  <c r="G2406" i="4" s="1"/>
  <c r="I2426" i="4"/>
  <c r="B2426" i="4" s="1"/>
  <c r="F2426" i="4"/>
  <c r="G2426" i="4" s="1"/>
  <c r="I2422" i="4"/>
  <c r="F2422" i="4"/>
  <c r="G2422" i="4" s="1"/>
  <c r="I2421" i="4"/>
  <c r="F2421" i="4"/>
  <c r="G2421" i="4" s="1"/>
  <c r="I2420" i="4"/>
  <c r="F2420" i="4"/>
  <c r="G2420" i="4" s="1"/>
  <c r="I2413" i="4"/>
  <c r="B2413" i="4" s="1"/>
  <c r="F2413" i="4"/>
  <c r="G2413" i="4" s="1"/>
  <c r="I2411" i="4"/>
  <c r="B2411" i="4" s="1"/>
  <c r="F2411" i="4"/>
  <c r="G2411" i="4" s="1"/>
  <c r="I2410" i="4"/>
  <c r="F2410" i="4"/>
  <c r="G2410" i="4" s="1"/>
  <c r="I2409" i="4"/>
  <c r="F2409" i="4"/>
  <c r="G2409" i="4" s="1"/>
  <c r="I2408" i="4"/>
  <c r="F2408" i="4"/>
  <c r="G2408" i="4" s="1"/>
  <c r="I2407" i="4"/>
  <c r="F2407" i="4"/>
  <c r="G2407" i="4" s="1"/>
  <c r="I2378" i="4"/>
  <c r="F2378" i="4"/>
  <c r="G2378" i="4" s="1"/>
  <c r="I2401" i="4"/>
  <c r="F2401" i="4"/>
  <c r="G2401" i="4" s="1"/>
  <c r="I2400" i="4"/>
  <c r="F2400" i="4"/>
  <c r="G2400" i="4" s="1"/>
  <c r="I2390" i="4"/>
  <c r="F2390" i="4"/>
  <c r="G2390" i="4" s="1"/>
  <c r="I2389" i="4"/>
  <c r="F2389" i="4"/>
  <c r="G2389" i="4" s="1"/>
  <c r="I2379" i="4"/>
  <c r="F2379" i="4"/>
  <c r="G2379" i="4" s="1"/>
  <c r="I2380" i="4"/>
  <c r="F2380" i="4"/>
  <c r="G2380" i="4" s="1"/>
  <c r="I2399" i="4"/>
  <c r="F2399" i="4"/>
  <c r="G2399" i="4" s="1"/>
  <c r="I2397" i="4"/>
  <c r="F2397" i="4"/>
  <c r="G2397" i="4" s="1"/>
  <c r="I2396" i="4"/>
  <c r="F2396" i="4"/>
  <c r="G2396" i="4" s="1"/>
  <c r="I2395" i="4"/>
  <c r="F2395" i="4"/>
  <c r="G2395" i="4" s="1"/>
  <c r="I2388" i="4"/>
  <c r="F2388" i="4"/>
  <c r="G2388" i="4" s="1"/>
  <c r="I2387" i="4"/>
  <c r="F2387" i="4"/>
  <c r="G2387" i="4" s="1"/>
  <c r="I2386" i="4"/>
  <c r="F2386" i="4"/>
  <c r="G2386" i="4" s="1"/>
  <c r="I2385" i="4"/>
  <c r="F2385" i="4"/>
  <c r="G2385" i="4" s="1"/>
  <c r="I2376" i="4"/>
  <c r="F2376" i="4"/>
  <c r="G2376" i="4" s="1"/>
  <c r="I2375" i="4"/>
  <c r="F2375" i="4"/>
  <c r="G2375" i="4" s="1"/>
  <c r="I2374" i="4"/>
  <c r="F2374" i="4"/>
  <c r="G2374" i="4" s="1"/>
  <c r="I2367" i="4"/>
  <c r="F2367" i="4"/>
  <c r="G2367" i="4" s="1"/>
  <c r="I2365" i="4"/>
  <c r="F2365" i="4"/>
  <c r="G2365" i="4" s="1"/>
  <c r="I2364" i="4"/>
  <c r="F2364" i="4"/>
  <c r="G2364" i="4" s="1"/>
  <c r="I2363" i="4"/>
  <c r="F2363" i="4"/>
  <c r="G2363" i="4" s="1"/>
  <c r="I2369" i="4"/>
  <c r="F2369" i="4"/>
  <c r="G2369" i="4" s="1"/>
  <c r="I2368" i="4"/>
  <c r="F2368" i="4"/>
  <c r="G2368" i="4" s="1"/>
  <c r="F2366" i="4"/>
  <c r="G2366" i="4" s="1"/>
  <c r="F2398" i="4"/>
  <c r="G2398" i="4" s="1"/>
  <c r="F2377" i="4"/>
  <c r="G2377" i="4" s="1"/>
  <c r="F2358" i="4"/>
  <c r="G2358" i="4" s="1"/>
  <c r="G2359" i="4" s="1"/>
  <c r="J165" i="15" s="1"/>
  <c r="H165" i="15" s="1"/>
  <c r="P176" i="15"/>
  <c r="J176" i="15"/>
  <c r="H176" i="15" s="1"/>
  <c r="I2352" i="4"/>
  <c r="B2352" i="4" s="1"/>
  <c r="F2352" i="4"/>
  <c r="G2352" i="4" s="1"/>
  <c r="I2351" i="4"/>
  <c r="B2351" i="4" s="1"/>
  <c r="F2351" i="4"/>
  <c r="G2351" i="4" s="1"/>
  <c r="F2353" i="4"/>
  <c r="G2353" i="4" s="1"/>
  <c r="F2350" i="4"/>
  <c r="G2350" i="4" s="1"/>
  <c r="P122" i="15"/>
  <c r="I2342" i="4"/>
  <c r="F2342" i="4"/>
  <c r="G2342" i="4" s="1"/>
  <c r="I2344" i="4"/>
  <c r="F2344" i="4"/>
  <c r="G2344" i="4" s="1"/>
  <c r="I2343" i="4"/>
  <c r="F2343" i="4"/>
  <c r="G2343" i="4" s="1"/>
  <c r="F2345" i="4"/>
  <c r="G2345" i="4" s="1"/>
  <c r="J16" i="15"/>
  <c r="P16" i="15"/>
  <c r="J17" i="15"/>
  <c r="P17" i="15"/>
  <c r="J18" i="15"/>
  <c r="P18" i="15"/>
  <c r="J19" i="15"/>
  <c r="P19" i="15"/>
  <c r="J20" i="15"/>
  <c r="P20" i="15"/>
  <c r="J21" i="15"/>
  <c r="H21" i="15" s="1"/>
  <c r="I21" i="15" s="1"/>
  <c r="P21" i="15"/>
  <c r="J22" i="15"/>
  <c r="P22" i="15"/>
  <c r="P23" i="15"/>
  <c r="J24" i="15"/>
  <c r="P24" i="15"/>
  <c r="J25" i="15"/>
  <c r="H25" i="15" s="1"/>
  <c r="P25" i="15"/>
  <c r="J26" i="15"/>
  <c r="H26" i="15" s="1"/>
  <c r="P26" i="15"/>
  <c r="J27" i="15"/>
  <c r="P27" i="15"/>
  <c r="P28" i="15"/>
  <c r="P29" i="15"/>
  <c r="J30" i="15"/>
  <c r="P30" i="15"/>
  <c r="J31" i="15"/>
  <c r="P31" i="15"/>
  <c r="J32" i="15"/>
  <c r="P32" i="15"/>
  <c r="P33" i="15"/>
  <c r="P34" i="15"/>
  <c r="P35" i="15"/>
  <c r="J36" i="15"/>
  <c r="H36" i="15" s="1"/>
  <c r="P36" i="15"/>
  <c r="J37" i="15"/>
  <c r="H37" i="15" s="1"/>
  <c r="P37" i="15"/>
  <c r="J38" i="15"/>
  <c r="H38" i="15" s="1"/>
  <c r="P38" i="15"/>
  <c r="P39" i="15"/>
  <c r="J40" i="15"/>
  <c r="P40" i="15"/>
  <c r="P41" i="15"/>
  <c r="P42" i="15"/>
  <c r="P43" i="15"/>
  <c r="J44" i="15"/>
  <c r="H44" i="15" s="1"/>
  <c r="P44" i="15"/>
  <c r="J45" i="15"/>
  <c r="H45" i="15" s="1"/>
  <c r="P45" i="15"/>
  <c r="J46" i="15"/>
  <c r="H46" i="15" s="1"/>
  <c r="P46" i="15"/>
  <c r="J47" i="15"/>
  <c r="H47" i="15" s="1"/>
  <c r="P47" i="15"/>
  <c r="J48" i="15"/>
  <c r="H48" i="15" s="1"/>
  <c r="P48" i="15"/>
  <c r="J49" i="15"/>
  <c r="H49" i="15" s="1"/>
  <c r="P49" i="15"/>
  <c r="P50" i="15"/>
  <c r="J51" i="15"/>
  <c r="P51" i="15"/>
  <c r="J52" i="15"/>
  <c r="H52" i="15" s="1"/>
  <c r="P52" i="15"/>
  <c r="J53" i="15"/>
  <c r="H53" i="15" s="1"/>
  <c r="P53" i="15"/>
  <c r="P54" i="15"/>
  <c r="J55" i="15"/>
  <c r="H55" i="15" s="1"/>
  <c r="P55" i="15"/>
  <c r="J56" i="15"/>
  <c r="H56" i="15" s="1"/>
  <c r="P56" i="15"/>
  <c r="J57" i="15"/>
  <c r="H57" i="15" s="1"/>
  <c r="P57" i="15"/>
  <c r="J58" i="15"/>
  <c r="H58" i="15" s="1"/>
  <c r="P58" i="15"/>
  <c r="J59" i="15"/>
  <c r="H59" i="15" s="1"/>
  <c r="P59" i="15"/>
  <c r="P61" i="15"/>
  <c r="J62" i="15"/>
  <c r="P62" i="15"/>
  <c r="J63" i="15"/>
  <c r="P63" i="15"/>
  <c r="J64" i="15"/>
  <c r="H64" i="15" s="1"/>
  <c r="P64" i="15"/>
  <c r="J65" i="15"/>
  <c r="H65" i="15" s="1"/>
  <c r="P65" i="15"/>
  <c r="J66" i="15"/>
  <c r="H66" i="15" s="1"/>
  <c r="P66" i="15"/>
  <c r="J67" i="15"/>
  <c r="H67" i="15" s="1"/>
  <c r="P67" i="15"/>
  <c r="J68" i="15"/>
  <c r="H68" i="15" s="1"/>
  <c r="P68" i="15"/>
  <c r="J69" i="15"/>
  <c r="H69" i="15" s="1"/>
  <c r="P69" i="15"/>
  <c r="J70" i="15"/>
  <c r="H70" i="15" s="1"/>
  <c r="P70" i="15"/>
  <c r="J71" i="15"/>
  <c r="H71" i="15" s="1"/>
  <c r="P71" i="15"/>
  <c r="J72" i="15"/>
  <c r="H72" i="15" s="1"/>
  <c r="P72" i="15"/>
  <c r="J73" i="15"/>
  <c r="H73" i="15" s="1"/>
  <c r="P73" i="15"/>
  <c r="P74" i="15"/>
  <c r="P75" i="15"/>
  <c r="P76" i="15"/>
  <c r="P77" i="15"/>
  <c r="J78" i="15"/>
  <c r="P78" i="15"/>
  <c r="J79" i="15"/>
  <c r="P79" i="15"/>
  <c r="J80" i="15"/>
  <c r="P80" i="15"/>
  <c r="J81" i="15"/>
  <c r="P81" i="15"/>
  <c r="P82" i="15"/>
  <c r="J83" i="15"/>
  <c r="H83" i="15" s="1"/>
  <c r="P83" i="15"/>
  <c r="J84" i="15"/>
  <c r="H84" i="15" s="1"/>
  <c r="P84" i="15"/>
  <c r="J85" i="15"/>
  <c r="H85" i="15" s="1"/>
  <c r="P85" i="15"/>
  <c r="J86" i="15"/>
  <c r="H86" i="15" s="1"/>
  <c r="P86" i="15"/>
  <c r="J87" i="15"/>
  <c r="H87" i="15" s="1"/>
  <c r="P87" i="15"/>
  <c r="J88" i="15"/>
  <c r="H88" i="15" s="1"/>
  <c r="P88" i="15"/>
  <c r="J89" i="15"/>
  <c r="H89" i="15" s="1"/>
  <c r="P89" i="15"/>
  <c r="J90" i="15"/>
  <c r="H90" i="15" s="1"/>
  <c r="P90" i="15"/>
  <c r="J92" i="15"/>
  <c r="P92" i="15"/>
  <c r="J93" i="15"/>
  <c r="H93" i="15" s="1"/>
  <c r="P93" i="15"/>
  <c r="J94" i="15"/>
  <c r="H94" i="15" s="1"/>
  <c r="P94" i="15"/>
  <c r="J95" i="15"/>
  <c r="H95" i="15" s="1"/>
  <c r="P95" i="15"/>
  <c r="J96" i="15"/>
  <c r="H96" i="15" s="1"/>
  <c r="P96" i="15"/>
  <c r="J97" i="15"/>
  <c r="H97" i="15" s="1"/>
  <c r="P97" i="15"/>
  <c r="J98" i="15"/>
  <c r="H98" i="15" s="1"/>
  <c r="P98" i="15"/>
  <c r="J99" i="15"/>
  <c r="H99" i="15" s="1"/>
  <c r="P99" i="15"/>
  <c r="J100" i="15"/>
  <c r="H100" i="15" s="1"/>
  <c r="P100" i="15"/>
  <c r="J101" i="15"/>
  <c r="H101" i="15" s="1"/>
  <c r="P101" i="15"/>
  <c r="J103" i="15"/>
  <c r="P103" i="15"/>
  <c r="P104" i="15"/>
  <c r="P105" i="15"/>
  <c r="J106" i="15"/>
  <c r="H106" i="15" s="1"/>
  <c r="P106" i="15"/>
  <c r="J107" i="15"/>
  <c r="H107" i="15" s="1"/>
  <c r="P107" i="15"/>
  <c r="J108" i="15"/>
  <c r="H108" i="15" s="1"/>
  <c r="P108" i="15"/>
  <c r="J109" i="15"/>
  <c r="H109" i="15" s="1"/>
  <c r="P109" i="15"/>
  <c r="J110" i="15"/>
  <c r="H110" i="15" s="1"/>
  <c r="P110" i="15"/>
  <c r="J111" i="15"/>
  <c r="H111" i="15" s="1"/>
  <c r="P111" i="15"/>
  <c r="P112" i="15"/>
  <c r="J114" i="15"/>
  <c r="P114" i="15"/>
  <c r="P115" i="15"/>
  <c r="J116" i="15"/>
  <c r="H116" i="15" s="1"/>
  <c r="P116" i="15"/>
  <c r="J117" i="15"/>
  <c r="H117" i="15" s="1"/>
  <c r="P117" i="15"/>
  <c r="J118" i="15"/>
  <c r="H118" i="15" s="1"/>
  <c r="P118" i="15"/>
  <c r="J120" i="15"/>
  <c r="P120" i="15"/>
  <c r="J121" i="15"/>
  <c r="H121" i="15" s="1"/>
  <c r="P121" i="15"/>
  <c r="J123" i="15"/>
  <c r="H123" i="15" s="1"/>
  <c r="P123" i="15"/>
  <c r="J124" i="15"/>
  <c r="H124" i="15" s="1"/>
  <c r="P124" i="15"/>
  <c r="J125" i="15"/>
  <c r="H125" i="15" s="1"/>
  <c r="P125" i="15"/>
  <c r="J126" i="15"/>
  <c r="H126" i="15" s="1"/>
  <c r="P126" i="15"/>
  <c r="J127" i="15"/>
  <c r="H127" i="15" s="1"/>
  <c r="P127" i="15"/>
  <c r="J128" i="15"/>
  <c r="H128" i="15" s="1"/>
  <c r="P128" i="15"/>
  <c r="J130" i="15"/>
  <c r="P130" i="15"/>
  <c r="J131" i="15"/>
  <c r="P131" i="15"/>
  <c r="P132" i="15"/>
  <c r="J133" i="15"/>
  <c r="P133" i="15"/>
  <c r="J134" i="15"/>
  <c r="P134" i="15"/>
  <c r="P135" i="15"/>
  <c r="P136" i="15"/>
  <c r="P137" i="15"/>
  <c r="J138" i="15"/>
  <c r="P138" i="15"/>
  <c r="J139" i="15"/>
  <c r="P139" i="15"/>
  <c r="J140" i="15"/>
  <c r="P140" i="15"/>
  <c r="P141" i="15"/>
  <c r="P142" i="15"/>
  <c r="P143" i="15"/>
  <c r="P144" i="15"/>
  <c r="J145" i="15"/>
  <c r="P145" i="15"/>
  <c r="P146" i="15"/>
  <c r="P147" i="15"/>
  <c r="J148" i="15"/>
  <c r="P148" i="15"/>
  <c r="J149" i="15"/>
  <c r="P149" i="15"/>
  <c r="P150" i="15"/>
  <c r="J151" i="15"/>
  <c r="P151" i="15"/>
  <c r="J152" i="15"/>
  <c r="P152" i="15"/>
  <c r="P153" i="15"/>
  <c r="J154" i="15"/>
  <c r="P154" i="15"/>
  <c r="J155" i="15"/>
  <c r="P155" i="15"/>
  <c r="J156" i="15"/>
  <c r="H156" i="15" s="1"/>
  <c r="P156" i="15"/>
  <c r="J157" i="15"/>
  <c r="H157" i="15" s="1"/>
  <c r="P157" i="15"/>
  <c r="P158" i="15"/>
  <c r="P159" i="15"/>
  <c r="P160" i="15"/>
  <c r="J162" i="15"/>
  <c r="P162" i="15"/>
  <c r="J163" i="15"/>
  <c r="P163" i="15"/>
  <c r="J164" i="15"/>
  <c r="H164" i="15" s="1"/>
  <c r="P164" i="15"/>
  <c r="P165" i="15"/>
  <c r="J166" i="15"/>
  <c r="P166" i="15"/>
  <c r="J167" i="15"/>
  <c r="P167" i="15"/>
  <c r="J168" i="15"/>
  <c r="H168" i="15" s="1"/>
  <c r="P168" i="15"/>
  <c r="J169" i="15"/>
  <c r="H169" i="15" s="1"/>
  <c r="P169" i="15"/>
  <c r="J170" i="15"/>
  <c r="H170" i="15" s="1"/>
  <c r="P170" i="15"/>
  <c r="J171" i="15"/>
  <c r="H171" i="15" s="1"/>
  <c r="P171" i="15"/>
  <c r="P172" i="15"/>
  <c r="P173" i="15"/>
  <c r="P174" i="15"/>
  <c r="P175" i="15"/>
  <c r="J177" i="15"/>
  <c r="P177" i="15"/>
  <c r="J178" i="15"/>
  <c r="P178" i="15"/>
  <c r="J179" i="15"/>
  <c r="H179" i="15" s="1"/>
  <c r="P179" i="15"/>
  <c r="J180" i="15"/>
  <c r="H180" i="15" s="1"/>
  <c r="P180" i="15"/>
  <c r="P181" i="15"/>
  <c r="P182" i="15"/>
  <c r="P183" i="15"/>
  <c r="J185" i="15"/>
  <c r="P185" i="15"/>
  <c r="J186" i="15"/>
  <c r="P186" i="15"/>
  <c r="P187" i="15"/>
  <c r="P188" i="15"/>
  <c r="J189" i="15"/>
  <c r="H189" i="15" s="1"/>
  <c r="P189" i="15"/>
  <c r="P190" i="15"/>
  <c r="P191" i="15"/>
  <c r="J192" i="15"/>
  <c r="P192" i="15"/>
  <c r="J193" i="15"/>
  <c r="P193" i="15"/>
  <c r="J194" i="15"/>
  <c r="P194" i="15"/>
  <c r="J195" i="15"/>
  <c r="P195" i="15"/>
  <c r="J196" i="15"/>
  <c r="P196" i="15"/>
  <c r="P197" i="15"/>
  <c r="P198" i="15"/>
  <c r="P199" i="15"/>
  <c r="J200" i="15"/>
  <c r="H200" i="15" s="1"/>
  <c r="P200" i="15"/>
  <c r="J201" i="15"/>
  <c r="H201" i="15" s="1"/>
  <c r="P201" i="15"/>
  <c r="J202" i="15"/>
  <c r="H202" i="15" s="1"/>
  <c r="P202" i="15"/>
  <c r="J203" i="15"/>
  <c r="H203" i="15" s="1"/>
  <c r="P203" i="15"/>
  <c r="J204" i="15"/>
  <c r="H204" i="15" s="1"/>
  <c r="P204" i="15"/>
  <c r="J205" i="15"/>
  <c r="H205" i="15" s="1"/>
  <c r="P205" i="15"/>
  <c r="J206" i="15"/>
  <c r="H206" i="15" s="1"/>
  <c r="P206" i="15"/>
  <c r="J207" i="15"/>
  <c r="H207" i="15" s="1"/>
  <c r="P207" i="15"/>
  <c r="P208" i="15"/>
  <c r="P209" i="15"/>
  <c r="J210" i="15"/>
  <c r="H210" i="15" s="1"/>
  <c r="P210" i="15"/>
  <c r="J211" i="15"/>
  <c r="H211" i="15" s="1"/>
  <c r="P211" i="15"/>
  <c r="P212" i="15"/>
  <c r="J213" i="15"/>
  <c r="H213" i="15" s="1"/>
  <c r="P213" i="15"/>
  <c r="P214" i="15"/>
  <c r="P215" i="15"/>
  <c r="J216" i="15"/>
  <c r="H216" i="15" s="1"/>
  <c r="P216" i="15"/>
  <c r="P217" i="15"/>
  <c r="P218" i="15"/>
  <c r="J219" i="15"/>
  <c r="H219" i="15" s="1"/>
  <c r="P219" i="15"/>
  <c r="J220" i="15"/>
  <c r="H220" i="15" s="1"/>
  <c r="P220" i="15"/>
  <c r="J221" i="15"/>
  <c r="H221" i="15" s="1"/>
  <c r="P221" i="15"/>
  <c r="J222" i="15"/>
  <c r="H222" i="15" s="1"/>
  <c r="P222" i="15"/>
  <c r="J223" i="15"/>
  <c r="H223" i="15" s="1"/>
  <c r="P223" i="15"/>
  <c r="J224" i="15"/>
  <c r="H224" i="15" s="1"/>
  <c r="P224" i="15"/>
  <c r="J225" i="15"/>
  <c r="H225" i="15" s="1"/>
  <c r="P225" i="15"/>
  <c r="J226" i="15"/>
  <c r="H226" i="15" s="1"/>
  <c r="P226" i="15"/>
  <c r="J227" i="15"/>
  <c r="H227" i="15" s="1"/>
  <c r="P227" i="15"/>
  <c r="P228" i="15"/>
  <c r="P229" i="15"/>
  <c r="P230" i="15"/>
  <c r="J231" i="15"/>
  <c r="P231" i="15"/>
  <c r="P232" i="15"/>
  <c r="J233" i="15"/>
  <c r="H233" i="15" s="1"/>
  <c r="P233" i="15"/>
  <c r="J234" i="15"/>
  <c r="H234" i="15" s="1"/>
  <c r="P234" i="15"/>
  <c r="P235" i="15"/>
  <c r="P236" i="15"/>
  <c r="H237" i="15"/>
  <c r="J238" i="15"/>
  <c r="H238" i="15" s="1"/>
  <c r="P238" i="15"/>
  <c r="J239" i="15"/>
  <c r="H239" i="15" s="1"/>
  <c r="P239" i="15"/>
  <c r="P240" i="15"/>
  <c r="J241" i="15"/>
  <c r="H241" i="15" s="1"/>
  <c r="P241" i="15"/>
  <c r="P242" i="15"/>
  <c r="J243" i="15"/>
  <c r="H243" i="15" s="1"/>
  <c r="P243" i="15"/>
  <c r="J244" i="15"/>
  <c r="H244" i="15" s="1"/>
  <c r="P244" i="15"/>
  <c r="J245" i="15"/>
  <c r="H245" i="15" s="1"/>
  <c r="P245" i="15"/>
  <c r="P248" i="15"/>
  <c r="P249" i="15"/>
  <c r="J250" i="15"/>
  <c r="P250" i="15"/>
  <c r="J251" i="15"/>
  <c r="H251" i="15" s="1"/>
  <c r="P251" i="15"/>
  <c r="J252" i="15"/>
  <c r="P252" i="15"/>
  <c r="J253" i="15"/>
  <c r="H253" i="15" s="1"/>
  <c r="P253" i="15"/>
  <c r="J254" i="15"/>
  <c r="H254" i="15" s="1"/>
  <c r="P254" i="15"/>
  <c r="J255" i="15"/>
  <c r="H255" i="15" s="1"/>
  <c r="P255" i="15"/>
  <c r="J256" i="15"/>
  <c r="H256" i="15" s="1"/>
  <c r="P256" i="15"/>
  <c r="J257" i="15"/>
  <c r="H257" i="15" s="1"/>
  <c r="P257" i="15"/>
  <c r="J258" i="15"/>
  <c r="H258" i="15" s="1"/>
  <c r="P258" i="15"/>
  <c r="J259" i="15"/>
  <c r="P259" i="15"/>
  <c r="J260" i="15"/>
  <c r="H260" i="15" s="1"/>
  <c r="P260" i="15"/>
  <c r="J261" i="15"/>
  <c r="H261" i="15" s="1"/>
  <c r="P261" i="15"/>
  <c r="J262" i="15"/>
  <c r="H262" i="15" s="1"/>
  <c r="P262" i="15"/>
  <c r="J263" i="15"/>
  <c r="H263" i="15" s="1"/>
  <c r="P263" i="15"/>
  <c r="P264" i="15"/>
  <c r="J265" i="15"/>
  <c r="P265" i="15"/>
  <c r="J266" i="15"/>
  <c r="P266" i="15"/>
  <c r="J267" i="15"/>
  <c r="H267" i="15" s="1"/>
  <c r="P267" i="15"/>
  <c r="J268" i="15"/>
  <c r="H268" i="15" s="1"/>
  <c r="P268" i="15"/>
  <c r="J269" i="15"/>
  <c r="H269" i="15" s="1"/>
  <c r="P269" i="15"/>
  <c r="P270" i="15"/>
  <c r="P271" i="15"/>
  <c r="P272" i="15"/>
  <c r="J273" i="15"/>
  <c r="H273" i="15" s="1"/>
  <c r="P273" i="15"/>
  <c r="J274" i="15"/>
  <c r="H274" i="15" s="1"/>
  <c r="P274" i="15"/>
  <c r="J275" i="15"/>
  <c r="H275" i="15" s="1"/>
  <c r="P275" i="15"/>
  <c r="J276" i="15"/>
  <c r="H276" i="15" s="1"/>
  <c r="P276" i="15"/>
  <c r="J277" i="15"/>
  <c r="H277" i="15" s="1"/>
  <c r="P277" i="15"/>
  <c r="J278" i="15"/>
  <c r="H278" i="15" s="1"/>
  <c r="P278" i="15"/>
  <c r="J279" i="15"/>
  <c r="H279" i="15" s="1"/>
  <c r="P279" i="15"/>
  <c r="J280" i="15"/>
  <c r="H280" i="15" s="1"/>
  <c r="P280" i="15"/>
  <c r="J281" i="15"/>
  <c r="H281" i="15" s="1"/>
  <c r="P281" i="15"/>
  <c r="J282" i="15"/>
  <c r="H282" i="15" s="1"/>
  <c r="P282" i="15"/>
  <c r="J283" i="15"/>
  <c r="H283" i="15" s="1"/>
  <c r="P283" i="15"/>
  <c r="J284" i="15"/>
  <c r="H284" i="15" s="1"/>
  <c r="P284" i="15"/>
  <c r="P285" i="15"/>
  <c r="P286" i="15"/>
  <c r="J287" i="15"/>
  <c r="P287" i="15"/>
  <c r="P288" i="15"/>
  <c r="P289" i="15"/>
  <c r="J290" i="15"/>
  <c r="H290" i="15" s="1"/>
  <c r="P290" i="15"/>
  <c r="J292" i="15"/>
  <c r="P292" i="15"/>
  <c r="J293" i="15"/>
  <c r="P293" i="15"/>
  <c r="J294" i="15"/>
  <c r="H294" i="15" s="1"/>
  <c r="P294" i="15"/>
  <c r="J295" i="15"/>
  <c r="H295" i="15" s="1"/>
  <c r="P295" i="15"/>
  <c r="J296" i="15"/>
  <c r="H296" i="15" s="1"/>
  <c r="P296" i="15"/>
  <c r="J297" i="15"/>
  <c r="H297" i="15" s="1"/>
  <c r="P297" i="15"/>
  <c r="J298" i="15"/>
  <c r="H298" i="15" s="1"/>
  <c r="P298" i="15"/>
  <c r="J299" i="15"/>
  <c r="H299" i="15" s="1"/>
  <c r="P299" i="15"/>
  <c r="J300" i="15"/>
  <c r="H300" i="15" s="1"/>
  <c r="P300" i="15"/>
  <c r="J301" i="15"/>
  <c r="H301" i="15" s="1"/>
  <c r="P301" i="15"/>
  <c r="J302" i="15"/>
  <c r="H302" i="15" s="1"/>
  <c r="P302" i="15"/>
  <c r="J303" i="15"/>
  <c r="H303" i="15" s="1"/>
  <c r="P303" i="15"/>
  <c r="J304" i="15"/>
  <c r="H304" i="15" s="1"/>
  <c r="P304" i="15"/>
  <c r="J305" i="15"/>
  <c r="H305" i="15" s="1"/>
  <c r="P305" i="15"/>
  <c r="J306" i="15"/>
  <c r="H306" i="15" s="1"/>
  <c r="P306" i="15"/>
  <c r="J307" i="15"/>
  <c r="H307" i="15" s="1"/>
  <c r="P307" i="15"/>
  <c r="J308" i="15"/>
  <c r="H308" i="15" s="1"/>
  <c r="P308" i="15"/>
  <c r="P309" i="15"/>
  <c r="P310" i="15"/>
  <c r="J311" i="15"/>
  <c r="H311" i="15" s="1"/>
  <c r="P311" i="15"/>
  <c r="J312" i="15"/>
  <c r="H312" i="15" s="1"/>
  <c r="P312" i="15"/>
  <c r="J313" i="15"/>
  <c r="H313" i="15" s="1"/>
  <c r="P313" i="15"/>
  <c r="J314" i="15"/>
  <c r="H314" i="15" s="1"/>
  <c r="P314" i="15"/>
  <c r="J315" i="15"/>
  <c r="H315" i="15" s="1"/>
  <c r="P315" i="15"/>
  <c r="J316" i="15"/>
  <c r="H316" i="15" s="1"/>
  <c r="P316" i="15"/>
  <c r="J317" i="15"/>
  <c r="H317" i="15" s="1"/>
  <c r="P317" i="15"/>
  <c r="J318" i="15"/>
  <c r="H318" i="15" s="1"/>
  <c r="P318" i="15"/>
  <c r="J319" i="15"/>
  <c r="H319" i="15" s="1"/>
  <c r="P319" i="15"/>
  <c r="P320" i="15"/>
  <c r="P321" i="15"/>
  <c r="P322" i="15"/>
  <c r="P323" i="15"/>
  <c r="P324" i="15"/>
  <c r="P325" i="15"/>
  <c r="P326" i="15"/>
  <c r="J327" i="15"/>
  <c r="P327" i="15"/>
  <c r="P328" i="15"/>
  <c r="P329" i="15"/>
  <c r="P330" i="15"/>
  <c r="J331" i="15"/>
  <c r="P331" i="15"/>
  <c r="J332" i="15"/>
  <c r="P332" i="15"/>
  <c r="P333" i="15"/>
  <c r="P334" i="15"/>
  <c r="P335" i="15"/>
  <c r="P336" i="15"/>
  <c r="P337" i="15"/>
  <c r="P338" i="15"/>
  <c r="P339" i="15"/>
  <c r="J340" i="15"/>
  <c r="P340" i="15"/>
  <c r="J341" i="15"/>
  <c r="H341" i="15" s="1"/>
  <c r="P341" i="15"/>
  <c r="J342" i="15"/>
  <c r="H342" i="15" s="1"/>
  <c r="P342" i="15"/>
  <c r="J343" i="15"/>
  <c r="H343" i="15" s="1"/>
  <c r="P343" i="15"/>
  <c r="J344" i="15"/>
  <c r="H344" i="15" s="1"/>
  <c r="P344" i="15"/>
  <c r="J345" i="15"/>
  <c r="P345" i="15"/>
  <c r="J346" i="15"/>
  <c r="P346" i="15"/>
  <c r="J347" i="15"/>
  <c r="P347" i="15"/>
  <c r="J348" i="15"/>
  <c r="P348" i="15"/>
  <c r="J349" i="15"/>
  <c r="H349" i="15" s="1"/>
  <c r="P349" i="15"/>
  <c r="P350" i="15"/>
  <c r="J351" i="15"/>
  <c r="H351" i="15" s="1"/>
  <c r="P351" i="15"/>
  <c r="P352" i="15"/>
  <c r="P353" i="15"/>
  <c r="P354" i="15"/>
  <c r="P355" i="15"/>
  <c r="P356" i="15"/>
  <c r="P357" i="15"/>
  <c r="J358" i="15"/>
  <c r="H358" i="15" s="1"/>
  <c r="P358" i="15"/>
  <c r="P359" i="15"/>
  <c r="P360" i="15"/>
  <c r="J361" i="15"/>
  <c r="H361" i="15" s="1"/>
  <c r="P361" i="15"/>
  <c r="P362" i="15"/>
  <c r="J363" i="15"/>
  <c r="P363" i="15"/>
  <c r="J364" i="15"/>
  <c r="H364" i="15" s="1"/>
  <c r="P364" i="15"/>
  <c r="J365" i="15"/>
  <c r="H365" i="15" s="1"/>
  <c r="P365" i="15"/>
  <c r="P366" i="15"/>
  <c r="J367" i="15"/>
  <c r="H367" i="15" s="1"/>
  <c r="P367" i="15"/>
  <c r="J368" i="15"/>
  <c r="H368" i="15" s="1"/>
  <c r="P368" i="15"/>
  <c r="P369" i="15"/>
  <c r="P370" i="15"/>
  <c r="P371" i="15"/>
  <c r="J372" i="15"/>
  <c r="H372" i="15" s="1"/>
  <c r="P372" i="15"/>
  <c r="J373" i="15"/>
  <c r="H373" i="15" s="1"/>
  <c r="P373" i="15"/>
  <c r="P375" i="15"/>
  <c r="P376" i="15"/>
  <c r="P377" i="15"/>
  <c r="P378" i="15"/>
  <c r="P379" i="15"/>
  <c r="J380" i="15"/>
  <c r="H380" i="15" s="1"/>
  <c r="P380" i="15"/>
  <c r="P381" i="15"/>
  <c r="J382" i="15"/>
  <c r="P382" i="15"/>
  <c r="J383" i="15"/>
  <c r="P383" i="15"/>
  <c r="J384" i="15"/>
  <c r="P384" i="15"/>
  <c r="J385" i="15"/>
  <c r="P385" i="15"/>
  <c r="P386" i="15"/>
  <c r="J387" i="15"/>
  <c r="H387" i="15" s="1"/>
  <c r="P387" i="15"/>
  <c r="J388" i="15"/>
  <c r="H388" i="15" s="1"/>
  <c r="P388" i="15"/>
  <c r="J389" i="15"/>
  <c r="H389" i="15" s="1"/>
  <c r="P389" i="15"/>
  <c r="J390" i="15"/>
  <c r="H390" i="15" s="1"/>
  <c r="P390" i="15"/>
  <c r="J391" i="15"/>
  <c r="H391" i="15" s="1"/>
  <c r="P391" i="15"/>
  <c r="J392" i="15"/>
  <c r="H392" i="15" s="1"/>
  <c r="P392" i="15"/>
  <c r="J393" i="15"/>
  <c r="H393" i="15" s="1"/>
  <c r="P393" i="15"/>
  <c r="J394" i="15"/>
  <c r="H394" i="15" s="1"/>
  <c r="P394" i="15"/>
  <c r="J395" i="15"/>
  <c r="H395" i="15" s="1"/>
  <c r="P395" i="15"/>
  <c r="J396" i="15"/>
  <c r="H396" i="15" s="1"/>
  <c r="P396" i="15"/>
  <c r="J397" i="15"/>
  <c r="H397" i="15" s="1"/>
  <c r="P397" i="15"/>
  <c r="J398" i="15"/>
  <c r="H398" i="15" s="1"/>
  <c r="P398" i="15"/>
  <c r="P399" i="15"/>
  <c r="P400" i="15"/>
  <c r="P401" i="15"/>
  <c r="P402" i="15"/>
  <c r="P403" i="15"/>
  <c r="P404" i="15"/>
  <c r="P405" i="15"/>
  <c r="P406" i="15"/>
  <c r="P407" i="15"/>
  <c r="J408" i="15"/>
  <c r="P408" i="15"/>
  <c r="P409" i="15"/>
  <c r="P410" i="15"/>
  <c r="P411" i="15"/>
  <c r="J412" i="15"/>
  <c r="P412" i="15"/>
  <c r="J413" i="15"/>
  <c r="H413" i="15" s="1"/>
  <c r="P413" i="15"/>
  <c r="J414" i="15"/>
  <c r="H414" i="15" s="1"/>
  <c r="P414" i="15"/>
  <c r="J415" i="15"/>
  <c r="H415" i="15" s="1"/>
  <c r="P415" i="15"/>
  <c r="J416" i="15"/>
  <c r="H416" i="15" s="1"/>
  <c r="P416" i="15"/>
  <c r="J417" i="15"/>
  <c r="H417" i="15" s="1"/>
  <c r="P417" i="15"/>
  <c r="J418" i="15"/>
  <c r="H418" i="15" s="1"/>
  <c r="P418" i="15"/>
  <c r="J419" i="15"/>
  <c r="H419" i="15" s="1"/>
  <c r="P419" i="15"/>
  <c r="J420" i="15"/>
  <c r="P420" i="15"/>
  <c r="P421" i="15"/>
  <c r="J422" i="15"/>
  <c r="H422" i="15" s="1"/>
  <c r="P422" i="15"/>
  <c r="P423" i="15"/>
  <c r="J424" i="15"/>
  <c r="P424" i="15"/>
  <c r="J425" i="15"/>
  <c r="P425" i="15"/>
  <c r="J426" i="15"/>
  <c r="P426" i="15"/>
  <c r="P427" i="15"/>
  <c r="P428" i="15"/>
  <c r="P429" i="15"/>
  <c r="P430" i="15"/>
  <c r="P431" i="15"/>
  <c r="P432" i="15"/>
  <c r="P433" i="15"/>
  <c r="J438" i="15"/>
  <c r="H438" i="15" s="1"/>
  <c r="P438" i="15"/>
  <c r="P439" i="15"/>
  <c r="P440" i="15"/>
  <c r="P441" i="15"/>
  <c r="J442" i="15"/>
  <c r="H442" i="15" s="1"/>
  <c r="P442" i="15"/>
  <c r="P443" i="15"/>
  <c r="P445" i="15"/>
  <c r="P446" i="15"/>
  <c r="J447" i="15"/>
  <c r="P447" i="15"/>
  <c r="J448" i="15"/>
  <c r="H448" i="15" s="1"/>
  <c r="P448" i="15"/>
  <c r="J449" i="15"/>
  <c r="H449" i="15" s="1"/>
  <c r="P449" i="15"/>
  <c r="J450" i="15"/>
  <c r="H450" i="15" s="1"/>
  <c r="P450" i="15"/>
  <c r="J451" i="15"/>
  <c r="H451" i="15" s="1"/>
  <c r="P451" i="15"/>
  <c r="J452" i="15"/>
  <c r="H452" i="15" s="1"/>
  <c r="P452" i="15"/>
  <c r="J453" i="15"/>
  <c r="H453" i="15" s="1"/>
  <c r="P453" i="15"/>
  <c r="P454" i="15"/>
  <c r="J455" i="15"/>
  <c r="H455" i="15" s="1"/>
  <c r="P455" i="15"/>
  <c r="J456" i="15"/>
  <c r="H456" i="15" s="1"/>
  <c r="P456" i="15"/>
  <c r="J457" i="15"/>
  <c r="H457" i="15" s="1"/>
  <c r="P457" i="15"/>
  <c r="J458" i="15"/>
  <c r="H458" i="15" s="1"/>
  <c r="P458" i="15"/>
  <c r="J459" i="15"/>
  <c r="H459" i="15" s="1"/>
  <c r="P459" i="15"/>
  <c r="J460" i="15"/>
  <c r="H460" i="15" s="1"/>
  <c r="P460" i="15"/>
  <c r="P461" i="15"/>
  <c r="J462" i="15"/>
  <c r="H462" i="15" s="1"/>
  <c r="P462" i="15"/>
  <c r="J463" i="15"/>
  <c r="H463" i="15" s="1"/>
  <c r="P463" i="15"/>
  <c r="J464" i="15"/>
  <c r="H464" i="15" s="1"/>
  <c r="P464" i="15"/>
  <c r="J465" i="15"/>
  <c r="H465" i="15" s="1"/>
  <c r="P465" i="15"/>
  <c r="J466" i="15"/>
  <c r="H466" i="15" s="1"/>
  <c r="P466" i="15"/>
  <c r="P467" i="15"/>
  <c r="P468" i="15"/>
  <c r="P469" i="15"/>
  <c r="P470" i="15"/>
  <c r="P471" i="15"/>
  <c r="P472" i="15"/>
  <c r="P473" i="15"/>
  <c r="P474" i="15"/>
  <c r="P475" i="15"/>
  <c r="J476" i="15"/>
  <c r="H476" i="15" s="1"/>
  <c r="P476" i="15"/>
  <c r="J477" i="15"/>
  <c r="H477" i="15" s="1"/>
  <c r="P477" i="15"/>
  <c r="J478" i="15"/>
  <c r="P478" i="15"/>
  <c r="J479" i="15"/>
  <c r="H479" i="15" s="1"/>
  <c r="P479" i="15"/>
  <c r="P480" i="15"/>
  <c r="J481" i="15"/>
  <c r="H481" i="15" s="1"/>
  <c r="P481" i="15"/>
  <c r="J482" i="15"/>
  <c r="P482" i="15"/>
  <c r="P483" i="15"/>
  <c r="P484" i="15"/>
  <c r="J485" i="15"/>
  <c r="P485" i="15"/>
  <c r="P486" i="15"/>
  <c r="J487" i="15"/>
  <c r="P487" i="15"/>
  <c r="P488" i="15"/>
  <c r="P489" i="15"/>
  <c r="P490" i="15"/>
  <c r="J491" i="15"/>
  <c r="P491" i="15"/>
  <c r="J492" i="15"/>
  <c r="P492" i="15"/>
  <c r="J493" i="15"/>
  <c r="P493" i="15"/>
  <c r="P494" i="15"/>
  <c r="J495" i="15"/>
  <c r="P495" i="15"/>
  <c r="J496" i="15"/>
  <c r="H496" i="15" s="1"/>
  <c r="P496" i="15"/>
  <c r="J497" i="15"/>
  <c r="H497" i="15" s="1"/>
  <c r="P497" i="15"/>
  <c r="J498" i="15"/>
  <c r="H498" i="15" s="1"/>
  <c r="P498" i="15"/>
  <c r="J499" i="15"/>
  <c r="H499" i="15" s="1"/>
  <c r="P499" i="15"/>
  <c r="J500" i="15"/>
  <c r="H500" i="15" s="1"/>
  <c r="P500" i="15"/>
  <c r="J501" i="15"/>
  <c r="H501" i="15" s="1"/>
  <c r="P501" i="15"/>
  <c r="J502" i="15"/>
  <c r="H502" i="15" s="1"/>
  <c r="P502" i="15"/>
  <c r="J503" i="15"/>
  <c r="H503" i="15" s="1"/>
  <c r="P503" i="15"/>
  <c r="J504" i="15"/>
  <c r="P504" i="15"/>
  <c r="P505" i="15"/>
  <c r="P506" i="15"/>
  <c r="J507" i="15"/>
  <c r="P507" i="15"/>
  <c r="J508" i="15"/>
  <c r="H508" i="15" s="1"/>
  <c r="P508" i="15"/>
  <c r="P509" i="15"/>
  <c r="J510" i="15"/>
  <c r="P510" i="15"/>
  <c r="J511" i="15"/>
  <c r="P511" i="15"/>
  <c r="J512" i="15"/>
  <c r="P512" i="15"/>
  <c r="P513" i="15"/>
  <c r="P514" i="15"/>
  <c r="P515" i="15"/>
  <c r="P516" i="15"/>
  <c r="P517" i="15"/>
  <c r="J518" i="15"/>
  <c r="P518" i="15"/>
  <c r="P519" i="15"/>
  <c r="P520" i="15"/>
  <c r="J521" i="15"/>
  <c r="H521" i="15" s="1"/>
  <c r="P521" i="15"/>
  <c r="P522" i="15"/>
  <c r="P523" i="15"/>
  <c r="P524" i="15"/>
  <c r="J525" i="15"/>
  <c r="P525" i="15"/>
  <c r="J526" i="15"/>
  <c r="H526" i="15" s="1"/>
  <c r="P526" i="15"/>
  <c r="J527" i="15"/>
  <c r="H527" i="15" s="1"/>
  <c r="P527" i="15"/>
  <c r="J528" i="15"/>
  <c r="H528" i="15" s="1"/>
  <c r="P528" i="15"/>
  <c r="J529" i="15"/>
  <c r="H529" i="15" s="1"/>
  <c r="P529" i="15"/>
  <c r="J530" i="15"/>
  <c r="H530" i="15" s="1"/>
  <c r="P530" i="15"/>
  <c r="J531" i="15"/>
  <c r="H531" i="15" s="1"/>
  <c r="P531" i="15"/>
  <c r="J532" i="15"/>
  <c r="H532" i="15" s="1"/>
  <c r="P532" i="15"/>
  <c r="J533" i="15"/>
  <c r="H533" i="15" s="1"/>
  <c r="P533" i="15"/>
  <c r="J534" i="15"/>
  <c r="H534" i="15" s="1"/>
  <c r="P534" i="15"/>
  <c r="J535" i="15"/>
  <c r="H535" i="15" s="1"/>
  <c r="P535" i="15"/>
  <c r="J536" i="15"/>
  <c r="H536" i="15" s="1"/>
  <c r="P536" i="15"/>
  <c r="J537" i="15"/>
  <c r="H537" i="15" s="1"/>
  <c r="P537" i="15"/>
  <c r="P538" i="15"/>
  <c r="P539" i="15"/>
  <c r="J540" i="15"/>
  <c r="P540" i="15"/>
  <c r="J541" i="15"/>
  <c r="H541" i="15" s="1"/>
  <c r="P541" i="15"/>
  <c r="J542" i="15"/>
  <c r="P542" i="15"/>
  <c r="J543" i="15"/>
  <c r="H543" i="15" s="1"/>
  <c r="P543" i="15"/>
  <c r="P544" i="15"/>
  <c r="J545" i="15"/>
  <c r="P545" i="15"/>
  <c r="J546" i="15"/>
  <c r="P546" i="15"/>
  <c r="P547" i="15"/>
  <c r="P548" i="15"/>
  <c r="J549" i="15"/>
  <c r="P549" i="15"/>
  <c r="J550" i="15"/>
  <c r="P550" i="15"/>
  <c r="J551" i="15"/>
  <c r="P551" i="15"/>
  <c r="J552" i="15"/>
  <c r="H552" i="15" s="1"/>
  <c r="P552" i="15"/>
  <c r="J553" i="15"/>
  <c r="H553" i="15" s="1"/>
  <c r="P553" i="15"/>
  <c r="J554" i="15"/>
  <c r="H554" i="15" s="1"/>
  <c r="P554" i="15"/>
  <c r="J555" i="15"/>
  <c r="H555" i="15" s="1"/>
  <c r="P555" i="15"/>
  <c r="J556" i="15"/>
  <c r="H556" i="15" s="1"/>
  <c r="P556" i="15"/>
  <c r="J557" i="15"/>
  <c r="H557" i="15" s="1"/>
  <c r="P557" i="15"/>
  <c r="P558" i="15"/>
  <c r="J559" i="15"/>
  <c r="H559" i="15" s="1"/>
  <c r="P559" i="15"/>
  <c r="J560" i="15"/>
  <c r="H560" i="15" s="1"/>
  <c r="P560" i="15"/>
  <c r="P561" i="15"/>
  <c r="P562" i="15"/>
  <c r="P563" i="15"/>
  <c r="P564" i="15"/>
  <c r="P565" i="15"/>
  <c r="P566" i="15"/>
  <c r="P567" i="15"/>
  <c r="P568" i="15"/>
  <c r="P569" i="15"/>
  <c r="P570" i="15"/>
  <c r="P571" i="15"/>
  <c r="J572" i="15"/>
  <c r="P572" i="15"/>
  <c r="P573" i="15"/>
  <c r="P574" i="15"/>
  <c r="P575" i="15"/>
  <c r="P576" i="15"/>
  <c r="P577" i="15"/>
  <c r="P578" i="15"/>
  <c r="J579" i="15"/>
  <c r="P579" i="15"/>
  <c r="J580" i="15"/>
  <c r="H580" i="15" s="1"/>
  <c r="P580" i="15"/>
  <c r="J581" i="15"/>
  <c r="H581" i="15" s="1"/>
  <c r="P581" i="15"/>
  <c r="P582" i="15"/>
  <c r="P583" i="15"/>
  <c r="J584" i="15"/>
  <c r="P584" i="15"/>
  <c r="J585" i="15"/>
  <c r="H585" i="15" s="1"/>
  <c r="P585" i="15"/>
  <c r="J586" i="15"/>
  <c r="H586" i="15" s="1"/>
  <c r="P586" i="15"/>
  <c r="J587" i="15"/>
  <c r="P587" i="15"/>
  <c r="P588" i="15"/>
  <c r="J589" i="15"/>
  <c r="H589" i="15" s="1"/>
  <c r="P589" i="15"/>
  <c r="J590" i="15"/>
  <c r="H590" i="15" s="1"/>
  <c r="P590" i="15"/>
  <c r="J591" i="15"/>
  <c r="P591" i="15"/>
  <c r="J592" i="15"/>
  <c r="P592" i="15"/>
  <c r="J593" i="15"/>
  <c r="P593" i="15"/>
  <c r="P594" i="15"/>
  <c r="J595" i="15"/>
  <c r="P595" i="15"/>
  <c r="P596" i="15"/>
  <c r="J597" i="15"/>
  <c r="P597" i="15"/>
  <c r="J598" i="15"/>
  <c r="H598" i="15" s="1"/>
  <c r="P598" i="15"/>
  <c r="J599" i="15"/>
  <c r="P599" i="15"/>
  <c r="J600" i="15"/>
  <c r="H600" i="15" s="1"/>
  <c r="P600" i="15"/>
  <c r="J601" i="15"/>
  <c r="H601" i="15" s="1"/>
  <c r="P601" i="15"/>
  <c r="J602" i="15"/>
  <c r="H602" i="15" s="1"/>
  <c r="P602" i="15"/>
  <c r="P603" i="15"/>
  <c r="J604" i="15"/>
  <c r="P604" i="15"/>
  <c r="J605" i="15"/>
  <c r="P605" i="15"/>
  <c r="J606" i="15"/>
  <c r="P606" i="15"/>
  <c r="J607" i="15"/>
  <c r="H607" i="15" s="1"/>
  <c r="P607" i="15"/>
  <c r="P608" i="15"/>
  <c r="P609" i="15"/>
  <c r="P610" i="15"/>
  <c r="P611" i="15"/>
  <c r="J612" i="15"/>
  <c r="H612" i="15" s="1"/>
  <c r="P612" i="15"/>
  <c r="J613" i="15"/>
  <c r="P613" i="15"/>
  <c r="J614" i="15"/>
  <c r="H614" i="15" s="1"/>
  <c r="P614" i="15"/>
  <c r="J615" i="15"/>
  <c r="H615" i="15" s="1"/>
  <c r="P615" i="15"/>
  <c r="J616" i="15"/>
  <c r="H616" i="15" s="1"/>
  <c r="P616" i="15"/>
  <c r="J617" i="15"/>
  <c r="H617" i="15" s="1"/>
  <c r="P617" i="15"/>
  <c r="J618" i="15"/>
  <c r="H618" i="15" s="1"/>
  <c r="P618" i="15"/>
  <c r="J619" i="15"/>
  <c r="H619" i="15" s="1"/>
  <c r="P619" i="15"/>
  <c r="P620" i="15"/>
  <c r="J621" i="15"/>
  <c r="H621" i="15" s="1"/>
  <c r="P621" i="15"/>
  <c r="J622" i="15"/>
  <c r="H622" i="15" s="1"/>
  <c r="P622" i="15"/>
  <c r="J623" i="15"/>
  <c r="H623" i="15" s="1"/>
  <c r="P623" i="15"/>
  <c r="P624" i="15"/>
  <c r="P625" i="15"/>
  <c r="P626" i="15"/>
  <c r="P627" i="15"/>
  <c r="P628" i="15"/>
  <c r="P629" i="15"/>
  <c r="P630" i="15"/>
  <c r="J631" i="15"/>
  <c r="P631" i="15"/>
  <c r="P632" i="15"/>
  <c r="P633" i="15"/>
  <c r="P634" i="15"/>
  <c r="J635" i="15"/>
  <c r="P635" i="15"/>
  <c r="J636" i="15"/>
  <c r="H636" i="15" s="1"/>
  <c r="P636" i="15"/>
  <c r="J637" i="15"/>
  <c r="H637" i="15" s="1"/>
  <c r="P637" i="15"/>
  <c r="J638" i="15"/>
  <c r="H638" i="15" s="1"/>
  <c r="P638" i="15"/>
  <c r="J639" i="15"/>
  <c r="H639" i="15" s="1"/>
  <c r="P639" i="15"/>
  <c r="J640" i="15"/>
  <c r="H640" i="15" s="1"/>
  <c r="P640" i="15"/>
  <c r="J641" i="15"/>
  <c r="H641" i="15" s="1"/>
  <c r="P641" i="15"/>
  <c r="J642" i="15"/>
  <c r="H642" i="15" s="1"/>
  <c r="P642" i="15"/>
  <c r="J643" i="15"/>
  <c r="H643" i="15" s="1"/>
  <c r="P643" i="15"/>
  <c r="J644" i="15"/>
  <c r="H644" i="15" s="1"/>
  <c r="P644" i="15"/>
  <c r="J645" i="15"/>
  <c r="P645" i="15"/>
  <c r="J646" i="15"/>
  <c r="H646" i="15" s="1"/>
  <c r="P646" i="15"/>
  <c r="J647" i="15"/>
  <c r="P647" i="15"/>
  <c r="J648" i="15"/>
  <c r="H648" i="15" s="1"/>
  <c r="P648" i="15"/>
  <c r="J649" i="15"/>
  <c r="H649" i="15" s="1"/>
  <c r="P649" i="15"/>
  <c r="J650" i="15"/>
  <c r="H650" i="15" s="1"/>
  <c r="P650" i="15"/>
  <c r="J651" i="15"/>
  <c r="H651" i="15" s="1"/>
  <c r="P651" i="15"/>
  <c r="J652" i="15"/>
  <c r="H652" i="15" s="1"/>
  <c r="P652" i="15"/>
  <c r="J653" i="15"/>
  <c r="H653" i="15" s="1"/>
  <c r="P653" i="15"/>
  <c r="J654" i="15"/>
  <c r="H654" i="15" s="1"/>
  <c r="P654" i="15"/>
  <c r="J655" i="15"/>
  <c r="H655" i="15" s="1"/>
  <c r="P655" i="15"/>
  <c r="J656" i="15"/>
  <c r="H656" i="15" s="1"/>
  <c r="P656" i="15"/>
  <c r="J657" i="15"/>
  <c r="P657" i="15"/>
  <c r="J658" i="15"/>
  <c r="H658" i="15" s="1"/>
  <c r="P658" i="15"/>
  <c r="J659" i="15"/>
  <c r="P659" i="15"/>
  <c r="J660" i="15"/>
  <c r="P660" i="15"/>
  <c r="J661" i="15"/>
  <c r="P661" i="15"/>
  <c r="J662" i="15"/>
  <c r="H662" i="15" s="1"/>
  <c r="P662" i="15"/>
  <c r="P663" i="15"/>
  <c r="P664" i="15"/>
  <c r="J665" i="15"/>
  <c r="H665" i="15" s="1"/>
  <c r="P665" i="15"/>
  <c r="J666" i="15"/>
  <c r="H666" i="15" s="1"/>
  <c r="P666" i="15"/>
  <c r="J667" i="15"/>
  <c r="H667" i="15" s="1"/>
  <c r="P667" i="15"/>
  <c r="J672" i="15"/>
  <c r="H672" i="15" s="1"/>
  <c r="P672" i="15"/>
  <c r="J673" i="15"/>
  <c r="P673" i="15"/>
  <c r="J674" i="15"/>
  <c r="H674" i="15" s="1"/>
  <c r="P674" i="15"/>
  <c r="P675" i="15"/>
  <c r="P676" i="15"/>
  <c r="J677" i="15"/>
  <c r="H677" i="15" s="1"/>
  <c r="P677" i="15"/>
  <c r="J678" i="15"/>
  <c r="H678" i="15" s="1"/>
  <c r="P678" i="15"/>
  <c r="J679" i="15"/>
  <c r="H679" i="15" s="1"/>
  <c r="P679" i="15"/>
  <c r="J684" i="15"/>
  <c r="H684" i="15" s="1"/>
  <c r="P684" i="15"/>
  <c r="J685" i="15"/>
  <c r="P685" i="15"/>
  <c r="J686" i="15"/>
  <c r="H686" i="15" s="1"/>
  <c r="P686" i="15"/>
  <c r="P687" i="15"/>
  <c r="P688" i="15"/>
  <c r="J689" i="15"/>
  <c r="H689" i="15" s="1"/>
  <c r="P689" i="15"/>
  <c r="J690" i="15"/>
  <c r="H690" i="15" s="1"/>
  <c r="P690" i="15"/>
  <c r="J696" i="15"/>
  <c r="H696" i="15" s="1"/>
  <c r="P696" i="15"/>
  <c r="J697" i="15"/>
  <c r="P697" i="15"/>
  <c r="P698" i="15"/>
  <c r="P699" i="15"/>
  <c r="J700" i="15"/>
  <c r="H700" i="15" s="1"/>
  <c r="P700" i="15"/>
  <c r="J701" i="15"/>
  <c r="H701" i="15" s="1"/>
  <c r="P701" i="15"/>
  <c r="J702" i="15"/>
  <c r="H702" i="15" s="1"/>
  <c r="P702" i="15"/>
  <c r="J703" i="15"/>
  <c r="H703" i="15" s="1"/>
  <c r="P703" i="15"/>
  <c r="J709" i="15"/>
  <c r="H709" i="15" s="1"/>
  <c r="P709" i="15"/>
  <c r="J710" i="15"/>
  <c r="P710" i="15"/>
  <c r="J711" i="15"/>
  <c r="H711" i="15" s="1"/>
  <c r="P711" i="15"/>
  <c r="P712" i="15"/>
  <c r="J713" i="15"/>
  <c r="H713" i="15" s="1"/>
  <c r="P713" i="15"/>
  <c r="J714" i="15"/>
  <c r="H714" i="15" s="1"/>
  <c r="P714" i="15"/>
  <c r="J715" i="15"/>
  <c r="H715" i="15" s="1"/>
  <c r="P715" i="15"/>
  <c r="J716" i="15"/>
  <c r="H716" i="15" s="1"/>
  <c r="P716" i="15"/>
  <c r="J724" i="15"/>
  <c r="H724" i="15" s="1"/>
  <c r="P724" i="15"/>
  <c r="J725" i="15"/>
  <c r="P725" i="15"/>
  <c r="J726" i="15"/>
  <c r="H726" i="15" s="1"/>
  <c r="P726" i="15"/>
  <c r="P727" i="15"/>
  <c r="J728" i="15"/>
  <c r="H728" i="15" s="1"/>
  <c r="P728" i="15"/>
  <c r="J729" i="15"/>
  <c r="H729" i="15" s="1"/>
  <c r="P729" i="15"/>
  <c r="J730" i="15"/>
  <c r="H730" i="15" s="1"/>
  <c r="P730" i="15"/>
  <c r="J737" i="15"/>
  <c r="H737" i="15" s="1"/>
  <c r="P737" i="15"/>
  <c r="J738" i="15"/>
  <c r="P738" i="15"/>
  <c r="J739" i="15"/>
  <c r="H739" i="15" s="1"/>
  <c r="P739" i="15"/>
  <c r="P740" i="15"/>
  <c r="J741" i="15"/>
  <c r="H741" i="15" s="1"/>
  <c r="P741" i="15"/>
  <c r="J742" i="15"/>
  <c r="H742" i="15" s="1"/>
  <c r="P742" i="15"/>
  <c r="J743" i="15"/>
  <c r="H743" i="15" s="1"/>
  <c r="P743" i="15"/>
  <c r="J744" i="15"/>
  <c r="H744" i="15" s="1"/>
  <c r="P744" i="15"/>
  <c r="J749" i="15"/>
  <c r="H749" i="15" s="1"/>
  <c r="P749" i="15"/>
  <c r="J750" i="15"/>
  <c r="P750" i="15"/>
  <c r="J751" i="15"/>
  <c r="H751" i="15" s="1"/>
  <c r="P751" i="15"/>
  <c r="P752" i="15"/>
  <c r="J753" i="15"/>
  <c r="H753" i="15" s="1"/>
  <c r="P753" i="15"/>
  <c r="J754" i="15"/>
  <c r="H754" i="15" s="1"/>
  <c r="P754" i="15"/>
  <c r="P755" i="15"/>
  <c r="P756" i="15"/>
  <c r="P757" i="15"/>
  <c r="P758" i="15"/>
  <c r="P759" i="15"/>
  <c r="P760" i="15"/>
  <c r="P761" i="15"/>
  <c r="J763" i="15"/>
  <c r="H763" i="15" s="1"/>
  <c r="P763" i="15"/>
  <c r="J764" i="15"/>
  <c r="H764" i="15" s="1"/>
  <c r="P764" i="15"/>
  <c r="J765" i="15"/>
  <c r="P765" i="15"/>
  <c r="P766" i="15"/>
  <c r="J767" i="15"/>
  <c r="H767" i="15" s="1"/>
  <c r="P767" i="15"/>
  <c r="J768" i="15"/>
  <c r="H768" i="15" s="1"/>
  <c r="P768" i="15"/>
  <c r="P769" i="15"/>
  <c r="P770" i="15"/>
  <c r="P771" i="15"/>
  <c r="P772" i="15"/>
  <c r="J776" i="15"/>
  <c r="H776" i="15" s="1"/>
  <c r="P776" i="15"/>
  <c r="P777" i="15"/>
  <c r="P778" i="15"/>
  <c r="P779" i="15"/>
  <c r="J780" i="15"/>
  <c r="P780" i="15"/>
  <c r="P781" i="15"/>
  <c r="J782" i="15"/>
  <c r="H782" i="15" s="1"/>
  <c r="P782" i="15"/>
  <c r="J783" i="15"/>
  <c r="H783" i="15" s="1"/>
  <c r="P783" i="15"/>
  <c r="P784" i="15"/>
  <c r="P785" i="15"/>
  <c r="P786" i="15"/>
  <c r="J791" i="15"/>
  <c r="H791" i="15" s="1"/>
  <c r="P791" i="15"/>
  <c r="P792" i="15"/>
  <c r="P793" i="15"/>
  <c r="P794" i="15"/>
  <c r="J795" i="15"/>
  <c r="P795" i="15"/>
  <c r="J796" i="15"/>
  <c r="H796" i="15" s="1"/>
  <c r="P796" i="15"/>
  <c r="J797" i="15"/>
  <c r="H797" i="15" s="1"/>
  <c r="P797" i="15"/>
  <c r="J800" i="15"/>
  <c r="P800" i="15"/>
  <c r="J801" i="15"/>
  <c r="H801" i="15" s="1"/>
  <c r="P801" i="15"/>
  <c r="J802" i="15"/>
  <c r="H802" i="15" s="1"/>
  <c r="P802" i="15"/>
  <c r="J803" i="15"/>
  <c r="H803" i="15" s="1"/>
  <c r="P803" i="15"/>
  <c r="J806" i="15"/>
  <c r="P806" i="15"/>
  <c r="J807" i="15"/>
  <c r="H807" i="15" s="1"/>
  <c r="P807" i="15"/>
  <c r="J808" i="15"/>
  <c r="H808" i="15" s="1"/>
  <c r="P808" i="15"/>
  <c r="J811" i="15"/>
  <c r="P811" i="15"/>
  <c r="J812" i="15"/>
  <c r="H812" i="15" s="1"/>
  <c r="P812" i="15"/>
  <c r="J813" i="15"/>
  <c r="H813" i="15" s="1"/>
  <c r="P813" i="15"/>
  <c r="J816" i="15"/>
  <c r="P816" i="15"/>
  <c r="J817" i="15"/>
  <c r="P817" i="15"/>
  <c r="J818" i="15"/>
  <c r="P818" i="15"/>
  <c r="J819" i="15"/>
  <c r="H819" i="15" s="1"/>
  <c r="P819" i="15"/>
  <c r="J820" i="15"/>
  <c r="H820" i="15" s="1"/>
  <c r="P820" i="15"/>
  <c r="J821" i="15"/>
  <c r="H821" i="15" s="1"/>
  <c r="P821" i="15"/>
  <c r="J822" i="15"/>
  <c r="H822" i="15" s="1"/>
  <c r="P822" i="15"/>
  <c r="J823" i="15"/>
  <c r="H823" i="15" s="1"/>
  <c r="P823" i="15"/>
  <c r="J824" i="15"/>
  <c r="H824" i="15" s="1"/>
  <c r="P824" i="15"/>
  <c r="J825" i="15"/>
  <c r="H825" i="15" s="1"/>
  <c r="P825" i="15"/>
  <c r="J826" i="15"/>
  <c r="P826" i="15"/>
  <c r="P827" i="15"/>
  <c r="P828" i="15"/>
  <c r="J829" i="15"/>
  <c r="P829" i="15"/>
  <c r="J830" i="15"/>
  <c r="H830" i="15" s="1"/>
  <c r="P830" i="15"/>
  <c r="J831" i="15"/>
  <c r="H831" i="15" s="1"/>
  <c r="P831" i="15"/>
  <c r="J832" i="15"/>
  <c r="H832" i="15" s="1"/>
  <c r="P832" i="15"/>
  <c r="P833" i="15"/>
  <c r="J834" i="15"/>
  <c r="P834" i="15"/>
  <c r="P835" i="15"/>
  <c r="P836" i="15"/>
  <c r="P837" i="15"/>
  <c r="P838" i="15"/>
  <c r="P839" i="15"/>
  <c r="P840" i="15"/>
  <c r="P841" i="15"/>
  <c r="P842" i="15"/>
  <c r="P843" i="15"/>
  <c r="P844" i="15"/>
  <c r="J845" i="15"/>
  <c r="P845" i="15"/>
  <c r="J846" i="15"/>
  <c r="P846" i="15"/>
  <c r="J847" i="15"/>
  <c r="P847" i="15"/>
  <c r="J848" i="15"/>
  <c r="H848" i="15" s="1"/>
  <c r="P848" i="15"/>
  <c r="P849" i="15"/>
  <c r="J850" i="15"/>
  <c r="H850" i="15" s="1"/>
  <c r="P850" i="15"/>
  <c r="P853" i="15"/>
  <c r="J854" i="15"/>
  <c r="P854" i="15"/>
  <c r="P855" i="15"/>
  <c r="P856" i="15"/>
  <c r="J857" i="15"/>
  <c r="P857" i="15"/>
  <c r="J858" i="15"/>
  <c r="H858" i="15" s="1"/>
  <c r="P858" i="15"/>
  <c r="J859" i="15"/>
  <c r="H859" i="15" s="1"/>
  <c r="P859" i="15"/>
  <c r="J860" i="15"/>
  <c r="H860" i="15" s="1"/>
  <c r="P860" i="15"/>
  <c r="P861" i="15"/>
  <c r="J862" i="15"/>
  <c r="H862" i="15" s="1"/>
  <c r="I862" i="15" s="1"/>
  <c r="P862" i="15"/>
  <c r="J863" i="15"/>
  <c r="H863" i="15" s="1"/>
  <c r="P863" i="15"/>
  <c r="J864" i="15"/>
  <c r="P864" i="15"/>
  <c r="J865" i="15"/>
  <c r="P865" i="15"/>
  <c r="J866" i="15"/>
  <c r="P866" i="15"/>
  <c r="J867" i="15"/>
  <c r="P867" i="15"/>
  <c r="P868" i="15"/>
  <c r="J872" i="15"/>
  <c r="P872" i="15"/>
  <c r="P873" i="15"/>
  <c r="P874" i="15"/>
  <c r="J875" i="15"/>
  <c r="P875" i="15"/>
  <c r="P876" i="15"/>
  <c r="P877" i="15"/>
  <c r="P878" i="15"/>
  <c r="P879" i="15"/>
  <c r="P880" i="15"/>
  <c r="P881" i="15"/>
  <c r="P882" i="15"/>
  <c r="P883" i="15"/>
  <c r="P886" i="15"/>
  <c r="P887" i="15"/>
  <c r="P888" i="15"/>
  <c r="J889" i="15"/>
  <c r="P889" i="15"/>
  <c r="J890" i="15"/>
  <c r="H890" i="15" s="1"/>
  <c r="P890" i="15"/>
  <c r="J891" i="15"/>
  <c r="H891" i="15" s="1"/>
  <c r="P891" i="15"/>
  <c r="J892" i="15"/>
  <c r="H892" i="15" s="1"/>
  <c r="P892" i="15"/>
  <c r="J893" i="15"/>
  <c r="H893" i="15" s="1"/>
  <c r="P893" i="15"/>
  <c r="J894" i="15"/>
  <c r="P894" i="15"/>
  <c r="P895" i="15"/>
  <c r="J896" i="15"/>
  <c r="H896" i="15" s="1"/>
  <c r="P896" i="15"/>
  <c r="J897" i="15"/>
  <c r="H897" i="15" s="1"/>
  <c r="P897" i="15"/>
  <c r="P898" i="15"/>
  <c r="J899" i="15"/>
  <c r="H899" i="15" s="1"/>
  <c r="P899" i="15"/>
  <c r="J900" i="15"/>
  <c r="H900" i="15" s="1"/>
  <c r="P900" i="15"/>
  <c r="P901" i="15"/>
  <c r="P902" i="15"/>
  <c r="P903" i="15"/>
  <c r="P904" i="15"/>
  <c r="J905" i="15"/>
  <c r="P905" i="15"/>
  <c r="J906" i="15"/>
  <c r="P906" i="15"/>
  <c r="J907" i="15"/>
  <c r="H907" i="15" s="1"/>
  <c r="P907" i="15"/>
  <c r="J908" i="15"/>
  <c r="H908" i="15" s="1"/>
  <c r="P908" i="15"/>
  <c r="J909" i="15"/>
  <c r="H909" i="15" s="1"/>
  <c r="P909" i="15"/>
  <c r="J910" i="15"/>
  <c r="P910" i="15"/>
  <c r="J911" i="15"/>
  <c r="H911" i="15" s="1"/>
  <c r="P911" i="15"/>
  <c r="J915" i="15"/>
  <c r="H915" i="15" s="1"/>
  <c r="P915" i="15"/>
  <c r="J916" i="15"/>
  <c r="H916" i="15" s="1"/>
  <c r="P916" i="15"/>
  <c r="J917" i="15"/>
  <c r="P917" i="15"/>
  <c r="J918" i="15"/>
  <c r="P918" i="15"/>
  <c r="P919" i="15"/>
  <c r="P920" i="15"/>
  <c r="P921" i="15"/>
  <c r="J922" i="15"/>
  <c r="P922" i="15"/>
  <c r="J923" i="15"/>
  <c r="P923" i="15"/>
  <c r="P924" i="15"/>
  <c r="P925" i="15"/>
  <c r="J926" i="15"/>
  <c r="P926" i="15"/>
  <c r="J927" i="15"/>
  <c r="P927" i="15"/>
  <c r="J928" i="15"/>
  <c r="P928" i="15"/>
  <c r="J929" i="15"/>
  <c r="H929" i="15" s="1"/>
  <c r="P929" i="15"/>
  <c r="J930" i="15"/>
  <c r="P930" i="15"/>
  <c r="P931" i="15"/>
  <c r="P932" i="15"/>
  <c r="P933" i="15"/>
  <c r="J934" i="15"/>
  <c r="P934" i="15"/>
  <c r="J935" i="15"/>
  <c r="H935" i="15" s="1"/>
  <c r="I935" i="15" s="1"/>
  <c r="P935" i="15"/>
  <c r="J936" i="15"/>
  <c r="H936" i="15" s="1"/>
  <c r="I936" i="15" s="1"/>
  <c r="P936" i="15"/>
  <c r="J937" i="15"/>
  <c r="H937" i="15" s="1"/>
  <c r="P937" i="15"/>
  <c r="P938" i="15"/>
  <c r="P939" i="15"/>
  <c r="P940" i="15"/>
  <c r="P941" i="15"/>
  <c r="P942" i="15"/>
  <c r="P943" i="15"/>
  <c r="P944" i="15"/>
  <c r="J945" i="15"/>
  <c r="P945" i="15"/>
  <c r="J946" i="15"/>
  <c r="P946" i="15"/>
  <c r="P947" i="15"/>
  <c r="P948" i="15"/>
  <c r="C938" i="15"/>
  <c r="H910" i="15"/>
  <c r="F859" i="15"/>
  <c r="AK859" i="15" s="1"/>
  <c r="F858" i="15"/>
  <c r="AK858" i="15" s="1"/>
  <c r="C833" i="15"/>
  <c r="F462" i="15"/>
  <c r="AK462" i="15" s="1"/>
  <c r="F458" i="15"/>
  <c r="AK458" i="15" s="1"/>
  <c r="F457" i="15"/>
  <c r="AK457" i="15" s="1"/>
  <c r="F456" i="15"/>
  <c r="AK456" i="15" s="1"/>
  <c r="H246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5" i="15"/>
  <c r="R186" i="15"/>
  <c r="R187" i="15"/>
  <c r="R188" i="15"/>
  <c r="R189" i="15"/>
  <c r="R190" i="15"/>
  <c r="R191" i="15"/>
  <c r="R192" i="15"/>
  <c r="R193" i="15"/>
  <c r="R345" i="15"/>
  <c r="R346" i="15"/>
  <c r="R347" i="15"/>
  <c r="R348" i="15"/>
  <c r="R349" i="15"/>
  <c r="R350" i="15"/>
  <c r="R351" i="15"/>
  <c r="R352" i="15"/>
  <c r="R353" i="15"/>
  <c r="R354" i="15"/>
  <c r="R355" i="15"/>
  <c r="R356" i="15"/>
  <c r="R357" i="15"/>
  <c r="R358" i="15"/>
  <c r="R359" i="15"/>
  <c r="R360" i="15"/>
  <c r="R361" i="15"/>
  <c r="R362" i="15"/>
  <c r="R363" i="15"/>
  <c r="R364" i="15"/>
  <c r="R365" i="15"/>
  <c r="R366" i="15"/>
  <c r="R367" i="15"/>
  <c r="R368" i="15"/>
  <c r="R369" i="15"/>
  <c r="R370" i="15"/>
  <c r="R371" i="15"/>
  <c r="R372" i="15"/>
  <c r="R373" i="15"/>
  <c r="R374" i="15"/>
  <c r="R375" i="15"/>
  <c r="R376" i="15"/>
  <c r="R377" i="15"/>
  <c r="R378" i="15"/>
  <c r="R379" i="15"/>
  <c r="R380" i="15"/>
  <c r="R381" i="15"/>
  <c r="R382" i="15"/>
  <c r="R383" i="15"/>
  <c r="R384" i="15"/>
  <c r="R385" i="15"/>
  <c r="R386" i="15"/>
  <c r="R387" i="15"/>
  <c r="R388" i="15"/>
  <c r="R389" i="15"/>
  <c r="R390" i="15"/>
  <c r="R391" i="15"/>
  <c r="R392" i="15"/>
  <c r="R393" i="15"/>
  <c r="R394" i="15"/>
  <c r="R395" i="15"/>
  <c r="R396" i="15"/>
  <c r="R397" i="15"/>
  <c r="R398" i="15"/>
  <c r="R399" i="15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18" i="15"/>
  <c r="R419" i="15"/>
  <c r="R420" i="15"/>
  <c r="R421" i="15"/>
  <c r="R422" i="15"/>
  <c r="R423" i="15"/>
  <c r="R424" i="15"/>
  <c r="R425" i="15"/>
  <c r="R426" i="15"/>
  <c r="R427" i="15"/>
  <c r="R428" i="15"/>
  <c r="R429" i="15"/>
  <c r="R430" i="15"/>
  <c r="R431" i="15"/>
  <c r="R432" i="15"/>
  <c r="R433" i="15"/>
  <c r="R438" i="15"/>
  <c r="R439" i="15"/>
  <c r="R440" i="15"/>
  <c r="R441" i="15"/>
  <c r="R442" i="15"/>
  <c r="R443" i="15"/>
  <c r="R445" i="15"/>
  <c r="R446" i="15"/>
  <c r="R447" i="15"/>
  <c r="R448" i="15"/>
  <c r="R449" i="15"/>
  <c r="R450" i="15"/>
  <c r="R451" i="15"/>
  <c r="R452" i="15"/>
  <c r="R453" i="15"/>
  <c r="R454" i="15"/>
  <c r="R455" i="15"/>
  <c r="R459" i="15"/>
  <c r="R460" i="15"/>
  <c r="R461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R480" i="15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R493" i="15"/>
  <c r="R494" i="15"/>
  <c r="R495" i="15"/>
  <c r="R496" i="15"/>
  <c r="R497" i="15"/>
  <c r="R498" i="15"/>
  <c r="R499" i="15"/>
  <c r="R500" i="15"/>
  <c r="R501" i="15"/>
  <c r="R502" i="15"/>
  <c r="R503" i="15"/>
  <c r="R504" i="15"/>
  <c r="R505" i="15"/>
  <c r="R506" i="15"/>
  <c r="R507" i="15"/>
  <c r="R508" i="15"/>
  <c r="R509" i="15"/>
  <c r="R510" i="15"/>
  <c r="R511" i="15"/>
  <c r="R512" i="15"/>
  <c r="R513" i="15"/>
  <c r="R514" i="15"/>
  <c r="R515" i="15"/>
  <c r="R516" i="15"/>
  <c r="R517" i="15"/>
  <c r="R518" i="15"/>
  <c r="R519" i="15"/>
  <c r="R520" i="15"/>
  <c r="R521" i="15"/>
  <c r="R522" i="15"/>
  <c r="R523" i="15"/>
  <c r="R524" i="15"/>
  <c r="R52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R538" i="15"/>
  <c r="R539" i="15"/>
  <c r="R540" i="15"/>
  <c r="R541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R570" i="15"/>
  <c r="R571" i="15"/>
  <c r="R572" i="15"/>
  <c r="R573" i="15"/>
  <c r="R574" i="15"/>
  <c r="R575" i="15"/>
  <c r="R576" i="15"/>
  <c r="R577" i="15"/>
  <c r="R578" i="15"/>
  <c r="R579" i="15"/>
  <c r="R580" i="15"/>
  <c r="R581" i="15"/>
  <c r="R582" i="15"/>
  <c r="R583" i="15"/>
  <c r="R584" i="15"/>
  <c r="R585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612" i="15"/>
  <c r="R613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R629" i="15"/>
  <c r="R630" i="15"/>
  <c r="R631" i="15"/>
  <c r="R632" i="15"/>
  <c r="R633" i="15"/>
  <c r="R634" i="15"/>
  <c r="R635" i="15"/>
  <c r="R636" i="15"/>
  <c r="R637" i="15"/>
  <c r="R638" i="15"/>
  <c r="R639" i="15"/>
  <c r="R640" i="15"/>
  <c r="R641" i="15"/>
  <c r="R642" i="15"/>
  <c r="R643" i="15"/>
  <c r="R644" i="15"/>
  <c r="R645" i="15"/>
  <c r="R646" i="15"/>
  <c r="R647" i="15"/>
  <c r="R648" i="15"/>
  <c r="R649" i="15"/>
  <c r="R650" i="15"/>
  <c r="R651" i="15"/>
  <c r="R652" i="15"/>
  <c r="R653" i="15"/>
  <c r="R654" i="15"/>
  <c r="R655" i="15"/>
  <c r="R656" i="15"/>
  <c r="R657" i="15"/>
  <c r="R658" i="15"/>
  <c r="R659" i="15"/>
  <c r="R661" i="15"/>
  <c r="R816" i="15"/>
  <c r="R817" i="15"/>
  <c r="R818" i="15"/>
  <c r="R819" i="15"/>
  <c r="R820" i="15"/>
  <c r="R821" i="15"/>
  <c r="R822" i="15"/>
  <c r="R823" i="15"/>
  <c r="R824" i="15"/>
  <c r="R825" i="15"/>
  <c r="R826" i="15"/>
  <c r="R827" i="15"/>
  <c r="R828" i="15"/>
  <c r="R829" i="15"/>
  <c r="R830" i="15"/>
  <c r="R831" i="15"/>
  <c r="R832" i="15"/>
  <c r="R833" i="15"/>
  <c r="R834" i="15"/>
  <c r="R835" i="15"/>
  <c r="R836" i="15"/>
  <c r="R837" i="15"/>
  <c r="R838" i="15"/>
  <c r="R839" i="15"/>
  <c r="R840" i="15"/>
  <c r="R841" i="15"/>
  <c r="R842" i="15"/>
  <c r="R843" i="15"/>
  <c r="R844" i="15"/>
  <c r="R845" i="15"/>
  <c r="R846" i="15"/>
  <c r="R847" i="15"/>
  <c r="R848" i="15"/>
  <c r="R849" i="15"/>
  <c r="R850" i="15"/>
  <c r="R853" i="15"/>
  <c r="R854" i="15"/>
  <c r="R855" i="15"/>
  <c r="R856" i="15"/>
  <c r="R857" i="15"/>
  <c r="R860" i="15"/>
  <c r="R861" i="15"/>
  <c r="R862" i="15"/>
  <c r="R863" i="15"/>
  <c r="R864" i="15"/>
  <c r="R865" i="15"/>
  <c r="R866" i="15"/>
  <c r="R867" i="15"/>
  <c r="R868" i="15"/>
  <c r="R872" i="15"/>
  <c r="R873" i="15"/>
  <c r="R874" i="15"/>
  <c r="R875" i="15"/>
  <c r="R876" i="15"/>
  <c r="R877" i="15"/>
  <c r="R878" i="15"/>
  <c r="R879" i="15"/>
  <c r="R880" i="15"/>
  <c r="R881" i="15"/>
  <c r="R882" i="15"/>
  <c r="R883" i="15"/>
  <c r="R886" i="15"/>
  <c r="R887" i="15"/>
  <c r="R888" i="15"/>
  <c r="R889" i="15"/>
  <c r="R890" i="15"/>
  <c r="R891" i="15"/>
  <c r="R89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5" i="15"/>
  <c r="R916" i="15"/>
  <c r="R917" i="15"/>
  <c r="R918" i="15"/>
  <c r="R919" i="15"/>
  <c r="R920" i="15"/>
  <c r="R921" i="15"/>
  <c r="R922" i="15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R936" i="15"/>
  <c r="R937" i="15"/>
  <c r="R938" i="15"/>
  <c r="R939" i="15"/>
  <c r="R940" i="15"/>
  <c r="R941" i="15"/>
  <c r="R942" i="15"/>
  <c r="R943" i="15"/>
  <c r="R944" i="15"/>
  <c r="R945" i="15"/>
  <c r="R946" i="15"/>
  <c r="R947" i="15"/>
  <c r="R15" i="15"/>
  <c r="AK846" i="15" l="1"/>
  <c r="AK425" i="15"/>
  <c r="O456" i="15"/>
  <c r="O462" i="15"/>
  <c r="O859" i="15"/>
  <c r="O858" i="15"/>
  <c r="O458" i="15"/>
  <c r="O457" i="15"/>
  <c r="I907" i="15"/>
  <c r="O907" i="15"/>
  <c r="I830" i="15"/>
  <c r="O830" i="15"/>
  <c r="I776" i="15"/>
  <c r="O776" i="15"/>
  <c r="I711" i="15"/>
  <c r="O711" i="15"/>
  <c r="I666" i="15"/>
  <c r="O666" i="15"/>
  <c r="I601" i="15"/>
  <c r="O601" i="15"/>
  <c r="I349" i="15"/>
  <c r="O349" i="15"/>
  <c r="I213" i="15"/>
  <c r="O213" i="15"/>
  <c r="I165" i="15"/>
  <c r="O165" i="15"/>
  <c r="I722" i="15"/>
  <c r="O722" i="15"/>
  <c r="I751" i="15"/>
  <c r="O751" i="15"/>
  <c r="I724" i="15"/>
  <c r="O724" i="15"/>
  <c r="I607" i="15"/>
  <c r="O607" i="15"/>
  <c r="I555" i="15"/>
  <c r="O555" i="15"/>
  <c r="I416" i="15"/>
  <c r="O416" i="15"/>
  <c r="I394" i="15"/>
  <c r="O394" i="15"/>
  <c r="I260" i="15"/>
  <c r="O260" i="15"/>
  <c r="I929" i="15"/>
  <c r="O929" i="15"/>
  <c r="I897" i="15"/>
  <c r="O897" i="15"/>
  <c r="I860" i="15"/>
  <c r="O860" i="15"/>
  <c r="I848" i="15"/>
  <c r="O848" i="15"/>
  <c r="I763" i="15"/>
  <c r="O763" i="15"/>
  <c r="I742" i="15"/>
  <c r="O742" i="15"/>
  <c r="I716" i="15"/>
  <c r="O716" i="15"/>
  <c r="I616" i="15"/>
  <c r="O616" i="15"/>
  <c r="I612" i="15"/>
  <c r="O612" i="15"/>
  <c r="I554" i="15"/>
  <c r="O554" i="15"/>
  <c r="I501" i="15"/>
  <c r="O501" i="15"/>
  <c r="I497" i="15"/>
  <c r="O497" i="15"/>
  <c r="I477" i="15"/>
  <c r="O477" i="15"/>
  <c r="I460" i="15"/>
  <c r="O460" i="15"/>
  <c r="I419" i="15"/>
  <c r="O419" i="15"/>
  <c r="I415" i="15"/>
  <c r="O415" i="15"/>
  <c r="I397" i="15"/>
  <c r="O397" i="15"/>
  <c r="I393" i="15"/>
  <c r="O393" i="15"/>
  <c r="I389" i="15"/>
  <c r="O389" i="15"/>
  <c r="I380" i="15"/>
  <c r="O380" i="15"/>
  <c r="I367" i="15"/>
  <c r="O367" i="15"/>
  <c r="I317" i="15"/>
  <c r="O317" i="15"/>
  <c r="I313" i="15"/>
  <c r="O313" i="15"/>
  <c r="I308" i="15"/>
  <c r="O308" i="15"/>
  <c r="I304" i="15"/>
  <c r="O304" i="15"/>
  <c r="I300" i="15"/>
  <c r="O300" i="15"/>
  <c r="I296" i="15"/>
  <c r="O296" i="15"/>
  <c r="I281" i="15"/>
  <c r="O281" i="15"/>
  <c r="I277" i="15"/>
  <c r="O277" i="15"/>
  <c r="I273" i="15"/>
  <c r="O273" i="15"/>
  <c r="I263" i="15"/>
  <c r="O263" i="15"/>
  <c r="I255" i="15"/>
  <c r="O255" i="15"/>
  <c r="I251" i="15"/>
  <c r="O251" i="15"/>
  <c r="I244" i="15"/>
  <c r="O244" i="15"/>
  <c r="I239" i="15"/>
  <c r="O239" i="15"/>
  <c r="I204" i="15"/>
  <c r="O204" i="15"/>
  <c r="I200" i="15"/>
  <c r="O200" i="15"/>
  <c r="I171" i="15"/>
  <c r="O171" i="15"/>
  <c r="I156" i="15"/>
  <c r="O156" i="15"/>
  <c r="I125" i="15"/>
  <c r="O125" i="15"/>
  <c r="I109" i="15"/>
  <c r="O109" i="15"/>
  <c r="I99" i="15"/>
  <c r="O99" i="15"/>
  <c r="I95" i="15"/>
  <c r="O95" i="15"/>
  <c r="I90" i="15"/>
  <c r="O90" i="15"/>
  <c r="I86" i="15"/>
  <c r="O86" i="15"/>
  <c r="I58" i="15"/>
  <c r="O58" i="15"/>
  <c r="I49" i="15"/>
  <c r="O49" i="15"/>
  <c r="I45" i="15"/>
  <c r="O45" i="15"/>
  <c r="I788" i="15"/>
  <c r="O788" i="15"/>
  <c r="I810" i="15"/>
  <c r="O810" i="15"/>
  <c r="I805" i="15"/>
  <c r="O805" i="15"/>
  <c r="I911" i="15"/>
  <c r="O911" i="15"/>
  <c r="I821" i="15"/>
  <c r="O821" i="15"/>
  <c r="I737" i="15"/>
  <c r="O737" i="15"/>
  <c r="I641" i="15"/>
  <c r="O641" i="15"/>
  <c r="I464" i="15"/>
  <c r="O464" i="15"/>
  <c r="I372" i="15"/>
  <c r="O372" i="15"/>
  <c r="I223" i="15"/>
  <c r="O223" i="15"/>
  <c r="I718" i="15"/>
  <c r="O718" i="15"/>
  <c r="I896" i="15"/>
  <c r="O896" i="15"/>
  <c r="I791" i="15"/>
  <c r="O791" i="15"/>
  <c r="I726" i="15"/>
  <c r="O726" i="15"/>
  <c r="I615" i="15"/>
  <c r="O615" i="15"/>
  <c r="I557" i="15"/>
  <c r="O557" i="15"/>
  <c r="I553" i="15"/>
  <c r="O553" i="15"/>
  <c r="I500" i="15"/>
  <c r="O500" i="15"/>
  <c r="I496" i="15"/>
  <c r="O496" i="15"/>
  <c r="I476" i="15"/>
  <c r="O476" i="15"/>
  <c r="I459" i="15"/>
  <c r="O459" i="15"/>
  <c r="I455" i="15"/>
  <c r="O455" i="15"/>
  <c r="I418" i="15"/>
  <c r="O418" i="15"/>
  <c r="I414" i="15"/>
  <c r="O414" i="15"/>
  <c r="I396" i="15"/>
  <c r="O396" i="15"/>
  <c r="I392" i="15"/>
  <c r="O392" i="15"/>
  <c r="I388" i="15"/>
  <c r="O388" i="15"/>
  <c r="I361" i="15"/>
  <c r="O361" i="15"/>
  <c r="I316" i="15"/>
  <c r="O316" i="15"/>
  <c r="I312" i="15"/>
  <c r="O312" i="15"/>
  <c r="I307" i="15"/>
  <c r="O307" i="15"/>
  <c r="I303" i="15"/>
  <c r="O303" i="15"/>
  <c r="I299" i="15"/>
  <c r="O299" i="15"/>
  <c r="I295" i="15"/>
  <c r="O295" i="15"/>
  <c r="I290" i="15"/>
  <c r="O290" i="15"/>
  <c r="I284" i="15"/>
  <c r="O284" i="15"/>
  <c r="I280" i="15"/>
  <c r="O280" i="15"/>
  <c r="I276" i="15"/>
  <c r="O276" i="15"/>
  <c r="I262" i="15"/>
  <c r="O262" i="15"/>
  <c r="I258" i="15"/>
  <c r="O258" i="15"/>
  <c r="I254" i="15"/>
  <c r="O254" i="15"/>
  <c r="I243" i="15"/>
  <c r="O243" i="15"/>
  <c r="I238" i="15"/>
  <c r="O238" i="15"/>
  <c r="I207" i="15"/>
  <c r="O207" i="15"/>
  <c r="I203" i="15"/>
  <c r="O203" i="15"/>
  <c r="I170" i="15"/>
  <c r="O170" i="15"/>
  <c r="I128" i="15"/>
  <c r="O128" i="15"/>
  <c r="I124" i="15"/>
  <c r="O124" i="15"/>
  <c r="I118" i="15"/>
  <c r="O118" i="15"/>
  <c r="I108" i="15"/>
  <c r="O108" i="15"/>
  <c r="I98" i="15"/>
  <c r="O98" i="15"/>
  <c r="I94" i="15"/>
  <c r="O94" i="15"/>
  <c r="I89" i="15"/>
  <c r="O89" i="15"/>
  <c r="I85" i="15"/>
  <c r="O85" i="15"/>
  <c r="I57" i="15"/>
  <c r="O57" i="15"/>
  <c r="I48" i="15"/>
  <c r="O48" i="15"/>
  <c r="I44" i="15"/>
  <c r="O44" i="15"/>
  <c r="I38" i="15"/>
  <c r="O38" i="15"/>
  <c r="I594" i="15"/>
  <c r="O594" i="15"/>
  <c r="I789" i="15"/>
  <c r="O789" i="15"/>
  <c r="I814" i="15"/>
  <c r="O814" i="15"/>
  <c r="I798" i="15"/>
  <c r="O798" i="15"/>
  <c r="I733" i="15"/>
  <c r="O733" i="15"/>
  <c r="I521" i="15"/>
  <c r="O521" i="15"/>
  <c r="I246" i="15"/>
  <c r="O246" i="15"/>
  <c r="I824" i="15"/>
  <c r="O824" i="15"/>
  <c r="I796" i="15"/>
  <c r="O796" i="15"/>
  <c r="I753" i="15"/>
  <c r="O753" i="15"/>
  <c r="I730" i="15"/>
  <c r="O730" i="15"/>
  <c r="I701" i="15"/>
  <c r="O701" i="15"/>
  <c r="I696" i="15"/>
  <c r="O696" i="15"/>
  <c r="I686" i="15"/>
  <c r="O686" i="15"/>
  <c r="I678" i="15"/>
  <c r="O678" i="15"/>
  <c r="I665" i="15"/>
  <c r="O665" i="15"/>
  <c r="I656" i="15"/>
  <c r="O656" i="15"/>
  <c r="I652" i="15"/>
  <c r="O652" i="15"/>
  <c r="I648" i="15"/>
  <c r="O648" i="15"/>
  <c r="I644" i="15"/>
  <c r="O644" i="15"/>
  <c r="I640" i="15"/>
  <c r="O640" i="15"/>
  <c r="I636" i="15"/>
  <c r="O636" i="15"/>
  <c r="I623" i="15"/>
  <c r="O623" i="15"/>
  <c r="I600" i="15"/>
  <c r="O600" i="15"/>
  <c r="I543" i="15"/>
  <c r="O543" i="15"/>
  <c r="I534" i="15"/>
  <c r="O534" i="15"/>
  <c r="I530" i="15"/>
  <c r="O530" i="15"/>
  <c r="I526" i="15"/>
  <c r="O526" i="15"/>
  <c r="I463" i="15"/>
  <c r="O463" i="15"/>
  <c r="I450" i="15"/>
  <c r="O450" i="15"/>
  <c r="I438" i="15"/>
  <c r="O438" i="15"/>
  <c r="I422" i="15"/>
  <c r="O422" i="15"/>
  <c r="I365" i="15"/>
  <c r="O365" i="15"/>
  <c r="I344" i="15"/>
  <c r="O344" i="15"/>
  <c r="I237" i="15"/>
  <c r="O237" i="15"/>
  <c r="I226" i="15"/>
  <c r="O226" i="15"/>
  <c r="I222" i="15"/>
  <c r="O222" i="15"/>
  <c r="I70" i="15"/>
  <c r="O70" i="15"/>
  <c r="I66" i="15"/>
  <c r="O66" i="15"/>
  <c r="I52" i="15"/>
  <c r="O52" i="15"/>
  <c r="I247" i="15"/>
  <c r="O247" i="15"/>
  <c r="I668" i="15"/>
  <c r="O668" i="15"/>
  <c r="I680" i="15"/>
  <c r="O680" i="15"/>
  <c r="I691" i="15"/>
  <c r="O691" i="15"/>
  <c r="I695" i="15"/>
  <c r="O695" i="15"/>
  <c r="I707" i="15"/>
  <c r="O707" i="15"/>
  <c r="I719" i="15"/>
  <c r="O719" i="15"/>
  <c r="I723" i="15"/>
  <c r="O723" i="15"/>
  <c r="I734" i="15"/>
  <c r="O734" i="15"/>
  <c r="I746" i="15"/>
  <c r="O746" i="15"/>
  <c r="I773" i="15"/>
  <c r="O773" i="15"/>
  <c r="I874" i="15"/>
  <c r="O874" i="15"/>
  <c r="I825" i="15"/>
  <c r="O825" i="15"/>
  <c r="I767" i="15"/>
  <c r="O767" i="15"/>
  <c r="I679" i="15"/>
  <c r="O679" i="15"/>
  <c r="I527" i="15"/>
  <c r="O527" i="15"/>
  <c r="I341" i="15"/>
  <c r="O341" i="15"/>
  <c r="I227" i="15"/>
  <c r="O227" i="15"/>
  <c r="I71" i="15"/>
  <c r="O71" i="15"/>
  <c r="I706" i="15"/>
  <c r="O706" i="15"/>
  <c r="I749" i="15"/>
  <c r="O749" i="15"/>
  <c r="I619" i="15"/>
  <c r="O619" i="15"/>
  <c r="I910" i="15"/>
  <c r="O910" i="15"/>
  <c r="I900" i="15"/>
  <c r="O900" i="15"/>
  <c r="I863" i="15"/>
  <c r="O863" i="15"/>
  <c r="I820" i="15"/>
  <c r="O820" i="15"/>
  <c r="I802" i="15"/>
  <c r="O802" i="15"/>
  <c r="I744" i="15"/>
  <c r="O744" i="15"/>
  <c r="I714" i="15"/>
  <c r="O714" i="15"/>
  <c r="I618" i="15"/>
  <c r="O618" i="15"/>
  <c r="I614" i="15"/>
  <c r="O614" i="15"/>
  <c r="I586" i="15"/>
  <c r="O586" i="15"/>
  <c r="I581" i="15"/>
  <c r="O581" i="15"/>
  <c r="I556" i="15"/>
  <c r="O556" i="15"/>
  <c r="I552" i="15"/>
  <c r="O552" i="15"/>
  <c r="I508" i="15"/>
  <c r="O508" i="15"/>
  <c r="I503" i="15"/>
  <c r="O503" i="15"/>
  <c r="I499" i="15"/>
  <c r="O499" i="15"/>
  <c r="I479" i="15"/>
  <c r="O479" i="15"/>
  <c r="I417" i="15"/>
  <c r="O417" i="15"/>
  <c r="I413" i="15"/>
  <c r="O413" i="15"/>
  <c r="I395" i="15"/>
  <c r="O395" i="15"/>
  <c r="I391" i="15"/>
  <c r="O391" i="15"/>
  <c r="I387" i="15"/>
  <c r="O387" i="15"/>
  <c r="I319" i="15"/>
  <c r="O319" i="15"/>
  <c r="I315" i="15"/>
  <c r="O315" i="15"/>
  <c r="I311" i="15"/>
  <c r="O311" i="15"/>
  <c r="I306" i="15"/>
  <c r="O306" i="15"/>
  <c r="I302" i="15"/>
  <c r="O302" i="15"/>
  <c r="I298" i="15"/>
  <c r="O298" i="15"/>
  <c r="I294" i="15"/>
  <c r="O294" i="15"/>
  <c r="I283" i="15"/>
  <c r="O283" i="15"/>
  <c r="I279" i="15"/>
  <c r="O279" i="15"/>
  <c r="I275" i="15"/>
  <c r="O275" i="15"/>
  <c r="I261" i="15"/>
  <c r="O261" i="15"/>
  <c r="I257" i="15"/>
  <c r="O257" i="15"/>
  <c r="I253" i="15"/>
  <c r="O253" i="15"/>
  <c r="I211" i="15"/>
  <c r="O211" i="15"/>
  <c r="I206" i="15"/>
  <c r="O206" i="15"/>
  <c r="I202" i="15"/>
  <c r="O202" i="15"/>
  <c r="I180" i="15"/>
  <c r="O180" i="15"/>
  <c r="I169" i="15"/>
  <c r="O169" i="15"/>
  <c r="I127" i="15"/>
  <c r="O127" i="15"/>
  <c r="I123" i="15"/>
  <c r="O123" i="15"/>
  <c r="I117" i="15"/>
  <c r="O117" i="15"/>
  <c r="I111" i="15"/>
  <c r="O111" i="15"/>
  <c r="I107" i="15"/>
  <c r="O107" i="15"/>
  <c r="I101" i="15"/>
  <c r="O101" i="15"/>
  <c r="I97" i="15"/>
  <c r="O97" i="15"/>
  <c r="I93" i="15"/>
  <c r="O93" i="15"/>
  <c r="I88" i="15"/>
  <c r="O88" i="15"/>
  <c r="I84" i="15"/>
  <c r="O84" i="15"/>
  <c r="I56" i="15"/>
  <c r="O56" i="15"/>
  <c r="I47" i="15"/>
  <c r="O47" i="15"/>
  <c r="I37" i="15"/>
  <c r="O37" i="15"/>
  <c r="I790" i="15"/>
  <c r="O790" i="15"/>
  <c r="I815" i="15"/>
  <c r="O815" i="15"/>
  <c r="I799" i="15"/>
  <c r="O799" i="15"/>
  <c r="I892" i="15"/>
  <c r="O892" i="15"/>
  <c r="I782" i="15"/>
  <c r="O782" i="15"/>
  <c r="I674" i="15"/>
  <c r="O674" i="15"/>
  <c r="I637" i="15"/>
  <c r="O637" i="15"/>
  <c r="I535" i="15"/>
  <c r="O535" i="15"/>
  <c r="I451" i="15"/>
  <c r="O451" i="15"/>
  <c r="I267" i="15"/>
  <c r="O267" i="15"/>
  <c r="I219" i="15"/>
  <c r="O219" i="15"/>
  <c r="I671" i="15"/>
  <c r="O671" i="15"/>
  <c r="I774" i="15"/>
  <c r="O774" i="15"/>
  <c r="I741" i="15"/>
  <c r="O741" i="15"/>
  <c r="I715" i="15"/>
  <c r="O715" i="15"/>
  <c r="I937" i="15"/>
  <c r="O937" i="15"/>
  <c r="I891" i="15"/>
  <c r="O891" i="15"/>
  <c r="I808" i="15"/>
  <c r="O808" i="15"/>
  <c r="O936" i="15"/>
  <c r="I916" i="15"/>
  <c r="O916" i="15"/>
  <c r="I909" i="15"/>
  <c r="O909" i="15"/>
  <c r="I899" i="15"/>
  <c r="O899" i="15"/>
  <c r="I890" i="15"/>
  <c r="O890" i="15"/>
  <c r="O862" i="15"/>
  <c r="I850" i="15"/>
  <c r="O850" i="15"/>
  <c r="I832" i="15"/>
  <c r="O832" i="15"/>
  <c r="I823" i="15"/>
  <c r="O823" i="15"/>
  <c r="I819" i="15"/>
  <c r="O819" i="15"/>
  <c r="I813" i="15"/>
  <c r="O813" i="15"/>
  <c r="I807" i="15"/>
  <c r="O807" i="15"/>
  <c r="I801" i="15"/>
  <c r="O801" i="15"/>
  <c r="I739" i="15"/>
  <c r="O739" i="15"/>
  <c r="I729" i="15"/>
  <c r="O729" i="15"/>
  <c r="I709" i="15"/>
  <c r="O709" i="15"/>
  <c r="I700" i="15"/>
  <c r="O700" i="15"/>
  <c r="I690" i="15"/>
  <c r="O690" i="15"/>
  <c r="I677" i="15"/>
  <c r="O677" i="15"/>
  <c r="I672" i="15"/>
  <c r="O672" i="15"/>
  <c r="I655" i="15"/>
  <c r="O655" i="15"/>
  <c r="I651" i="15"/>
  <c r="O651" i="15"/>
  <c r="I643" i="15"/>
  <c r="O643" i="15"/>
  <c r="I639" i="15"/>
  <c r="O639" i="15"/>
  <c r="I622" i="15"/>
  <c r="O622" i="15"/>
  <c r="I590" i="15"/>
  <c r="O590" i="15"/>
  <c r="I560" i="15"/>
  <c r="O560" i="15"/>
  <c r="I537" i="15"/>
  <c r="O537" i="15"/>
  <c r="I533" i="15"/>
  <c r="O533" i="15"/>
  <c r="I529" i="15"/>
  <c r="O529" i="15"/>
  <c r="I466" i="15"/>
  <c r="O466" i="15"/>
  <c r="I453" i="15"/>
  <c r="O453" i="15"/>
  <c r="I449" i="15"/>
  <c r="O449" i="15"/>
  <c r="I364" i="15"/>
  <c r="O364" i="15"/>
  <c r="I343" i="15"/>
  <c r="O343" i="15"/>
  <c r="I269" i="15"/>
  <c r="O269" i="15"/>
  <c r="I241" i="15"/>
  <c r="O241" i="15"/>
  <c r="I225" i="15"/>
  <c r="O225" i="15"/>
  <c r="I221" i="15"/>
  <c r="O221" i="15"/>
  <c r="I216" i="15"/>
  <c r="O216" i="15"/>
  <c r="I164" i="15"/>
  <c r="I163" i="15" s="1"/>
  <c r="O164" i="15"/>
  <c r="I73" i="15"/>
  <c r="O73" i="15"/>
  <c r="I69" i="15"/>
  <c r="O69" i="15"/>
  <c r="I65" i="15"/>
  <c r="O65" i="15"/>
  <c r="I26" i="15"/>
  <c r="O26" i="15"/>
  <c r="I291" i="15"/>
  <c r="O291" i="15"/>
  <c r="I669" i="15"/>
  <c r="O669" i="15"/>
  <c r="I681" i="15"/>
  <c r="O681" i="15"/>
  <c r="I692" i="15"/>
  <c r="O692" i="15"/>
  <c r="I704" i="15"/>
  <c r="O704" i="15"/>
  <c r="I708" i="15"/>
  <c r="O708" i="15"/>
  <c r="I720" i="15"/>
  <c r="O720" i="15"/>
  <c r="I731" i="15"/>
  <c r="O731" i="15"/>
  <c r="I735" i="15"/>
  <c r="O735" i="15"/>
  <c r="I748" i="15"/>
  <c r="O748" i="15"/>
  <c r="I775" i="15"/>
  <c r="O775" i="15"/>
  <c r="I803" i="15"/>
  <c r="O803" i="15"/>
  <c r="I754" i="15"/>
  <c r="O754" i="15"/>
  <c r="I649" i="15"/>
  <c r="O649" i="15"/>
  <c r="I481" i="15"/>
  <c r="O481" i="15"/>
  <c r="I189" i="15"/>
  <c r="O189" i="15"/>
  <c r="I67" i="15"/>
  <c r="O67" i="15"/>
  <c r="I694" i="15"/>
  <c r="O694" i="15"/>
  <c r="I764" i="15"/>
  <c r="O764" i="15"/>
  <c r="I617" i="15"/>
  <c r="O617" i="15"/>
  <c r="I580" i="15"/>
  <c r="O580" i="15"/>
  <c r="I498" i="15"/>
  <c r="O498" i="15"/>
  <c r="I398" i="15"/>
  <c r="O398" i="15"/>
  <c r="I390" i="15"/>
  <c r="O390" i="15"/>
  <c r="I368" i="15"/>
  <c r="O368" i="15"/>
  <c r="I358" i="15"/>
  <c r="O358" i="15"/>
  <c r="I351" i="15"/>
  <c r="O351" i="15"/>
  <c r="I318" i="15"/>
  <c r="O318" i="15"/>
  <c r="I314" i="15"/>
  <c r="O314" i="15"/>
  <c r="I305" i="15"/>
  <c r="O305" i="15"/>
  <c r="I301" i="15"/>
  <c r="O301" i="15"/>
  <c r="I297" i="15"/>
  <c r="O297" i="15"/>
  <c r="I282" i="15"/>
  <c r="O282" i="15"/>
  <c r="I278" i="15"/>
  <c r="O278" i="15"/>
  <c r="I274" i="15"/>
  <c r="O274" i="15"/>
  <c r="I256" i="15"/>
  <c r="O256" i="15"/>
  <c r="I245" i="15"/>
  <c r="O245" i="15"/>
  <c r="I205" i="15"/>
  <c r="O205" i="15"/>
  <c r="I201" i="15"/>
  <c r="O201" i="15"/>
  <c r="I179" i="15"/>
  <c r="O179" i="15"/>
  <c r="I168" i="15"/>
  <c r="O168" i="15"/>
  <c r="I157" i="15"/>
  <c r="O157" i="15"/>
  <c r="I126" i="15"/>
  <c r="O126" i="15"/>
  <c r="I121" i="15"/>
  <c r="O121" i="15"/>
  <c r="I116" i="15"/>
  <c r="O116" i="15"/>
  <c r="I110" i="15"/>
  <c r="O110" i="15"/>
  <c r="I106" i="15"/>
  <c r="O106" i="15"/>
  <c r="I100" i="15"/>
  <c r="O100" i="15"/>
  <c r="I96" i="15"/>
  <c r="O96" i="15"/>
  <c r="I87" i="15"/>
  <c r="O87" i="15"/>
  <c r="I83" i="15"/>
  <c r="O83" i="15"/>
  <c r="I59" i="15"/>
  <c r="O59" i="15"/>
  <c r="I55" i="15"/>
  <c r="O55" i="15"/>
  <c r="I46" i="15"/>
  <c r="O46" i="15"/>
  <c r="I36" i="15"/>
  <c r="O36" i="15"/>
  <c r="O21" i="15"/>
  <c r="I809" i="15"/>
  <c r="O809" i="15"/>
  <c r="I804" i="15"/>
  <c r="O804" i="15"/>
  <c r="I762" i="15"/>
  <c r="O762" i="15"/>
  <c r="I797" i="15"/>
  <c r="O797" i="15"/>
  <c r="I702" i="15"/>
  <c r="O702" i="15"/>
  <c r="I653" i="15"/>
  <c r="O653" i="15"/>
  <c r="I531" i="15"/>
  <c r="O531" i="15"/>
  <c r="I233" i="15"/>
  <c r="O233" i="15"/>
  <c r="I53" i="15"/>
  <c r="O53" i="15"/>
  <c r="I683" i="15"/>
  <c r="O683" i="15"/>
  <c r="I745" i="15"/>
  <c r="O745" i="15"/>
  <c r="I743" i="15"/>
  <c r="O743" i="15"/>
  <c r="I713" i="15"/>
  <c r="O713" i="15"/>
  <c r="I585" i="15"/>
  <c r="O585" i="15"/>
  <c r="I502" i="15"/>
  <c r="O502" i="15"/>
  <c r="I442" i="15"/>
  <c r="O442" i="15"/>
  <c r="I210" i="15"/>
  <c r="O210" i="15"/>
  <c r="O935" i="15"/>
  <c r="I915" i="15"/>
  <c r="O915" i="15"/>
  <c r="I908" i="15"/>
  <c r="O908" i="15"/>
  <c r="I893" i="15"/>
  <c r="O893" i="15"/>
  <c r="I831" i="15"/>
  <c r="O831" i="15"/>
  <c r="I822" i="15"/>
  <c r="O822" i="15"/>
  <c r="I812" i="15"/>
  <c r="O812" i="15"/>
  <c r="I783" i="15"/>
  <c r="O783" i="15"/>
  <c r="I768" i="15"/>
  <c r="O768" i="15"/>
  <c r="I728" i="15"/>
  <c r="O728" i="15"/>
  <c r="I703" i="15"/>
  <c r="O703" i="15"/>
  <c r="I689" i="15"/>
  <c r="O689" i="15"/>
  <c r="I684" i="15"/>
  <c r="O684" i="15"/>
  <c r="I667" i="15"/>
  <c r="O667" i="15"/>
  <c r="I662" i="15"/>
  <c r="O662" i="15"/>
  <c r="I658" i="15"/>
  <c r="O658" i="15"/>
  <c r="I654" i="15"/>
  <c r="O654" i="15"/>
  <c r="I650" i="15"/>
  <c r="O650" i="15"/>
  <c r="I646" i="15"/>
  <c r="O646" i="15"/>
  <c r="I642" i="15"/>
  <c r="O642" i="15"/>
  <c r="I638" i="15"/>
  <c r="O638" i="15"/>
  <c r="I621" i="15"/>
  <c r="O621" i="15"/>
  <c r="I602" i="15"/>
  <c r="O602" i="15"/>
  <c r="I598" i="15"/>
  <c r="O598" i="15"/>
  <c r="I589" i="15"/>
  <c r="O589" i="15"/>
  <c r="I559" i="15"/>
  <c r="O559" i="15"/>
  <c r="I541" i="15"/>
  <c r="O541" i="15"/>
  <c r="I536" i="15"/>
  <c r="O536" i="15"/>
  <c r="I532" i="15"/>
  <c r="O532" i="15"/>
  <c r="I528" i="15"/>
  <c r="O528" i="15"/>
  <c r="I465" i="15"/>
  <c r="O465" i="15"/>
  <c r="I452" i="15"/>
  <c r="O452" i="15"/>
  <c r="I448" i="15"/>
  <c r="O448" i="15"/>
  <c r="I373" i="15"/>
  <c r="O373" i="15"/>
  <c r="I342" i="15"/>
  <c r="O342" i="15"/>
  <c r="I268" i="15"/>
  <c r="O268" i="15"/>
  <c r="I234" i="15"/>
  <c r="O234" i="15"/>
  <c r="I224" i="15"/>
  <c r="O224" i="15"/>
  <c r="I220" i="15"/>
  <c r="O220" i="15"/>
  <c r="I72" i="15"/>
  <c r="O72" i="15"/>
  <c r="I68" i="15"/>
  <c r="O68" i="15"/>
  <c r="I64" i="15"/>
  <c r="O64" i="15"/>
  <c r="I25" i="15"/>
  <c r="O25" i="15"/>
  <c r="I176" i="15"/>
  <c r="O176" i="15"/>
  <c r="I374" i="15"/>
  <c r="O374" i="15"/>
  <c r="I670" i="15"/>
  <c r="O670" i="15"/>
  <c r="I682" i="15"/>
  <c r="O682" i="15"/>
  <c r="I693" i="15"/>
  <c r="O693" i="15"/>
  <c r="I705" i="15"/>
  <c r="O705" i="15"/>
  <c r="I717" i="15"/>
  <c r="O717" i="15"/>
  <c r="I721" i="15"/>
  <c r="O721" i="15"/>
  <c r="I732" i="15"/>
  <c r="O732" i="15"/>
  <c r="I736" i="15"/>
  <c r="O736" i="15"/>
  <c r="I747" i="15"/>
  <c r="O747" i="15"/>
  <c r="I435" i="15"/>
  <c r="O435" i="15"/>
  <c r="R858" i="15"/>
  <c r="M858" i="15"/>
  <c r="R859" i="15"/>
  <c r="M859" i="15"/>
  <c r="R462" i="15"/>
  <c r="M462" i="15"/>
  <c r="R456" i="15"/>
  <c r="M456" i="15"/>
  <c r="R457" i="15"/>
  <c r="M457" i="15"/>
  <c r="R458" i="15"/>
  <c r="M458" i="15"/>
  <c r="H878" i="15"/>
  <c r="H877" i="15"/>
  <c r="H876" i="15"/>
  <c r="H1014" i="1"/>
  <c r="I1014" i="1" s="1"/>
  <c r="I859" i="15"/>
  <c r="I456" i="15"/>
  <c r="I858" i="15"/>
  <c r="I457" i="15"/>
  <c r="I458" i="15"/>
  <c r="G2512" i="4"/>
  <c r="J561" i="15" s="1"/>
  <c r="G2505" i="4"/>
  <c r="J562" i="15" s="1"/>
  <c r="G2498" i="4"/>
  <c r="J574" i="15" s="1"/>
  <c r="G2491" i="4"/>
  <c r="J506" i="15" s="1"/>
  <c r="G2484" i="4"/>
  <c r="J505" i="15" s="1"/>
  <c r="G2477" i="4"/>
  <c r="G2470" i="4"/>
  <c r="J428" i="15" s="1"/>
  <c r="G2463" i="4"/>
  <c r="G2452" i="4"/>
  <c r="J183" i="15" s="1"/>
  <c r="G2443" i="4"/>
  <c r="J160" i="15" s="1"/>
  <c r="G2427" i="4"/>
  <c r="J147" i="15" s="1"/>
  <c r="G2414" i="4"/>
  <c r="J146" i="15" s="1"/>
  <c r="G2402" i="4"/>
  <c r="J144" i="15" s="1"/>
  <c r="G2391" i="4"/>
  <c r="J143" i="15" s="1"/>
  <c r="G2381" i="4"/>
  <c r="J142" i="15" s="1"/>
  <c r="G2370" i="4"/>
  <c r="J141" i="15" s="1"/>
  <c r="G2346" i="4"/>
  <c r="J77" i="15" s="1"/>
  <c r="G2354" i="4"/>
  <c r="J137" i="15" s="1"/>
  <c r="I462" i="15"/>
  <c r="K42" i="9" l="1"/>
  <c r="L42" i="9"/>
  <c r="M42" i="9"/>
  <c r="AK383" i="15"/>
  <c r="AK193" i="15" s="1"/>
  <c r="AK951" i="15" s="1"/>
  <c r="AK954" i="15" s="1"/>
  <c r="AL954" i="15" s="1"/>
  <c r="I906" i="15"/>
  <c r="R948" i="15"/>
  <c r="I877" i="15"/>
  <c r="O877" i="15"/>
  <c r="I878" i="15"/>
  <c r="O878" i="15"/>
  <c r="M949" i="15"/>
  <c r="I876" i="15"/>
  <c r="O876" i="15"/>
  <c r="J833" i="15"/>
  <c r="J423" i="15"/>
  <c r="J509" i="15"/>
  <c r="J486" i="15"/>
  <c r="AM954" i="15" l="1"/>
  <c r="I949" i="15"/>
  <c r="M950" i="15"/>
  <c r="M951" i="15" s="1"/>
  <c r="H574" i="15"/>
  <c r="H562" i="15"/>
  <c r="H561" i="15"/>
  <c r="I561" i="15" l="1"/>
  <c r="O561" i="15"/>
  <c r="I562" i="15"/>
  <c r="O562" i="15"/>
  <c r="I574" i="15"/>
  <c r="O574" i="15"/>
  <c r="H137" i="15"/>
  <c r="H505" i="15"/>
  <c r="H77" i="15"/>
  <c r="H144" i="15"/>
  <c r="H143" i="15"/>
  <c r="H142" i="15"/>
  <c r="H141" i="15"/>
  <c r="H146" i="15"/>
  <c r="H160" i="15"/>
  <c r="H183" i="15"/>
  <c r="I141" i="15" l="1"/>
  <c r="O141" i="15"/>
  <c r="I143" i="15"/>
  <c r="O143" i="15"/>
  <c r="I77" i="15"/>
  <c r="O77" i="15"/>
  <c r="I505" i="15"/>
  <c r="O505" i="15"/>
  <c r="I160" i="15"/>
  <c r="O160" i="15"/>
  <c r="I142" i="15"/>
  <c r="O142" i="15"/>
  <c r="I144" i="15"/>
  <c r="O144" i="15"/>
  <c r="I183" i="15"/>
  <c r="O183" i="15"/>
  <c r="I137" i="15"/>
  <c r="O137" i="15"/>
  <c r="I146" i="15"/>
  <c r="O146" i="15"/>
  <c r="H506" i="15"/>
  <c r="H147" i="15"/>
  <c r="H833" i="15"/>
  <c r="H423" i="15"/>
  <c r="I506" i="15" l="1"/>
  <c r="O506" i="15"/>
  <c r="I423" i="15"/>
  <c r="O423" i="15"/>
  <c r="I833" i="15"/>
  <c r="O833" i="15"/>
  <c r="I147" i="15"/>
  <c r="I139" i="15" s="1"/>
  <c r="O147" i="15"/>
  <c r="H509" i="15"/>
  <c r="H486" i="15"/>
  <c r="L34" i="9" l="1"/>
  <c r="M34" i="9"/>
  <c r="N34" i="9"/>
  <c r="I486" i="15"/>
  <c r="O486" i="15"/>
  <c r="I509" i="15"/>
  <c r="O509" i="15"/>
  <c r="H428" i="15"/>
  <c r="I428" i="15" l="1"/>
  <c r="O428" i="15"/>
  <c r="F329" i="4"/>
  <c r="G329" i="4" s="1"/>
  <c r="I329" i="4"/>
  <c r="F330" i="4"/>
  <c r="G330" i="4" s="1"/>
  <c r="I330" i="4"/>
  <c r="F331" i="4"/>
  <c r="G331" i="4" s="1"/>
  <c r="I331" i="4"/>
  <c r="F332" i="4"/>
  <c r="G332" i="4" s="1"/>
  <c r="I332" i="4"/>
  <c r="F333" i="4"/>
  <c r="G333" i="4" s="1"/>
  <c r="I333" i="4"/>
  <c r="F334" i="4"/>
  <c r="G334" i="4" s="1"/>
  <c r="I334" i="4"/>
  <c r="B334" i="4" s="1"/>
  <c r="F335" i="4"/>
  <c r="G335" i="4" s="1"/>
  <c r="I335" i="4"/>
  <c r="B335" i="4" s="1"/>
  <c r="F336" i="4"/>
  <c r="G336" i="4" s="1"/>
  <c r="I336" i="4"/>
  <c r="B336" i="4" s="1"/>
  <c r="G337" i="4" l="1"/>
  <c r="I274" i="4"/>
  <c r="B274" i="4" s="1"/>
  <c r="F274" i="4"/>
  <c r="G274" i="4" s="1"/>
  <c r="I260" i="4"/>
  <c r="B260" i="4" s="1"/>
  <c r="F260" i="4"/>
  <c r="G260" i="4" s="1"/>
  <c r="I246" i="4"/>
  <c r="B246" i="4" s="1"/>
  <c r="F246" i="4"/>
  <c r="G246" i="4" s="1"/>
  <c r="I212" i="4"/>
  <c r="B212" i="4" s="1"/>
  <c r="F212" i="4"/>
  <c r="G212" i="4" s="1"/>
  <c r="I202" i="4" l="1"/>
  <c r="I204" i="4" l="1"/>
  <c r="H292" i="1"/>
  <c r="I292" i="1" s="1"/>
  <c r="F2337" i="4"/>
  <c r="G2337" i="4" s="1"/>
  <c r="G2338" i="4" s="1"/>
  <c r="J1135" i="1" l="1"/>
  <c r="H1135" i="1" s="1"/>
  <c r="I1135" i="1" s="1"/>
  <c r="J939" i="15"/>
  <c r="H939" i="15" s="1"/>
  <c r="I2330" i="4"/>
  <c r="F2330" i="4"/>
  <c r="G2330" i="4" s="1"/>
  <c r="I2329" i="4"/>
  <c r="F2329" i="4"/>
  <c r="G2329" i="4" s="1"/>
  <c r="I2328" i="4"/>
  <c r="F2328" i="4"/>
  <c r="G2328" i="4" s="1"/>
  <c r="I2327" i="4"/>
  <c r="F2327" i="4"/>
  <c r="G2327" i="4" s="1"/>
  <c r="I2332" i="4"/>
  <c r="F2332" i="4"/>
  <c r="G2332" i="4" s="1"/>
  <c r="I2331" i="4"/>
  <c r="F2331" i="4"/>
  <c r="G2331" i="4" s="1"/>
  <c r="N45" i="1"/>
  <c r="J45" i="1"/>
  <c r="H45" i="1" s="1"/>
  <c r="I45" i="1" s="1"/>
  <c r="I939" i="15" l="1"/>
  <c r="O939" i="15"/>
  <c r="G2333" i="4"/>
  <c r="B202" i="4"/>
  <c r="I201" i="4"/>
  <c r="B201" i="4" s="1"/>
  <c r="I1327" i="4"/>
  <c r="F1327" i="4"/>
  <c r="G1327" i="4" s="1"/>
  <c r="I1320" i="4"/>
  <c r="F1320" i="4"/>
  <c r="G1320" i="4" s="1"/>
  <c r="P21" i="9"/>
  <c r="P23" i="9"/>
  <c r="P25" i="9"/>
  <c r="P27" i="9"/>
  <c r="P29" i="9"/>
  <c r="P31" i="9"/>
  <c r="P33" i="9"/>
  <c r="P35" i="9"/>
  <c r="P37" i="9"/>
  <c r="P39" i="9"/>
  <c r="P41" i="9"/>
  <c r="P43" i="9"/>
  <c r="P45" i="9"/>
  <c r="P47" i="9"/>
  <c r="P49" i="9"/>
  <c r="P51" i="9"/>
  <c r="P53" i="9"/>
  <c r="P55" i="9"/>
  <c r="P57" i="9"/>
  <c r="P59" i="9"/>
  <c r="J196" i="1" l="1"/>
  <c r="J153" i="15"/>
  <c r="H153" i="15" s="1"/>
  <c r="I346" i="4"/>
  <c r="B346" i="4" s="1"/>
  <c r="F346" i="4"/>
  <c r="G346" i="4" s="1"/>
  <c r="I321" i="4"/>
  <c r="B321" i="4" s="1"/>
  <c r="F321" i="4"/>
  <c r="G321" i="4" s="1"/>
  <c r="I308" i="4"/>
  <c r="B308" i="4" s="1"/>
  <c r="F308" i="4"/>
  <c r="G308" i="4" s="1"/>
  <c r="I297" i="4"/>
  <c r="B297" i="4" s="1"/>
  <c r="F297" i="4"/>
  <c r="G297" i="4" s="1"/>
  <c r="I298" i="4"/>
  <c r="B298" i="4" s="1"/>
  <c r="F298" i="4"/>
  <c r="G298" i="4" s="1"/>
  <c r="I348" i="4"/>
  <c r="B348" i="4" s="1"/>
  <c r="F348" i="4"/>
  <c r="G348" i="4" s="1"/>
  <c r="I324" i="4"/>
  <c r="B324" i="4" s="1"/>
  <c r="F324" i="4"/>
  <c r="G324" i="4" s="1"/>
  <c r="I311" i="4"/>
  <c r="B311" i="4" s="1"/>
  <c r="F311" i="4"/>
  <c r="G311" i="4" s="1"/>
  <c r="I153" i="15" l="1"/>
  <c r="I152" i="15" s="1"/>
  <c r="O153" i="15"/>
  <c r="I2322" i="4"/>
  <c r="F2322" i="4"/>
  <c r="G2322" i="4" s="1"/>
  <c r="I2321" i="4"/>
  <c r="F2321" i="4"/>
  <c r="G2321" i="4" s="1"/>
  <c r="F2320" i="4"/>
  <c r="G2320" i="4" s="1"/>
  <c r="F2319" i="4"/>
  <c r="G2319" i="4" s="1"/>
  <c r="G2323" i="4" l="1"/>
  <c r="J1134" i="1" l="1"/>
  <c r="H1134" i="1" s="1"/>
  <c r="I1134" i="1" s="1"/>
  <c r="J938" i="15"/>
  <c r="H938" i="15" s="1"/>
  <c r="N196" i="1"/>
  <c r="H196" i="1"/>
  <c r="I196" i="1" s="1"/>
  <c r="I195" i="1" s="1"/>
  <c r="I347" i="4"/>
  <c r="B347" i="4" s="1"/>
  <c r="F347" i="4"/>
  <c r="G347" i="4" s="1"/>
  <c r="I312" i="4"/>
  <c r="B312" i="4" s="1"/>
  <c r="F312" i="4"/>
  <c r="G312" i="4" s="1"/>
  <c r="I938" i="15" l="1"/>
  <c r="O938" i="15"/>
  <c r="I2314" i="4"/>
  <c r="F2314" i="4"/>
  <c r="G2314" i="4" s="1"/>
  <c r="I2313" i="4"/>
  <c r="F2313" i="4"/>
  <c r="G2313" i="4" s="1"/>
  <c r="F2312" i="4"/>
  <c r="G2312" i="4" s="1"/>
  <c r="I2311" i="4"/>
  <c r="B2311" i="4" s="1"/>
  <c r="F2311" i="4"/>
  <c r="G2311" i="4" s="1"/>
  <c r="I2310" i="4"/>
  <c r="F2310" i="4"/>
  <c r="G2310" i="4" s="1"/>
  <c r="F2303" i="4"/>
  <c r="G2303" i="4" s="1"/>
  <c r="G2306" i="4" l="1"/>
  <c r="J264" i="15" s="1"/>
  <c r="H264" i="15" s="1"/>
  <c r="G2315" i="4"/>
  <c r="N1088" i="1"/>
  <c r="J1045" i="1"/>
  <c r="N1045" i="1"/>
  <c r="F560" i="1"/>
  <c r="F538" i="1"/>
  <c r="F536" i="1"/>
  <c r="J741" i="1"/>
  <c r="N577" i="1"/>
  <c r="N576" i="1"/>
  <c r="N500" i="1"/>
  <c r="J500" i="1"/>
  <c r="N499" i="1"/>
  <c r="J499" i="1"/>
  <c r="N498" i="1"/>
  <c r="J498" i="1"/>
  <c r="L536" i="1" l="1"/>
  <c r="BF536" i="1"/>
  <c r="L538" i="1"/>
  <c r="BF538" i="1"/>
  <c r="L560" i="1"/>
  <c r="BF560" i="1"/>
  <c r="I264" i="15"/>
  <c r="O264" i="15"/>
  <c r="J308" i="1"/>
  <c r="H308" i="1" s="1"/>
  <c r="I308" i="1" s="1"/>
  <c r="J227" i="1"/>
  <c r="J181" i="15"/>
  <c r="H181" i="15" s="1"/>
  <c r="F2298" i="4"/>
  <c r="G2298" i="4" s="1"/>
  <c r="G2299" i="4" s="1"/>
  <c r="F2293" i="4"/>
  <c r="G2293" i="4" s="1"/>
  <c r="G2294" i="4" s="1"/>
  <c r="F2288" i="4"/>
  <c r="G2288" i="4" s="1"/>
  <c r="G2289" i="4" s="1"/>
  <c r="F2283" i="4"/>
  <c r="G2283" i="4" s="1"/>
  <c r="G2284" i="4" s="1"/>
  <c r="I181" i="15" l="1"/>
  <c r="O181" i="15"/>
  <c r="J511" i="1"/>
  <c r="J431" i="15"/>
  <c r="H431" i="15" s="1"/>
  <c r="J510" i="1"/>
  <c r="J430" i="15"/>
  <c r="H430" i="15" s="1"/>
  <c r="J513" i="1"/>
  <c r="H513" i="1" s="1"/>
  <c r="I513" i="1" s="1"/>
  <c r="J433" i="15"/>
  <c r="H433" i="15" s="1"/>
  <c r="J512" i="1"/>
  <c r="J432" i="15"/>
  <c r="H432" i="15" s="1"/>
  <c r="I433" i="15" l="1"/>
  <c r="O433" i="15"/>
  <c r="I430" i="15"/>
  <c r="O430" i="15"/>
  <c r="I432" i="15"/>
  <c r="O432" i="15"/>
  <c r="I431" i="15"/>
  <c r="O431" i="15"/>
  <c r="I2276" i="4"/>
  <c r="F2276" i="4"/>
  <c r="G2276" i="4" s="1"/>
  <c r="I2278" i="4"/>
  <c r="F2278" i="4"/>
  <c r="G2278" i="4" s="1"/>
  <c r="I2277" i="4"/>
  <c r="F2277" i="4"/>
  <c r="G2277" i="4" s="1"/>
  <c r="I2271" i="4"/>
  <c r="F2271" i="4"/>
  <c r="G2271" i="4" s="1"/>
  <c r="F2270" i="4"/>
  <c r="G2270" i="4" s="1"/>
  <c r="J51" i="1"/>
  <c r="F2262" i="4"/>
  <c r="G2262" i="4" s="1"/>
  <c r="I2264" i="4"/>
  <c r="F2264" i="4"/>
  <c r="G2264" i="4" s="1"/>
  <c r="I2263" i="4"/>
  <c r="F2263" i="4"/>
  <c r="G2263" i="4" s="1"/>
  <c r="H511" i="1" l="1"/>
  <c r="I511" i="1" s="1"/>
  <c r="H512" i="1"/>
  <c r="I512" i="1" s="1"/>
  <c r="G2279" i="4"/>
  <c r="G2272" i="4"/>
  <c r="J690" i="1" s="1"/>
  <c r="H690" i="1" s="1"/>
  <c r="I690" i="1" s="1"/>
  <c r="G2265" i="4"/>
  <c r="F1645" i="4"/>
  <c r="G1645" i="4" s="1"/>
  <c r="F1912" i="4"/>
  <c r="G1912" i="4" s="1"/>
  <c r="J521" i="1" l="1"/>
  <c r="J441" i="15"/>
  <c r="H441" i="15" s="1"/>
  <c r="J169" i="1"/>
  <c r="H169" i="1" s="1"/>
  <c r="I169" i="1" s="1"/>
  <c r="J132" i="15"/>
  <c r="H132" i="15" s="1"/>
  <c r="I2256" i="4"/>
  <c r="F2256" i="4"/>
  <c r="G2256" i="4" s="1"/>
  <c r="F2255" i="4"/>
  <c r="G2255" i="4" s="1"/>
  <c r="F1703" i="4"/>
  <c r="G1703" i="4" s="1"/>
  <c r="F1700" i="4"/>
  <c r="G1700" i="4" s="1"/>
  <c r="I1702" i="4"/>
  <c r="F1702" i="4"/>
  <c r="G1702" i="4" s="1"/>
  <c r="I1701" i="4"/>
  <c r="F1701" i="4"/>
  <c r="G1701" i="4" s="1"/>
  <c r="I1698" i="4"/>
  <c r="F1698" i="4"/>
  <c r="G1698" i="4" s="1"/>
  <c r="I1697" i="4"/>
  <c r="F1697" i="4"/>
  <c r="G1697" i="4" s="1"/>
  <c r="F1691" i="4"/>
  <c r="G1691" i="4" s="1"/>
  <c r="F1688" i="4"/>
  <c r="G1688" i="4" s="1"/>
  <c r="I1686" i="4"/>
  <c r="F1686" i="4"/>
  <c r="G1686" i="4" s="1"/>
  <c r="I1685" i="4"/>
  <c r="F1685" i="4"/>
  <c r="G1685" i="4" s="1"/>
  <c r="I1690" i="4"/>
  <c r="F1690" i="4"/>
  <c r="G1690" i="4" s="1"/>
  <c r="I1689" i="4"/>
  <c r="F1689" i="4"/>
  <c r="G1689" i="4" s="1"/>
  <c r="F1679" i="4"/>
  <c r="G1679" i="4" s="1"/>
  <c r="F1676" i="4"/>
  <c r="G1676" i="4" s="1"/>
  <c r="I1674" i="4"/>
  <c r="F1674" i="4"/>
  <c r="G1674" i="4" s="1"/>
  <c r="I1673" i="4"/>
  <c r="F1673" i="4"/>
  <c r="G1673" i="4" s="1"/>
  <c r="I1677" i="4"/>
  <c r="F1677" i="4"/>
  <c r="G1677" i="4" s="1"/>
  <c r="I1678" i="4"/>
  <c r="F1678" i="4"/>
  <c r="G1678" i="4" s="1"/>
  <c r="I132" i="15" l="1"/>
  <c r="O132" i="15"/>
  <c r="I441" i="15"/>
  <c r="O441" i="15"/>
  <c r="G2257" i="4"/>
  <c r="G1704" i="4"/>
  <c r="G1692" i="4"/>
  <c r="G1680" i="4"/>
  <c r="J1090" i="1" l="1"/>
  <c r="H1090" i="1" s="1"/>
  <c r="I1090" i="1" s="1"/>
  <c r="J895" i="15"/>
  <c r="H895" i="15" s="1"/>
  <c r="J1084" i="1"/>
  <c r="H1084" i="1" s="1"/>
  <c r="I1084" i="1" s="1"/>
  <c r="J887" i="15"/>
  <c r="H887" i="15" s="1"/>
  <c r="J1097" i="1"/>
  <c r="H1097" i="1" s="1"/>
  <c r="I1097" i="1" s="1"/>
  <c r="J902" i="15"/>
  <c r="H902" i="15" s="1"/>
  <c r="J1093" i="1"/>
  <c r="H1093" i="1" s="1"/>
  <c r="I1093" i="1" s="1"/>
  <c r="J898" i="15"/>
  <c r="H898" i="15" s="1"/>
  <c r="I1667" i="4"/>
  <c r="F1667" i="4"/>
  <c r="G1667" i="4" s="1"/>
  <c r="I1666" i="4"/>
  <c r="F1666" i="4"/>
  <c r="G1666" i="4" s="1"/>
  <c r="G1661" i="4"/>
  <c r="F1630" i="4"/>
  <c r="G1630" i="4" s="1"/>
  <c r="F1640" i="4"/>
  <c r="G1640" i="4" s="1"/>
  <c r="F1635" i="4"/>
  <c r="G1635" i="4" s="1"/>
  <c r="F1650" i="4"/>
  <c r="G1650" i="4" s="1"/>
  <c r="F1655" i="4"/>
  <c r="G1655" i="4" s="1"/>
  <c r="I898" i="15" l="1"/>
  <c r="O898" i="15"/>
  <c r="I902" i="15"/>
  <c r="O902" i="15"/>
  <c r="I887" i="15"/>
  <c r="O887" i="15"/>
  <c r="I895" i="15"/>
  <c r="O895" i="15"/>
  <c r="J1082" i="1"/>
  <c r="H1082" i="1" s="1"/>
  <c r="I1082" i="1" s="1"/>
  <c r="J886" i="15"/>
  <c r="H886" i="15" s="1"/>
  <c r="G1668" i="4"/>
  <c r="I886" i="15" l="1"/>
  <c r="O886" i="15"/>
  <c r="J1083" i="1"/>
  <c r="H1083" i="1" s="1"/>
  <c r="I1083" i="1" s="1"/>
  <c r="J888" i="15"/>
  <c r="H888" i="15" s="1"/>
  <c r="G1656" i="4"/>
  <c r="G1651" i="4"/>
  <c r="G1641" i="4"/>
  <c r="G1646" i="4"/>
  <c r="J1077" i="1" s="1"/>
  <c r="G1636" i="4"/>
  <c r="G1631" i="4"/>
  <c r="J1074" i="1" s="1"/>
  <c r="I888" i="15" l="1"/>
  <c r="O888" i="15"/>
  <c r="J1078" i="1"/>
  <c r="H1078" i="1" s="1"/>
  <c r="I1078" i="1" s="1"/>
  <c r="J882" i="15"/>
  <c r="H882" i="15" s="1"/>
  <c r="H1077" i="1"/>
  <c r="I1077" i="1" s="1"/>
  <c r="H1074" i="1"/>
  <c r="I1074" i="1" s="1"/>
  <c r="J1076" i="1"/>
  <c r="J881" i="15"/>
  <c r="J1075" i="1"/>
  <c r="J879" i="15"/>
  <c r="J1079" i="1"/>
  <c r="J883" i="15"/>
  <c r="J1073" i="1"/>
  <c r="J1072" i="1"/>
  <c r="J1071" i="1"/>
  <c r="I882" i="15" l="1"/>
  <c r="O882" i="15"/>
  <c r="H881" i="15"/>
  <c r="J880" i="15"/>
  <c r="H880" i="15" s="1"/>
  <c r="H883" i="15"/>
  <c r="H879" i="15"/>
  <c r="H1073" i="1"/>
  <c r="I1073" i="1" s="1"/>
  <c r="H1072" i="1"/>
  <c r="I1072" i="1" s="1"/>
  <c r="H1071" i="1"/>
  <c r="I1071" i="1" s="1"/>
  <c r="H1075" i="1"/>
  <c r="I1075" i="1" s="1"/>
  <c r="H1076" i="1"/>
  <c r="I1076" i="1" s="1"/>
  <c r="H1079" i="1"/>
  <c r="I1079" i="1" s="1"/>
  <c r="J1070" i="1"/>
  <c r="I879" i="15" l="1"/>
  <c r="O879" i="15"/>
  <c r="I883" i="15"/>
  <c r="O883" i="15"/>
  <c r="I880" i="15"/>
  <c r="O880" i="15"/>
  <c r="I881" i="15"/>
  <c r="O881" i="15"/>
  <c r="H1070" i="1"/>
  <c r="I1070" i="1" s="1"/>
  <c r="F2250" i="4"/>
  <c r="I2185" i="4"/>
  <c r="I2228" i="4"/>
  <c r="I2234" i="4"/>
  <c r="I2233" i="4"/>
  <c r="I2217" i="4"/>
  <c r="I2204" i="4"/>
  <c r="I2203" i="4"/>
  <c r="I2202" i="4"/>
  <c r="I2195" i="4"/>
  <c r="I2194" i="4"/>
  <c r="I2193" i="4"/>
  <c r="I2192" i="4"/>
  <c r="I2132" i="4"/>
  <c r="I2126" i="4"/>
  <c r="I2119" i="4"/>
  <c r="I2077" i="4"/>
  <c r="I2064" i="4"/>
  <c r="I2021" i="4"/>
  <c r="I1988" i="4"/>
  <c r="I1979" i="4"/>
  <c r="I1925" i="4"/>
  <c r="I1920" i="4"/>
  <c r="I1911" i="4"/>
  <c r="I1909" i="4"/>
  <c r="I1908" i="4"/>
  <c r="I1900" i="4"/>
  <c r="I1882" i="4"/>
  <c r="I1860" i="4"/>
  <c r="I1859" i="4"/>
  <c r="I1851" i="4"/>
  <c r="I1850" i="4"/>
  <c r="I1849" i="4"/>
  <c r="I1848" i="4"/>
  <c r="I2245" i="4"/>
  <c r="I2244" i="4"/>
  <c r="I2243" i="4"/>
  <c r="I2237" i="4"/>
  <c r="I2236" i="4"/>
  <c r="I2212" i="4"/>
  <c r="I2218" i="4"/>
  <c r="I2206" i="4"/>
  <c r="I2205" i="4"/>
  <c r="I2197" i="4"/>
  <c r="I2196" i="4"/>
  <c r="I2184" i="4"/>
  <c r="I2187" i="4"/>
  <c r="I2186" i="4"/>
  <c r="I2149" i="4"/>
  <c r="I2148" i="4"/>
  <c r="I2142" i="4"/>
  <c r="I2141" i="4"/>
  <c r="I2133" i="4"/>
  <c r="I2135" i="4"/>
  <c r="I2134" i="4"/>
  <c r="I2127" i="4"/>
  <c r="I2120" i="4"/>
  <c r="I2112" i="4"/>
  <c r="I2104" i="4"/>
  <c r="I2103" i="4"/>
  <c r="I2096" i="4"/>
  <c r="I2095" i="4"/>
  <c r="I2080" i="4"/>
  <c r="I2079" i="4"/>
  <c r="I2071" i="4"/>
  <c r="I2065" i="4"/>
  <c r="I2059" i="4"/>
  <c r="I2058" i="4"/>
  <c r="I2051" i="4"/>
  <c r="I2050" i="4"/>
  <c r="I2044" i="4"/>
  <c r="I2043" i="4"/>
  <c r="I2037" i="4"/>
  <c r="I2031" i="4"/>
  <c r="I2030" i="4"/>
  <c r="I2024" i="4"/>
  <c r="I2023" i="4"/>
  <c r="I2016" i="4"/>
  <c r="I2015" i="4"/>
  <c r="I2009" i="4"/>
  <c r="I2003" i="4"/>
  <c r="I2002" i="4"/>
  <c r="I1996" i="4"/>
  <c r="I1990" i="4"/>
  <c r="I1989" i="4"/>
  <c r="I1982" i="4"/>
  <c r="I1981" i="4"/>
  <c r="I1973" i="4"/>
  <c r="I1972" i="4"/>
  <c r="I1966" i="4"/>
  <c r="I1965" i="4"/>
  <c r="I1959" i="4"/>
  <c r="I1953" i="4"/>
  <c r="I1952" i="4"/>
  <c r="I1946" i="4"/>
  <c r="I1945" i="4"/>
  <c r="I1939" i="4"/>
  <c r="I1938" i="4"/>
  <c r="I1927" i="4"/>
  <c r="I1926" i="4"/>
  <c r="I1914" i="4"/>
  <c r="I1913" i="4"/>
  <c r="I1902" i="4"/>
  <c r="I1901" i="4"/>
  <c r="I1894" i="4"/>
  <c r="I1893" i="4"/>
  <c r="I1892" i="4"/>
  <c r="I1891" i="4"/>
  <c r="I1885" i="4"/>
  <c r="I1884" i="4"/>
  <c r="I1876" i="4"/>
  <c r="I1875" i="4"/>
  <c r="I1868" i="4"/>
  <c r="I1867" i="4"/>
  <c r="I1861" i="4"/>
  <c r="I1854" i="4"/>
  <c r="I1853" i="4"/>
  <c r="I1852" i="4"/>
  <c r="I1326" i="4"/>
  <c r="F1326" i="4"/>
  <c r="G1326" i="4" s="1"/>
  <c r="N1037" i="1"/>
  <c r="F1039" i="1"/>
  <c r="N1038" i="1"/>
  <c r="F1490" i="4"/>
  <c r="G1490" i="4" s="1"/>
  <c r="L1039" i="1" l="1"/>
  <c r="BF1039" i="1"/>
  <c r="BF1006" i="1" s="1"/>
  <c r="G2250" i="4"/>
  <c r="G2251" i="4" s="1"/>
  <c r="J524" i="15" l="1"/>
  <c r="H524" i="15" s="1"/>
  <c r="J602" i="1"/>
  <c r="H602" i="1" s="1"/>
  <c r="I602" i="1" s="1"/>
  <c r="F279" i="1"/>
  <c r="F2242" i="4"/>
  <c r="G2242" i="4" s="1"/>
  <c r="F2243" i="4"/>
  <c r="G2243" i="4" s="1"/>
  <c r="F2244" i="4"/>
  <c r="G2244" i="4" s="1"/>
  <c r="F2245" i="4"/>
  <c r="G2245" i="4" s="1"/>
  <c r="F228" i="1"/>
  <c r="BF228" i="1" s="1"/>
  <c r="BF225" i="1" s="1"/>
  <c r="C45" i="9" s="1"/>
  <c r="L279" i="1" l="1"/>
  <c r="BF279" i="1"/>
  <c r="BF241" i="1" s="1"/>
  <c r="L228" i="1"/>
  <c r="I524" i="15"/>
  <c r="O524" i="15"/>
  <c r="G2246" i="4"/>
  <c r="J410" i="1" l="1"/>
  <c r="J366" i="15"/>
  <c r="H366" i="15" s="1"/>
  <c r="F2233" i="4"/>
  <c r="G2233" i="4" s="1"/>
  <c r="F2234" i="4"/>
  <c r="G2234" i="4" s="1"/>
  <c r="F2235" i="4"/>
  <c r="G2235" i="4" s="1"/>
  <c r="F2236" i="4"/>
  <c r="G2236" i="4" s="1"/>
  <c r="F2237" i="4"/>
  <c r="G2237" i="4" s="1"/>
  <c r="B2237" i="4"/>
  <c r="F2228" i="4"/>
  <c r="G2228" i="4" s="1"/>
  <c r="F2223" i="4"/>
  <c r="G2223" i="4" s="1"/>
  <c r="F2224" i="4"/>
  <c r="G2224" i="4" s="1"/>
  <c r="F2225" i="4"/>
  <c r="G2225" i="4" s="1"/>
  <c r="F2226" i="4"/>
  <c r="G2226" i="4" s="1"/>
  <c r="F2227" i="4"/>
  <c r="G2227" i="4" s="1"/>
  <c r="F2211" i="4"/>
  <c r="G2211" i="4" s="1"/>
  <c r="F2212" i="4"/>
  <c r="G2212" i="4" s="1"/>
  <c r="B2212" i="4"/>
  <c r="F2217" i="4"/>
  <c r="G2217" i="4" s="1"/>
  <c r="F2218" i="4"/>
  <c r="G2218" i="4" s="1"/>
  <c r="B2218" i="4"/>
  <c r="F2192" i="4"/>
  <c r="G2192" i="4" s="1"/>
  <c r="B2192" i="4"/>
  <c r="F2193" i="4"/>
  <c r="G2193" i="4" s="1"/>
  <c r="B2193" i="4"/>
  <c r="F2194" i="4"/>
  <c r="G2194" i="4" s="1"/>
  <c r="B2194" i="4"/>
  <c r="F2195" i="4"/>
  <c r="G2195" i="4" s="1"/>
  <c r="B2195" i="4"/>
  <c r="F2196" i="4"/>
  <c r="G2196" i="4" s="1"/>
  <c r="F2197" i="4"/>
  <c r="G2197" i="4" s="1"/>
  <c r="F2202" i="4"/>
  <c r="G2202" i="4" s="1"/>
  <c r="B2202" i="4"/>
  <c r="F2203" i="4"/>
  <c r="G2203" i="4" s="1"/>
  <c r="B2203" i="4"/>
  <c r="F2204" i="4"/>
  <c r="G2204" i="4" s="1"/>
  <c r="B2204" i="4"/>
  <c r="F2205" i="4"/>
  <c r="G2205" i="4" s="1"/>
  <c r="F2206" i="4"/>
  <c r="G2206" i="4" s="1"/>
  <c r="F2184" i="4"/>
  <c r="G2184" i="4" s="1"/>
  <c r="B2184" i="4"/>
  <c r="F2185" i="4"/>
  <c r="G2185" i="4" s="1"/>
  <c r="B2185" i="4"/>
  <c r="F2186" i="4"/>
  <c r="G2186" i="4" s="1"/>
  <c r="B2186" i="4"/>
  <c r="F2187" i="4"/>
  <c r="G2187" i="4" s="1"/>
  <c r="B2187" i="4"/>
  <c r="F2154" i="4"/>
  <c r="F2159" i="4"/>
  <c r="F2164" i="4"/>
  <c r="F2169" i="4"/>
  <c r="F2174" i="4"/>
  <c r="F2179" i="4"/>
  <c r="F2140" i="4"/>
  <c r="G2140" i="4" s="1"/>
  <c r="F2141" i="4"/>
  <c r="G2141" i="4" s="1"/>
  <c r="F2142" i="4"/>
  <c r="G2142" i="4" s="1"/>
  <c r="F2147" i="4"/>
  <c r="G2147" i="4" s="1"/>
  <c r="F2148" i="4"/>
  <c r="G2148" i="4" s="1"/>
  <c r="F2149" i="4"/>
  <c r="G2149" i="4" s="1"/>
  <c r="F2132" i="4"/>
  <c r="G2132" i="4" s="1"/>
  <c r="F2133" i="4"/>
  <c r="G2133" i="4" s="1"/>
  <c r="F2134" i="4"/>
  <c r="G2134" i="4" s="1"/>
  <c r="F2135" i="4"/>
  <c r="G2135" i="4" s="1"/>
  <c r="F2101" i="4"/>
  <c r="G2101" i="4" s="1"/>
  <c r="F2102" i="4"/>
  <c r="G2102" i="4" s="1"/>
  <c r="F2103" i="4"/>
  <c r="G2103" i="4" s="1"/>
  <c r="F2104" i="4"/>
  <c r="G2104" i="4" s="1"/>
  <c r="F2110" i="4"/>
  <c r="G2110" i="4" s="1"/>
  <c r="F2111" i="4"/>
  <c r="G2111" i="4" s="1"/>
  <c r="F2112" i="4"/>
  <c r="G2112" i="4" s="1"/>
  <c r="F2118" i="4"/>
  <c r="G2118" i="4" s="1"/>
  <c r="F2119" i="4"/>
  <c r="G2119" i="4" s="1"/>
  <c r="F2120" i="4"/>
  <c r="G2120" i="4" s="1"/>
  <c r="F2125" i="4"/>
  <c r="G2125" i="4" s="1"/>
  <c r="F2126" i="4"/>
  <c r="G2126" i="4" s="1"/>
  <c r="F2127" i="4"/>
  <c r="G2127" i="4" s="1"/>
  <c r="F2076" i="4"/>
  <c r="G2076" i="4" s="1"/>
  <c r="F2077" i="4"/>
  <c r="G2077" i="4" s="1"/>
  <c r="F2078" i="4"/>
  <c r="G2078" i="4" s="1"/>
  <c r="F2079" i="4"/>
  <c r="G2079" i="4" s="1"/>
  <c r="F2080" i="4"/>
  <c r="G2080" i="4" s="1"/>
  <c r="F2085" i="4"/>
  <c r="F2091" i="4"/>
  <c r="G2091" i="4" s="1"/>
  <c r="F2092" i="4"/>
  <c r="G2092" i="4" s="1"/>
  <c r="F2093" i="4"/>
  <c r="G2093" i="4" s="1"/>
  <c r="F2094" i="4"/>
  <c r="G2094" i="4" s="1"/>
  <c r="F2095" i="4"/>
  <c r="G2095" i="4" s="1"/>
  <c r="F2096" i="4"/>
  <c r="G2096" i="4" s="1"/>
  <c r="F2064" i="4"/>
  <c r="G2064" i="4" s="1"/>
  <c r="F2065" i="4"/>
  <c r="G2065" i="4" s="1"/>
  <c r="F2070" i="4"/>
  <c r="G2070" i="4" s="1"/>
  <c r="F2071" i="4"/>
  <c r="G2071" i="4" s="1"/>
  <c r="F2056" i="4"/>
  <c r="G2056" i="4" s="1"/>
  <c r="F2057" i="4"/>
  <c r="G2057" i="4" s="1"/>
  <c r="F2058" i="4"/>
  <c r="G2058" i="4" s="1"/>
  <c r="F2059" i="4"/>
  <c r="G2059" i="4" s="1"/>
  <c r="F2042" i="4"/>
  <c r="G2042" i="4" s="1"/>
  <c r="F2043" i="4"/>
  <c r="G2043" i="4" s="1"/>
  <c r="F2044" i="4"/>
  <c r="G2044" i="4" s="1"/>
  <c r="F2049" i="4"/>
  <c r="G2049" i="4" s="1"/>
  <c r="F2050" i="4"/>
  <c r="G2050" i="4" s="1"/>
  <c r="F2051" i="4"/>
  <c r="G2051" i="4" s="1"/>
  <c r="F2036" i="4"/>
  <c r="G2036" i="4" s="1"/>
  <c r="F2037" i="4"/>
  <c r="G2037" i="4" s="1"/>
  <c r="F2029" i="4"/>
  <c r="G2029" i="4" s="1"/>
  <c r="F2030" i="4"/>
  <c r="G2030" i="4" s="1"/>
  <c r="B2030" i="4"/>
  <c r="F2031" i="4"/>
  <c r="G2031" i="4" s="1"/>
  <c r="B2031" i="4"/>
  <c r="F1971" i="4"/>
  <c r="G1971" i="4" s="1"/>
  <c r="F1972" i="4"/>
  <c r="G1972" i="4" s="1"/>
  <c r="F1973" i="4"/>
  <c r="G1973" i="4" s="1"/>
  <c r="F1978" i="4"/>
  <c r="G1978" i="4" s="1"/>
  <c r="F1979" i="4"/>
  <c r="G1979" i="4" s="1"/>
  <c r="F1980" i="4"/>
  <c r="G1980" i="4" s="1"/>
  <c r="F1981" i="4"/>
  <c r="G1981" i="4" s="1"/>
  <c r="F1982" i="4"/>
  <c r="G1982" i="4" s="1"/>
  <c r="B1982" i="4"/>
  <c r="F1987" i="4"/>
  <c r="G1987" i="4" s="1"/>
  <c r="F1988" i="4"/>
  <c r="G1988" i="4" s="1"/>
  <c r="F1989" i="4"/>
  <c r="G1989" i="4" s="1"/>
  <c r="F1990" i="4"/>
  <c r="G1990" i="4" s="1"/>
  <c r="B1990" i="4"/>
  <c r="G1995" i="4"/>
  <c r="F1996" i="4"/>
  <c r="G1996" i="4" s="1"/>
  <c r="F2001" i="4"/>
  <c r="G2001" i="4" s="1"/>
  <c r="F2002" i="4"/>
  <c r="G2002" i="4" s="1"/>
  <c r="F2003" i="4"/>
  <c r="G2003" i="4" s="1"/>
  <c r="F2008" i="4"/>
  <c r="G2008" i="4" s="1"/>
  <c r="F2009" i="4"/>
  <c r="G2009" i="4" s="1"/>
  <c r="F2014" i="4"/>
  <c r="G2014" i="4" s="1"/>
  <c r="F2015" i="4"/>
  <c r="G2015" i="4" s="1"/>
  <c r="F2016" i="4"/>
  <c r="G2016" i="4" s="1"/>
  <c r="B2016" i="4"/>
  <c r="F2021" i="4"/>
  <c r="G2021" i="4" s="1"/>
  <c r="F2022" i="4"/>
  <c r="G2022" i="4" s="1"/>
  <c r="F2023" i="4"/>
  <c r="G2023" i="4" s="1"/>
  <c r="F2024" i="4"/>
  <c r="G2024" i="4" s="1"/>
  <c r="B2024" i="4"/>
  <c r="F1919" i="4"/>
  <c r="G1919" i="4" s="1"/>
  <c r="F1920" i="4"/>
  <c r="G1920" i="4" s="1"/>
  <c r="F1925" i="4"/>
  <c r="G1925" i="4" s="1"/>
  <c r="F1926" i="4"/>
  <c r="G1926" i="4" s="1"/>
  <c r="F1927" i="4"/>
  <c r="G1927" i="4" s="1"/>
  <c r="G1932" i="4"/>
  <c r="G1933" i="4" s="1"/>
  <c r="F1937" i="4"/>
  <c r="G1937" i="4" s="1"/>
  <c r="F1938" i="4"/>
  <c r="G1938" i="4" s="1"/>
  <c r="F1939" i="4"/>
  <c r="G1939" i="4" s="1"/>
  <c r="F1944" i="4"/>
  <c r="G1944" i="4" s="1"/>
  <c r="F1945" i="4"/>
  <c r="G1945" i="4" s="1"/>
  <c r="F1946" i="4"/>
  <c r="G1946" i="4" s="1"/>
  <c r="B1946" i="4"/>
  <c r="F1951" i="4"/>
  <c r="G1951" i="4" s="1"/>
  <c r="F1952" i="4"/>
  <c r="G1952" i="4" s="1"/>
  <c r="F1953" i="4"/>
  <c r="G1953" i="4" s="1"/>
  <c r="F1958" i="4"/>
  <c r="G1958" i="4" s="1"/>
  <c r="F1959" i="4"/>
  <c r="G1959" i="4" s="1"/>
  <c r="F1964" i="4"/>
  <c r="G1964" i="4" s="1"/>
  <c r="F1965" i="4"/>
  <c r="G1965" i="4" s="1"/>
  <c r="F1966" i="4"/>
  <c r="G1966" i="4" s="1"/>
  <c r="B1966" i="4"/>
  <c r="F1908" i="4"/>
  <c r="G1908" i="4" s="1"/>
  <c r="F1909" i="4"/>
  <c r="G1909" i="4" s="1"/>
  <c r="B1909" i="4"/>
  <c r="F1911" i="4"/>
  <c r="G1911" i="4" s="1"/>
  <c r="B1911" i="4"/>
  <c r="F1913" i="4"/>
  <c r="G1913" i="4" s="1"/>
  <c r="F1914" i="4"/>
  <c r="G1914" i="4" s="1"/>
  <c r="F1899" i="4"/>
  <c r="G1899" i="4" s="1"/>
  <c r="F1900" i="4"/>
  <c r="G1900" i="4" s="1"/>
  <c r="F1901" i="4"/>
  <c r="G1901" i="4" s="1"/>
  <c r="F1902" i="4"/>
  <c r="G1902" i="4" s="1"/>
  <c r="F1890" i="4"/>
  <c r="G1890" i="4" s="1"/>
  <c r="F1891" i="4"/>
  <c r="G1891" i="4" s="1"/>
  <c r="F1892" i="4"/>
  <c r="G1892" i="4" s="1"/>
  <c r="F1893" i="4"/>
  <c r="G1893" i="4" s="1"/>
  <c r="F1894" i="4"/>
  <c r="G1894" i="4" s="1"/>
  <c r="F1866" i="4"/>
  <c r="G1866" i="4" s="1"/>
  <c r="F1867" i="4"/>
  <c r="G1867" i="4" s="1"/>
  <c r="F1868" i="4"/>
  <c r="G1868" i="4" s="1"/>
  <c r="F1874" i="4"/>
  <c r="G1874" i="4" s="1"/>
  <c r="F1875" i="4"/>
  <c r="G1875" i="4" s="1"/>
  <c r="F1876" i="4"/>
  <c r="G1876" i="4" s="1"/>
  <c r="F1882" i="4"/>
  <c r="G1882" i="4" s="1"/>
  <c r="F1883" i="4"/>
  <c r="G1883" i="4" s="1"/>
  <c r="F1884" i="4"/>
  <c r="G1884" i="4" s="1"/>
  <c r="F1885" i="4"/>
  <c r="G1885" i="4" s="1"/>
  <c r="F1859" i="4"/>
  <c r="G1859" i="4" s="1"/>
  <c r="F1860" i="4"/>
  <c r="G1860" i="4" s="1"/>
  <c r="F1861" i="4"/>
  <c r="G1861" i="4" s="1"/>
  <c r="G1843" i="4"/>
  <c r="G1844" i="4" s="1"/>
  <c r="F1848" i="4"/>
  <c r="G1848" i="4" s="1"/>
  <c r="F1849" i="4"/>
  <c r="G1849" i="4" s="1"/>
  <c r="F1850" i="4"/>
  <c r="G1850" i="4" s="1"/>
  <c r="F1851" i="4"/>
  <c r="G1851" i="4" s="1"/>
  <c r="F1852" i="4"/>
  <c r="G1852" i="4" s="1"/>
  <c r="F1853" i="4"/>
  <c r="G1853" i="4" s="1"/>
  <c r="F1854" i="4"/>
  <c r="G1854" i="4" s="1"/>
  <c r="I1821" i="4"/>
  <c r="B1821" i="4" s="1"/>
  <c r="F1821" i="4"/>
  <c r="G1821" i="4" s="1"/>
  <c r="I1822" i="4"/>
  <c r="F1822" i="4"/>
  <c r="G1822" i="4" s="1"/>
  <c r="I366" i="15" l="1"/>
  <c r="O366" i="15"/>
  <c r="G2169" i="4"/>
  <c r="G2170" i="4" s="1"/>
  <c r="J837" i="15" s="1"/>
  <c r="H837" i="15" s="1"/>
  <c r="G2174" i="4"/>
  <c r="G2175" i="4" s="1"/>
  <c r="J836" i="15" s="1"/>
  <c r="H836" i="15" s="1"/>
  <c r="G2154" i="4"/>
  <c r="G2155" i="4" s="1"/>
  <c r="J904" i="15" s="1"/>
  <c r="H904" i="15" s="1"/>
  <c r="G2085" i="4"/>
  <c r="G2086" i="4" s="1"/>
  <c r="G2164" i="4"/>
  <c r="G2165" i="4" s="1"/>
  <c r="J548" i="15" s="1"/>
  <c r="H548" i="15" s="1"/>
  <c r="G2179" i="4"/>
  <c r="G2180" i="4" s="1"/>
  <c r="J838" i="15" s="1"/>
  <c r="H838" i="15" s="1"/>
  <c r="G2159" i="4"/>
  <c r="G2160" i="4" s="1"/>
  <c r="J547" i="15" s="1"/>
  <c r="H547" i="15" s="1"/>
  <c r="J519" i="15"/>
  <c r="H519" i="15" s="1"/>
  <c r="J844" i="15"/>
  <c r="H844" i="15" s="1"/>
  <c r="J429" i="15"/>
  <c r="H429" i="15" s="1"/>
  <c r="G2238" i="4"/>
  <c r="G2229" i="4"/>
  <c r="J522" i="15" s="1"/>
  <c r="H522" i="15" s="1"/>
  <c r="G2010" i="4"/>
  <c r="J439" i="15" s="1"/>
  <c r="H439" i="15" s="1"/>
  <c r="G1997" i="4"/>
  <c r="G2150" i="4"/>
  <c r="J849" i="15" s="1"/>
  <c r="H849" i="15" s="1"/>
  <c r="G2105" i="4"/>
  <c r="J925" i="15" s="1"/>
  <c r="H925" i="15" s="1"/>
  <c r="G2198" i="4"/>
  <c r="G1895" i="4"/>
  <c r="J698" i="15" s="1"/>
  <c r="H698" i="15" s="1"/>
  <c r="G2032" i="4"/>
  <c r="G2060" i="4"/>
  <c r="G1967" i="4"/>
  <c r="J828" i="15" s="1"/>
  <c r="H828" i="15" s="1"/>
  <c r="G1921" i="4"/>
  <c r="G2025" i="4"/>
  <c r="J583" i="15" s="1"/>
  <c r="H583" i="15" s="1"/>
  <c r="G2017" i="4"/>
  <c r="J443" i="15" s="1"/>
  <c r="H443" i="15" s="1"/>
  <c r="G2213" i="4"/>
  <c r="J941" i="15" s="1"/>
  <c r="H941" i="15" s="1"/>
  <c r="G2066" i="4"/>
  <c r="J248" i="15" s="1"/>
  <c r="H248" i="15" s="1"/>
  <c r="G2121" i="4"/>
  <c r="J182" i="15" s="1"/>
  <c r="H182" i="15" s="1"/>
  <c r="G2113" i="4"/>
  <c r="J924" i="15" s="1"/>
  <c r="H924" i="15" s="1"/>
  <c r="G2136" i="4"/>
  <c r="J931" i="15" s="1"/>
  <c r="H931" i="15" s="1"/>
  <c r="G2188" i="4"/>
  <c r="J75" i="15" s="1"/>
  <c r="H75" i="15" s="1"/>
  <c r="G2143" i="4"/>
  <c r="J843" i="15" s="1"/>
  <c r="H843" i="15" s="1"/>
  <c r="G1869" i="4"/>
  <c r="G1903" i="4"/>
  <c r="J582" i="15" s="1"/>
  <c r="H582" i="15" s="1"/>
  <c r="G1947" i="4"/>
  <c r="J835" i="15" s="1"/>
  <c r="H835" i="15" s="1"/>
  <c r="G2045" i="4"/>
  <c r="J375" i="15" s="1"/>
  <c r="H375" i="15" s="1"/>
  <c r="G2072" i="4"/>
  <c r="J249" i="15" s="1"/>
  <c r="H249" i="15" s="1"/>
  <c r="G2219" i="4"/>
  <c r="J942" i="15" s="1"/>
  <c r="H942" i="15" s="1"/>
  <c r="G2207" i="4"/>
  <c r="J609" i="15" s="1"/>
  <c r="H609" i="15" s="1"/>
  <c r="G2128" i="4"/>
  <c r="J175" i="15" s="1"/>
  <c r="H175" i="15" s="1"/>
  <c r="G2081" i="4"/>
  <c r="J240" i="15" s="1"/>
  <c r="H240" i="15" s="1"/>
  <c r="G2097" i="4"/>
  <c r="G2052" i="4"/>
  <c r="G2038" i="4"/>
  <c r="J377" i="15" s="1"/>
  <c r="H377" i="15" s="1"/>
  <c r="G2004" i="4"/>
  <c r="J596" i="1" s="1"/>
  <c r="G1991" i="4"/>
  <c r="J483" i="15" s="1"/>
  <c r="H483" i="15" s="1"/>
  <c r="G1974" i="4"/>
  <c r="J523" i="15" s="1"/>
  <c r="H523" i="15" s="1"/>
  <c r="G1983" i="4"/>
  <c r="J484" i="15" s="1"/>
  <c r="H484" i="15" s="1"/>
  <c r="G1954" i="4"/>
  <c r="J841" i="15" s="1"/>
  <c r="H841" i="15" s="1"/>
  <c r="G1960" i="4"/>
  <c r="J842" i="15" s="1"/>
  <c r="H842" i="15" s="1"/>
  <c r="G1940" i="4"/>
  <c r="G1928" i="4"/>
  <c r="J827" i="15" s="1"/>
  <c r="H827" i="15" s="1"/>
  <c r="G1915" i="4"/>
  <c r="J901" i="15" s="1"/>
  <c r="H901" i="15" s="1"/>
  <c r="G1886" i="4"/>
  <c r="J608" i="15" s="1"/>
  <c r="H608" i="15" s="1"/>
  <c r="G1877" i="4"/>
  <c r="G1862" i="4"/>
  <c r="J242" i="15" s="1"/>
  <c r="H242" i="15" s="1"/>
  <c r="G1855" i="4"/>
  <c r="I1836" i="4"/>
  <c r="F1836" i="4"/>
  <c r="G1836" i="4" s="1"/>
  <c r="F1349" i="4"/>
  <c r="G1349" i="4" s="1"/>
  <c r="G1350" i="4" s="1"/>
  <c r="I1837" i="4"/>
  <c r="F1837" i="4"/>
  <c r="G1837" i="4" s="1"/>
  <c r="I1829" i="4"/>
  <c r="F1829" i="4"/>
  <c r="G1829" i="4" s="1"/>
  <c r="I1772" i="4"/>
  <c r="F1772" i="4"/>
  <c r="G1772" i="4" s="1"/>
  <c r="I1773" i="4"/>
  <c r="F1773" i="4"/>
  <c r="G1773" i="4" s="1"/>
  <c r="I1767" i="4"/>
  <c r="F1767" i="4"/>
  <c r="G1767" i="4" s="1"/>
  <c r="G1768" i="4" s="1"/>
  <c r="I1762" i="4"/>
  <c r="F1762" i="4"/>
  <c r="G1762" i="4" s="1"/>
  <c r="F1761" i="4"/>
  <c r="G1761" i="4" s="1"/>
  <c r="I1756" i="4"/>
  <c r="F1756" i="4"/>
  <c r="G1756" i="4" s="1"/>
  <c r="I1755" i="4"/>
  <c r="F1755" i="4"/>
  <c r="G1755" i="4" s="1"/>
  <c r="I1750" i="4"/>
  <c r="F1750" i="4"/>
  <c r="G1750" i="4" s="1"/>
  <c r="F1749" i="4"/>
  <c r="G1749" i="4" s="1"/>
  <c r="I1732" i="4"/>
  <c r="F1732" i="4"/>
  <c r="G1732" i="4" s="1"/>
  <c r="I1731" i="4"/>
  <c r="F1731" i="4"/>
  <c r="G1731" i="4" s="1"/>
  <c r="I1730" i="4"/>
  <c r="F1730" i="4"/>
  <c r="F1567" i="4"/>
  <c r="G1567" i="4" s="1"/>
  <c r="I1569" i="4"/>
  <c r="F1569" i="4"/>
  <c r="G1569" i="4" s="1"/>
  <c r="I1568" i="4"/>
  <c r="B1568" i="4" s="1"/>
  <c r="F1568" i="4"/>
  <c r="G1568" i="4" s="1"/>
  <c r="F1560" i="4"/>
  <c r="G1560" i="4" s="1"/>
  <c r="I1562" i="4"/>
  <c r="F1562" i="4"/>
  <c r="G1562" i="4" s="1"/>
  <c r="I1561" i="4"/>
  <c r="B1561" i="4" s="1"/>
  <c r="F1561" i="4"/>
  <c r="G1561" i="4" s="1"/>
  <c r="F1390" i="4"/>
  <c r="G1390" i="4" s="1"/>
  <c r="F1389" i="4"/>
  <c r="G1389" i="4" s="1"/>
  <c r="H662" i="1"/>
  <c r="I662" i="1" s="1"/>
  <c r="F1835" i="4"/>
  <c r="G1835" i="4" s="1"/>
  <c r="F1828" i="4"/>
  <c r="G1828" i="4" s="1"/>
  <c r="I190" i="4"/>
  <c r="F190" i="4"/>
  <c r="G190" i="4" s="1"/>
  <c r="I189" i="4"/>
  <c r="F189" i="4"/>
  <c r="G189" i="4" s="1"/>
  <c r="F188" i="4"/>
  <c r="G188" i="4" s="1"/>
  <c r="F187" i="4"/>
  <c r="G187" i="4" s="1"/>
  <c r="F186" i="4"/>
  <c r="G186" i="4" s="1"/>
  <c r="F196" i="4"/>
  <c r="G196" i="4" s="1"/>
  <c r="G197" i="4" s="1"/>
  <c r="J167" i="1" s="1"/>
  <c r="H167" i="1" s="1"/>
  <c r="I167" i="1" s="1"/>
  <c r="I523" i="15" l="1"/>
  <c r="O523" i="15"/>
  <c r="I609" i="15"/>
  <c r="O609" i="15"/>
  <c r="I75" i="15"/>
  <c r="O75" i="15"/>
  <c r="I838" i="15"/>
  <c r="O838" i="15"/>
  <c r="I828" i="15"/>
  <c r="O828" i="15"/>
  <c r="I249" i="15"/>
  <c r="O249" i="15"/>
  <c r="I522" i="15"/>
  <c r="O522" i="15"/>
  <c r="I483" i="15"/>
  <c r="O483" i="15"/>
  <c r="I182" i="15"/>
  <c r="I178" i="15" s="1"/>
  <c r="O182" i="15"/>
  <c r="I904" i="15"/>
  <c r="O904" i="15"/>
  <c r="I439" i="15"/>
  <c r="O439" i="15"/>
  <c r="I375" i="15"/>
  <c r="O375" i="15"/>
  <c r="I835" i="15"/>
  <c r="O835" i="15"/>
  <c r="I248" i="15"/>
  <c r="O248" i="15"/>
  <c r="I698" i="15"/>
  <c r="O698" i="15"/>
  <c r="I429" i="15"/>
  <c r="O429" i="15"/>
  <c r="I836" i="15"/>
  <c r="O836" i="15"/>
  <c r="I942" i="15"/>
  <c r="O942" i="15"/>
  <c r="I924" i="15"/>
  <c r="O924" i="15"/>
  <c r="I842" i="15"/>
  <c r="O842" i="15"/>
  <c r="I582" i="15"/>
  <c r="O582" i="15"/>
  <c r="I941" i="15"/>
  <c r="O941" i="15"/>
  <c r="I844" i="15"/>
  <c r="O844" i="15"/>
  <c r="I837" i="15"/>
  <c r="O837" i="15"/>
  <c r="I608" i="15"/>
  <c r="O608" i="15"/>
  <c r="I548" i="15"/>
  <c r="O548" i="15"/>
  <c r="I377" i="15"/>
  <c r="O377" i="15"/>
  <c r="I841" i="15"/>
  <c r="O841" i="15"/>
  <c r="I240" i="15"/>
  <c r="O240" i="15"/>
  <c r="I443" i="15"/>
  <c r="O443" i="15"/>
  <c r="I925" i="15"/>
  <c r="O925" i="15"/>
  <c r="I519" i="15"/>
  <c r="O519" i="15"/>
  <c r="I931" i="15"/>
  <c r="O931" i="15"/>
  <c r="I901" i="15"/>
  <c r="O901" i="15"/>
  <c r="I827" i="15"/>
  <c r="O827" i="15"/>
  <c r="I242" i="15"/>
  <c r="O242" i="15"/>
  <c r="I484" i="15"/>
  <c r="O484" i="15"/>
  <c r="I175" i="15"/>
  <c r="O175" i="15"/>
  <c r="I843" i="15"/>
  <c r="O843" i="15"/>
  <c r="I583" i="15"/>
  <c r="O583" i="15"/>
  <c r="I849" i="15"/>
  <c r="O849" i="15"/>
  <c r="I547" i="15"/>
  <c r="I546" i="15" s="1"/>
  <c r="O547" i="15"/>
  <c r="J980" i="1"/>
  <c r="H980" i="1" s="1"/>
  <c r="I980" i="1" s="1"/>
  <c r="J839" i="15"/>
  <c r="H839" i="15" s="1"/>
  <c r="J687" i="15"/>
  <c r="H687" i="15" s="1"/>
  <c r="J727" i="15"/>
  <c r="H727" i="15" s="1"/>
  <c r="J663" i="15"/>
  <c r="H663" i="15" s="1"/>
  <c r="J712" i="15"/>
  <c r="H712" i="15" s="1"/>
  <c r="J675" i="15"/>
  <c r="H675" i="15" s="1"/>
  <c r="J699" i="15"/>
  <c r="H699" i="15" s="1"/>
  <c r="J752" i="15"/>
  <c r="H752" i="15" s="1"/>
  <c r="J740" i="15"/>
  <c r="H740" i="15" s="1"/>
  <c r="J1143" i="1"/>
  <c r="J947" i="15"/>
  <c r="H947" i="15" s="1"/>
  <c r="J688" i="15"/>
  <c r="H688" i="15" s="1"/>
  <c r="J664" i="15"/>
  <c r="H664" i="15" s="1"/>
  <c r="J676" i="15"/>
  <c r="H676" i="15" s="1"/>
  <c r="J840" i="15"/>
  <c r="H840" i="15" s="1"/>
  <c r="J427" i="15"/>
  <c r="H427" i="15" s="1"/>
  <c r="J861" i="15"/>
  <c r="H861" i="15" s="1"/>
  <c r="I861" i="15" s="1"/>
  <c r="J853" i="15"/>
  <c r="H853" i="15" s="1"/>
  <c r="J440" i="15"/>
  <c r="H440" i="15" s="1"/>
  <c r="J520" i="15"/>
  <c r="H520" i="15" s="1"/>
  <c r="G1838" i="4"/>
  <c r="G1830" i="4"/>
  <c r="G1774" i="4"/>
  <c r="G1763" i="4"/>
  <c r="G1757" i="4"/>
  <c r="G1751" i="4"/>
  <c r="G1730" i="4"/>
  <c r="G1570" i="4"/>
  <c r="J1048" i="1" s="1"/>
  <c r="H1048" i="1" s="1"/>
  <c r="I1048" i="1" s="1"/>
  <c r="G1563" i="4"/>
  <c r="J1047" i="1" s="1"/>
  <c r="H1047" i="1" s="1"/>
  <c r="I1047" i="1" s="1"/>
  <c r="G192" i="4"/>
  <c r="J166" i="1" s="1"/>
  <c r="H166" i="1" s="1"/>
  <c r="I166" i="1" s="1"/>
  <c r="F1820" i="4"/>
  <c r="G1820" i="4" s="1"/>
  <c r="F1819" i="4"/>
  <c r="G1819" i="4" s="1"/>
  <c r="F1818" i="4"/>
  <c r="G1818" i="4" s="1"/>
  <c r="F1817" i="4"/>
  <c r="G1817" i="4" s="1"/>
  <c r="F1816" i="4"/>
  <c r="G1816" i="4" s="1"/>
  <c r="F1810" i="4"/>
  <c r="G1810" i="4" s="1"/>
  <c r="G1811" i="4" s="1"/>
  <c r="F1804" i="4"/>
  <c r="G1804" i="4" s="1"/>
  <c r="G1805" i="4" s="1"/>
  <c r="N599" i="1"/>
  <c r="J599" i="1"/>
  <c r="H599" i="1" s="1"/>
  <c r="I599" i="1" s="1"/>
  <c r="I1796" i="4"/>
  <c r="F1796" i="4"/>
  <c r="G1796" i="4" s="1"/>
  <c r="I1793" i="4"/>
  <c r="F1793" i="4"/>
  <c r="G1793" i="4" s="1"/>
  <c r="I1798" i="4"/>
  <c r="F1798" i="4"/>
  <c r="G1798" i="4" s="1"/>
  <c r="I1797" i="4"/>
  <c r="F1797" i="4"/>
  <c r="G1797" i="4" s="1"/>
  <c r="F1795" i="4"/>
  <c r="G1795" i="4" s="1"/>
  <c r="I1794" i="4"/>
  <c r="F1794" i="4"/>
  <c r="G1794" i="4" s="1"/>
  <c r="I1792" i="4"/>
  <c r="F1792" i="4"/>
  <c r="G1792" i="4" s="1"/>
  <c r="F1786" i="4"/>
  <c r="G1786" i="4" s="1"/>
  <c r="I1780" i="4"/>
  <c r="F1780" i="4"/>
  <c r="G1780" i="4" s="1"/>
  <c r="I1779" i="4"/>
  <c r="F1779" i="4"/>
  <c r="G1779" i="4" s="1"/>
  <c r="F1778" i="4"/>
  <c r="G1778" i="4" s="1"/>
  <c r="I923" i="15" l="1"/>
  <c r="I839" i="15"/>
  <c r="O839" i="15"/>
  <c r="I840" i="15"/>
  <c r="O840" i="15"/>
  <c r="I699" i="15"/>
  <c r="O699" i="15"/>
  <c r="I675" i="15"/>
  <c r="O675" i="15"/>
  <c r="O861" i="15"/>
  <c r="I752" i="15"/>
  <c r="O752" i="15"/>
  <c r="I664" i="15"/>
  <c r="O664" i="15"/>
  <c r="I712" i="15"/>
  <c r="O712" i="15"/>
  <c r="I688" i="15"/>
  <c r="O688" i="15"/>
  <c r="I663" i="15"/>
  <c r="O663" i="15"/>
  <c r="I440" i="15"/>
  <c r="O440" i="15"/>
  <c r="I947" i="15"/>
  <c r="O947" i="15"/>
  <c r="I727" i="15"/>
  <c r="O727" i="15"/>
  <c r="I740" i="15"/>
  <c r="O740" i="15"/>
  <c r="I427" i="15"/>
  <c r="O427" i="15"/>
  <c r="I676" i="15"/>
  <c r="O676" i="15"/>
  <c r="I520" i="15"/>
  <c r="O520" i="15"/>
  <c r="I853" i="15"/>
  <c r="O853" i="15"/>
  <c r="I687" i="15"/>
  <c r="O687" i="15"/>
  <c r="J601" i="1"/>
  <c r="H601" i="1" s="1"/>
  <c r="I601" i="1" s="1"/>
  <c r="J494" i="15"/>
  <c r="H494" i="15" s="1"/>
  <c r="J434" i="15"/>
  <c r="H434" i="15" s="1"/>
  <c r="J514" i="1"/>
  <c r="H514" i="1" s="1"/>
  <c r="I514" i="1" s="1"/>
  <c r="J1139" i="1"/>
  <c r="H1139" i="1" s="1"/>
  <c r="I1139" i="1" s="1"/>
  <c r="J943" i="15"/>
  <c r="H943" i="15" s="1"/>
  <c r="J565" i="1"/>
  <c r="H565" i="1" s="1"/>
  <c r="I565" i="1" s="1"/>
  <c r="J480" i="15"/>
  <c r="H480" i="15" s="1"/>
  <c r="J1136" i="1"/>
  <c r="H1136" i="1" s="1"/>
  <c r="I1136" i="1" s="1"/>
  <c r="J940" i="15"/>
  <c r="H940" i="15" s="1"/>
  <c r="J524" i="1"/>
  <c r="H524" i="1" s="1"/>
  <c r="I524" i="1" s="1"/>
  <c r="J446" i="15"/>
  <c r="H446" i="15" s="1"/>
  <c r="J1144" i="1"/>
  <c r="J948" i="15"/>
  <c r="H948" i="15" s="1"/>
  <c r="J1140" i="1"/>
  <c r="H1140" i="1" s="1"/>
  <c r="I1140" i="1" s="1"/>
  <c r="J944" i="15"/>
  <c r="H944" i="15" s="1"/>
  <c r="G1823" i="4"/>
  <c r="G1799" i="4"/>
  <c r="J1056" i="1" s="1"/>
  <c r="H1056" i="1" s="1"/>
  <c r="I1056" i="1" s="1"/>
  <c r="G1787" i="4"/>
  <c r="J1055" i="1" s="1"/>
  <c r="H1055" i="1" s="1"/>
  <c r="I1055" i="1" s="1"/>
  <c r="G1781" i="4"/>
  <c r="J1054" i="1" s="1"/>
  <c r="H1054" i="1" s="1"/>
  <c r="I1054" i="1" s="1"/>
  <c r="I817" i="15" l="1"/>
  <c r="I494" i="15"/>
  <c r="I492" i="15" s="1"/>
  <c r="O494" i="15"/>
  <c r="I480" i="15"/>
  <c r="O480" i="15"/>
  <c r="I944" i="15"/>
  <c r="O944" i="15"/>
  <c r="I948" i="15"/>
  <c r="I946" i="15" s="1"/>
  <c r="O948" i="15"/>
  <c r="I446" i="15"/>
  <c r="O446" i="15"/>
  <c r="I943" i="15"/>
  <c r="O943" i="15"/>
  <c r="I940" i="15"/>
  <c r="O940" i="15"/>
  <c r="I434" i="15"/>
  <c r="O434" i="15"/>
  <c r="J523" i="1"/>
  <c r="H523" i="1" s="1"/>
  <c r="I523" i="1" s="1"/>
  <c r="J445" i="15"/>
  <c r="H445" i="15" s="1"/>
  <c r="I1499" i="4"/>
  <c r="B1499" i="4" s="1"/>
  <c r="F1499" i="4"/>
  <c r="G1499" i="4" s="1"/>
  <c r="I1498" i="4"/>
  <c r="F1498" i="4"/>
  <c r="G1498" i="4" s="1"/>
  <c r="I1497" i="4"/>
  <c r="F1497" i="4"/>
  <c r="G1497" i="4" s="1"/>
  <c r="I1496" i="4"/>
  <c r="F1496" i="4"/>
  <c r="G1496" i="4" s="1"/>
  <c r="F1600" i="4"/>
  <c r="G1600" i="4" s="1"/>
  <c r="I1601" i="4"/>
  <c r="F1601" i="4"/>
  <c r="G1601" i="4" s="1"/>
  <c r="F1593" i="4"/>
  <c r="G1593" i="4" s="1"/>
  <c r="I1595" i="4"/>
  <c r="F1595" i="4"/>
  <c r="G1595" i="4" s="1"/>
  <c r="I1594" i="4"/>
  <c r="F1594" i="4"/>
  <c r="G1594" i="4" s="1"/>
  <c r="I1586" i="4"/>
  <c r="F1586" i="4"/>
  <c r="G1586" i="4" s="1"/>
  <c r="I1585" i="4"/>
  <c r="F1585" i="4"/>
  <c r="G1585" i="4" s="1"/>
  <c r="I1588" i="4"/>
  <c r="F1588" i="4"/>
  <c r="G1588" i="4" s="1"/>
  <c r="I1587" i="4"/>
  <c r="F1587" i="4"/>
  <c r="G1587" i="4" s="1"/>
  <c r="B1052" i="1"/>
  <c r="C1052" i="1"/>
  <c r="I1580" i="4"/>
  <c r="F1580" i="4"/>
  <c r="G1580" i="4" s="1"/>
  <c r="I1579" i="4"/>
  <c r="F1579" i="4"/>
  <c r="G1579" i="4" s="1"/>
  <c r="I1578" i="4"/>
  <c r="F1578" i="4"/>
  <c r="G1578" i="4" s="1"/>
  <c r="I1577" i="4"/>
  <c r="F1577" i="4"/>
  <c r="G1577" i="4" s="1"/>
  <c r="I1576" i="4"/>
  <c r="F1576" i="4"/>
  <c r="G1576" i="4" s="1"/>
  <c r="I1575" i="4"/>
  <c r="F1575" i="4"/>
  <c r="G1575" i="4" s="1"/>
  <c r="I1574" i="4"/>
  <c r="F1574" i="4"/>
  <c r="G1574" i="4" s="1"/>
  <c r="I1555" i="4"/>
  <c r="F1555" i="4"/>
  <c r="G1555" i="4" s="1"/>
  <c r="I1554" i="4"/>
  <c r="F1554" i="4"/>
  <c r="G1554" i="4" s="1"/>
  <c r="I1553" i="4"/>
  <c r="F1553" i="4"/>
  <c r="G1553" i="4" s="1"/>
  <c r="I1546" i="4"/>
  <c r="F1546" i="4"/>
  <c r="G1546" i="4" s="1"/>
  <c r="I1548" i="4"/>
  <c r="F1548" i="4"/>
  <c r="G1548" i="4" s="1"/>
  <c r="I1547" i="4"/>
  <c r="F1547" i="4"/>
  <c r="G1547" i="4" s="1"/>
  <c r="F1537" i="4"/>
  <c r="G1537" i="4" s="1"/>
  <c r="F1539" i="4"/>
  <c r="G1539" i="4" s="1"/>
  <c r="I1541" i="4"/>
  <c r="F1541" i="4"/>
  <c r="G1541" i="4" s="1"/>
  <c r="I1540" i="4"/>
  <c r="F1540" i="4"/>
  <c r="G1540" i="4" s="1"/>
  <c r="F1531" i="4"/>
  <c r="G1531" i="4" s="1"/>
  <c r="I1532" i="4"/>
  <c r="F1532" i="4"/>
  <c r="G1532" i="4" s="1"/>
  <c r="I1524" i="4"/>
  <c r="B1524" i="4" s="1"/>
  <c r="F1524" i="4"/>
  <c r="G1524" i="4" s="1"/>
  <c r="F1523" i="4"/>
  <c r="G1523" i="4" s="1"/>
  <c r="I1526" i="4"/>
  <c r="F1526" i="4"/>
  <c r="G1526" i="4" s="1"/>
  <c r="I1525" i="4"/>
  <c r="F1525" i="4"/>
  <c r="G1525" i="4" s="1"/>
  <c r="I1518" i="4"/>
  <c r="F1518" i="4"/>
  <c r="G1518" i="4" s="1"/>
  <c r="I1517" i="4"/>
  <c r="F1517" i="4"/>
  <c r="G1517" i="4" s="1"/>
  <c r="F1509" i="4"/>
  <c r="G1509" i="4" s="1"/>
  <c r="I1511" i="4"/>
  <c r="F1511" i="4"/>
  <c r="G1511" i="4" s="1"/>
  <c r="I1510" i="4"/>
  <c r="B1510" i="4" s="1"/>
  <c r="F1510" i="4"/>
  <c r="G1510" i="4" s="1"/>
  <c r="N1095" i="1"/>
  <c r="J1095" i="1"/>
  <c r="H1095" i="1" s="1"/>
  <c r="I1095" i="1" s="1"/>
  <c r="N1094" i="1"/>
  <c r="J1094" i="1"/>
  <c r="H1094" i="1" s="1"/>
  <c r="I1094" i="1" s="1"/>
  <c r="N1092" i="1"/>
  <c r="J1092" i="1"/>
  <c r="H1092" i="1" s="1"/>
  <c r="I1092" i="1" s="1"/>
  <c r="N1091" i="1"/>
  <c r="J1091" i="1"/>
  <c r="H1091" i="1" s="1"/>
  <c r="I1091" i="1" s="1"/>
  <c r="I445" i="15" l="1"/>
  <c r="O445" i="15"/>
  <c r="G1505" i="4"/>
  <c r="J1013" i="1" s="1"/>
  <c r="H1013" i="1" s="1"/>
  <c r="G1500" i="4"/>
  <c r="J1011" i="1" s="1"/>
  <c r="H1011" i="1" s="1"/>
  <c r="I1011" i="1" s="1"/>
  <c r="G1491" i="4"/>
  <c r="J1009" i="1" s="1"/>
  <c r="H1009" i="1" s="1"/>
  <c r="I1009" i="1" s="1"/>
  <c r="G1602" i="4"/>
  <c r="G1596" i="4"/>
  <c r="G1589" i="4"/>
  <c r="J1058" i="1" s="1"/>
  <c r="H1058" i="1" s="1"/>
  <c r="I1058" i="1" s="1"/>
  <c r="G1581" i="4"/>
  <c r="J1051" i="1" s="1"/>
  <c r="H1051" i="1" s="1"/>
  <c r="I1051" i="1" s="1"/>
  <c r="G1556" i="4"/>
  <c r="J1039" i="1" s="1"/>
  <c r="G1549" i="4"/>
  <c r="J1038" i="1" s="1"/>
  <c r="H1038" i="1" s="1"/>
  <c r="I1038" i="1" s="1"/>
  <c r="G1542" i="4"/>
  <c r="J1033" i="1" s="1"/>
  <c r="H1033" i="1" s="1"/>
  <c r="I1033" i="1" s="1"/>
  <c r="G1533" i="4"/>
  <c r="J1026" i="1" s="1"/>
  <c r="H1026" i="1" s="1"/>
  <c r="I1026" i="1" s="1"/>
  <c r="G1527" i="4"/>
  <c r="J1025" i="1" s="1"/>
  <c r="H1025" i="1" s="1"/>
  <c r="I1025" i="1" s="1"/>
  <c r="G1519" i="4"/>
  <c r="J1023" i="1" s="1"/>
  <c r="H1023" i="1" s="1"/>
  <c r="I1023" i="1" s="1"/>
  <c r="G1512" i="4"/>
  <c r="J1022" i="1" s="1"/>
  <c r="H1022" i="1" s="1"/>
  <c r="I1022" i="1" s="1"/>
  <c r="H1039" i="1" l="1"/>
  <c r="I1039" i="1" s="1"/>
  <c r="I1013" i="1"/>
  <c r="J1068" i="1"/>
  <c r="H1068" i="1" s="1"/>
  <c r="I1068" i="1" s="1"/>
  <c r="J873" i="15"/>
  <c r="H873" i="15" s="1"/>
  <c r="J1063" i="1"/>
  <c r="H1063" i="1" s="1"/>
  <c r="I1063" i="1" s="1"/>
  <c r="J868" i="15"/>
  <c r="H868" i="15" s="1"/>
  <c r="N1087" i="1"/>
  <c r="J1087" i="1"/>
  <c r="H1087" i="1" s="1"/>
  <c r="I1087" i="1" s="1"/>
  <c r="N1086" i="1"/>
  <c r="J1086" i="1"/>
  <c r="H1086" i="1" s="1"/>
  <c r="I1086" i="1" s="1"/>
  <c r="C1050" i="1"/>
  <c r="N1057" i="1"/>
  <c r="J1057" i="1"/>
  <c r="H1057" i="1" s="1"/>
  <c r="I1057" i="1" s="1"/>
  <c r="C1045" i="1"/>
  <c r="N1030" i="1"/>
  <c r="J1030" i="1"/>
  <c r="H1030" i="1" s="1"/>
  <c r="I1030" i="1" s="1"/>
  <c r="N1032" i="1"/>
  <c r="J1032" i="1"/>
  <c r="H1032" i="1" s="1"/>
  <c r="I1032" i="1" s="1"/>
  <c r="N1031" i="1"/>
  <c r="J1031" i="1"/>
  <c r="H1031" i="1" s="1"/>
  <c r="I1031" i="1" s="1"/>
  <c r="N1028" i="1"/>
  <c r="J1028" i="1"/>
  <c r="H1028" i="1" s="1"/>
  <c r="I1028" i="1" s="1"/>
  <c r="N1027" i="1"/>
  <c r="J1027" i="1"/>
  <c r="H1027" i="1" s="1"/>
  <c r="I1027" i="1" s="1"/>
  <c r="N1044" i="1"/>
  <c r="J1044" i="1"/>
  <c r="H1044" i="1" s="1"/>
  <c r="I1044" i="1" s="1"/>
  <c r="N1043" i="1"/>
  <c r="J1043" i="1"/>
  <c r="H1043" i="1" s="1"/>
  <c r="I1043" i="1" s="1"/>
  <c r="N1042" i="1"/>
  <c r="J1042" i="1"/>
  <c r="H1042" i="1" s="1"/>
  <c r="I1042" i="1" s="1"/>
  <c r="N1041" i="1"/>
  <c r="J1041" i="1"/>
  <c r="H1041" i="1" s="1"/>
  <c r="I1041" i="1" s="1"/>
  <c r="N1039" i="1"/>
  <c r="J1037" i="1"/>
  <c r="H1037" i="1" s="1"/>
  <c r="I1037" i="1" s="1"/>
  <c r="N1036" i="1"/>
  <c r="J1036" i="1"/>
  <c r="H1036" i="1" s="1"/>
  <c r="I1036" i="1" s="1"/>
  <c r="N1035" i="1"/>
  <c r="J1035" i="1"/>
  <c r="H1035" i="1" s="1"/>
  <c r="I1035" i="1" s="1"/>
  <c r="N1017" i="1"/>
  <c r="J1017" i="1"/>
  <c r="H1017" i="1" s="1"/>
  <c r="I1017" i="1" s="1"/>
  <c r="N1016" i="1"/>
  <c r="J1016" i="1"/>
  <c r="H1016" i="1" s="1"/>
  <c r="I1016" i="1" s="1"/>
  <c r="F1483" i="4"/>
  <c r="G1483" i="4" s="1"/>
  <c r="F1476" i="4"/>
  <c r="G1476" i="4" s="1"/>
  <c r="I1478" i="4"/>
  <c r="F1478" i="4"/>
  <c r="G1478" i="4" s="1"/>
  <c r="I1477" i="4"/>
  <c r="F1477" i="4"/>
  <c r="G1477" i="4" s="1"/>
  <c r="I1485" i="4"/>
  <c r="F1485" i="4"/>
  <c r="G1485" i="4" s="1"/>
  <c r="I1484" i="4"/>
  <c r="F1484" i="4"/>
  <c r="G1484" i="4" s="1"/>
  <c r="N999" i="1"/>
  <c r="J999" i="1"/>
  <c r="H999" i="1" s="1"/>
  <c r="I999" i="1" s="1"/>
  <c r="F1004" i="1"/>
  <c r="N994" i="1"/>
  <c r="J994" i="1"/>
  <c r="H994" i="1" s="1"/>
  <c r="I994" i="1" s="1"/>
  <c r="N1000" i="1"/>
  <c r="J1000" i="1"/>
  <c r="H1000" i="1" s="1"/>
  <c r="I1000" i="1" s="1"/>
  <c r="N1003" i="1"/>
  <c r="J1003" i="1"/>
  <c r="H1003" i="1" s="1"/>
  <c r="I1003" i="1" s="1"/>
  <c r="N1002" i="1"/>
  <c r="J1002" i="1"/>
  <c r="H1002" i="1" s="1"/>
  <c r="I1002" i="1" s="1"/>
  <c r="N1004" i="1"/>
  <c r="J1004" i="1"/>
  <c r="H1004" i="1" s="1"/>
  <c r="L1004" i="1" l="1"/>
  <c r="BF1004" i="1"/>
  <c r="BF987" i="1" s="1"/>
  <c r="I868" i="15"/>
  <c r="O868" i="15"/>
  <c r="I873" i="15"/>
  <c r="O873" i="15"/>
  <c r="I1004" i="1"/>
  <c r="G1479" i="4"/>
  <c r="G1486" i="4"/>
  <c r="I865" i="15" l="1"/>
  <c r="J996" i="1"/>
  <c r="H996" i="1" s="1"/>
  <c r="I996" i="1" s="1"/>
  <c r="J855" i="15"/>
  <c r="H855" i="15" s="1"/>
  <c r="J997" i="1"/>
  <c r="H997" i="1" s="1"/>
  <c r="I997" i="1" s="1"/>
  <c r="J856" i="15"/>
  <c r="H856" i="15" s="1"/>
  <c r="C982" i="1"/>
  <c r="C983" i="1"/>
  <c r="B985" i="1"/>
  <c r="D985" i="1"/>
  <c r="B981" i="1"/>
  <c r="C981" i="1"/>
  <c r="N965" i="1"/>
  <c r="J965" i="1"/>
  <c r="H965" i="1" s="1"/>
  <c r="I965" i="1" s="1"/>
  <c r="N964" i="1"/>
  <c r="J964" i="1"/>
  <c r="H964" i="1" s="1"/>
  <c r="I964" i="1" s="1"/>
  <c r="I1471" i="4"/>
  <c r="F1471" i="4"/>
  <c r="G1471" i="4" s="1"/>
  <c r="I1470" i="4"/>
  <c r="F1470" i="4"/>
  <c r="G1470" i="4" s="1"/>
  <c r="I1469" i="4"/>
  <c r="F1469" i="4"/>
  <c r="G1469" i="4" s="1"/>
  <c r="I1468" i="4"/>
  <c r="F1468" i="4"/>
  <c r="G1468" i="4" s="1"/>
  <c r="I1463" i="4"/>
  <c r="F1463" i="4"/>
  <c r="G1463" i="4" s="1"/>
  <c r="I1462" i="4"/>
  <c r="F1462" i="4"/>
  <c r="G1462" i="4" s="1"/>
  <c r="I1461" i="4"/>
  <c r="F1461" i="4"/>
  <c r="G1461" i="4" s="1"/>
  <c r="I1460" i="4"/>
  <c r="F1460" i="4"/>
  <c r="G1460" i="4" s="1"/>
  <c r="N927" i="1"/>
  <c r="J927" i="1"/>
  <c r="H927" i="1" s="1"/>
  <c r="I927" i="1" s="1"/>
  <c r="N942" i="1"/>
  <c r="J942" i="1"/>
  <c r="H942" i="1" s="1"/>
  <c r="I942" i="1" s="1"/>
  <c r="N950" i="1"/>
  <c r="J950" i="1"/>
  <c r="H950" i="1" s="1"/>
  <c r="I950" i="1" s="1"/>
  <c r="N949" i="1"/>
  <c r="J949" i="1"/>
  <c r="H949" i="1" s="1"/>
  <c r="I949" i="1" s="1"/>
  <c r="N948" i="1"/>
  <c r="J948" i="1"/>
  <c r="H948" i="1" s="1"/>
  <c r="I948" i="1" s="1"/>
  <c r="N935" i="1"/>
  <c r="J935" i="1"/>
  <c r="H935" i="1" s="1"/>
  <c r="I935" i="1" s="1"/>
  <c r="N934" i="1"/>
  <c r="J934" i="1"/>
  <c r="H934" i="1" s="1"/>
  <c r="I934" i="1" s="1"/>
  <c r="N933" i="1"/>
  <c r="J933" i="1"/>
  <c r="H933" i="1" s="1"/>
  <c r="I933" i="1" s="1"/>
  <c r="N928" i="1"/>
  <c r="J928" i="1"/>
  <c r="H928" i="1" s="1"/>
  <c r="I928" i="1" s="1"/>
  <c r="N936" i="1"/>
  <c r="J936" i="1"/>
  <c r="H936" i="1" s="1"/>
  <c r="I936" i="1" s="1"/>
  <c r="N943" i="1"/>
  <c r="J943" i="1"/>
  <c r="H943" i="1" s="1"/>
  <c r="I943" i="1" s="1"/>
  <c r="N946" i="1"/>
  <c r="N945" i="1"/>
  <c r="N951" i="1"/>
  <c r="J951" i="1"/>
  <c r="H951" i="1" s="1"/>
  <c r="I951" i="1" s="1"/>
  <c r="B952" i="1"/>
  <c r="F1453" i="4"/>
  <c r="G1453" i="4" s="1"/>
  <c r="I1455" i="4"/>
  <c r="F1455" i="4"/>
  <c r="G1455" i="4" s="1"/>
  <c r="I1454" i="4"/>
  <c r="F1454" i="4"/>
  <c r="G1454" i="4" s="1"/>
  <c r="F1446" i="4"/>
  <c r="G1446" i="4" s="1"/>
  <c r="I1448" i="4"/>
  <c r="F1448" i="4"/>
  <c r="G1448" i="4" s="1"/>
  <c r="I1447" i="4"/>
  <c r="F1447" i="4"/>
  <c r="G1447" i="4" s="1"/>
  <c r="I1432" i="4"/>
  <c r="F1432" i="4"/>
  <c r="G1432" i="4" s="1"/>
  <c r="F1439" i="4"/>
  <c r="G1439" i="4" s="1"/>
  <c r="I1441" i="4"/>
  <c r="F1441" i="4"/>
  <c r="G1441" i="4" s="1"/>
  <c r="I1440" i="4"/>
  <c r="F1440" i="4"/>
  <c r="G1440" i="4" s="1"/>
  <c r="I1434" i="4"/>
  <c r="F1434" i="4"/>
  <c r="G1434" i="4" s="1"/>
  <c r="I1433" i="4"/>
  <c r="F1433" i="4"/>
  <c r="G1433" i="4" s="1"/>
  <c r="I1427" i="4"/>
  <c r="F1427" i="4"/>
  <c r="G1427" i="4" s="1"/>
  <c r="I1426" i="4"/>
  <c r="F1426" i="4"/>
  <c r="G1426" i="4" s="1"/>
  <c r="I1425" i="4"/>
  <c r="F1425" i="4"/>
  <c r="G1425" i="4" s="1"/>
  <c r="I1424" i="4"/>
  <c r="F1424" i="4"/>
  <c r="G1424" i="4" s="1"/>
  <c r="I1417" i="4"/>
  <c r="B1417" i="4" s="1"/>
  <c r="I1419" i="4"/>
  <c r="I1418" i="4"/>
  <c r="I1412" i="4"/>
  <c r="I1411" i="4"/>
  <c r="F1417" i="4"/>
  <c r="G1417" i="4" s="1"/>
  <c r="F1419" i="4"/>
  <c r="G1419" i="4" s="1"/>
  <c r="F1418" i="4"/>
  <c r="G1418" i="4" s="1"/>
  <c r="F1410" i="4"/>
  <c r="G1410" i="4" s="1"/>
  <c r="F1412" i="4"/>
  <c r="G1412" i="4" s="1"/>
  <c r="F1411" i="4"/>
  <c r="G1411" i="4" s="1"/>
  <c r="D974" i="1"/>
  <c r="C974" i="1"/>
  <c r="N989" i="1"/>
  <c r="J989" i="1"/>
  <c r="H989" i="1" s="1"/>
  <c r="I989" i="1" s="1"/>
  <c r="N973" i="1"/>
  <c r="J973" i="1"/>
  <c r="H973" i="1" s="1"/>
  <c r="I973" i="1" s="1"/>
  <c r="N972" i="1"/>
  <c r="J972" i="1"/>
  <c r="H972" i="1" s="1"/>
  <c r="I972" i="1" s="1"/>
  <c r="N971" i="1"/>
  <c r="J971" i="1"/>
  <c r="H971" i="1" s="1"/>
  <c r="I971" i="1" s="1"/>
  <c r="N970" i="1"/>
  <c r="J970" i="1"/>
  <c r="H970" i="1" s="1"/>
  <c r="I970" i="1" s="1"/>
  <c r="N963" i="1"/>
  <c r="J963" i="1"/>
  <c r="H963" i="1" s="1"/>
  <c r="I963" i="1" s="1"/>
  <c r="N962" i="1"/>
  <c r="J962" i="1"/>
  <c r="H962" i="1" s="1"/>
  <c r="I962" i="1" s="1"/>
  <c r="N961" i="1"/>
  <c r="J961" i="1"/>
  <c r="H961" i="1" s="1"/>
  <c r="I961" i="1" s="1"/>
  <c r="N960" i="1"/>
  <c r="J960" i="1"/>
  <c r="H960" i="1" s="1"/>
  <c r="I960" i="1" s="1"/>
  <c r="N959" i="1"/>
  <c r="J959" i="1"/>
  <c r="H959" i="1" s="1"/>
  <c r="I959" i="1" s="1"/>
  <c r="N958" i="1"/>
  <c r="J958" i="1"/>
  <c r="H958" i="1" s="1"/>
  <c r="I958" i="1" s="1"/>
  <c r="N923" i="1"/>
  <c r="J923" i="1"/>
  <c r="H923" i="1" s="1"/>
  <c r="I923" i="1" s="1"/>
  <c r="N922" i="1"/>
  <c r="J922" i="1"/>
  <c r="H922" i="1" s="1"/>
  <c r="I922" i="1" s="1"/>
  <c r="N921" i="1"/>
  <c r="J921" i="1"/>
  <c r="H921" i="1" s="1"/>
  <c r="I921" i="1" s="1"/>
  <c r="N924" i="1"/>
  <c r="J924" i="1"/>
  <c r="H924" i="1" s="1"/>
  <c r="I924" i="1" s="1"/>
  <c r="N920" i="1"/>
  <c r="J920" i="1"/>
  <c r="H920" i="1" s="1"/>
  <c r="I920" i="1" s="1"/>
  <c r="N918" i="1"/>
  <c r="J918" i="1"/>
  <c r="H918" i="1" s="1"/>
  <c r="I918" i="1" s="1"/>
  <c r="N909" i="1"/>
  <c r="J909" i="1"/>
  <c r="H909" i="1" s="1"/>
  <c r="I909" i="1" s="1"/>
  <c r="N915" i="1"/>
  <c r="J915" i="1"/>
  <c r="H915" i="1" s="1"/>
  <c r="I915" i="1" s="1"/>
  <c r="N914" i="1"/>
  <c r="J914" i="1"/>
  <c r="H914" i="1" s="1"/>
  <c r="I914" i="1" s="1"/>
  <c r="N913" i="1"/>
  <c r="J913" i="1"/>
  <c r="H913" i="1" s="1"/>
  <c r="I913" i="1" s="1"/>
  <c r="N916" i="1"/>
  <c r="J916" i="1"/>
  <c r="H916" i="1" s="1"/>
  <c r="I916" i="1" s="1"/>
  <c r="N912" i="1"/>
  <c r="J912" i="1"/>
  <c r="H912" i="1" s="1"/>
  <c r="I912" i="1" s="1"/>
  <c r="N905" i="1"/>
  <c r="J905" i="1"/>
  <c r="H905" i="1" s="1"/>
  <c r="I905" i="1" s="1"/>
  <c r="N900" i="1"/>
  <c r="J900" i="1"/>
  <c r="H900" i="1" s="1"/>
  <c r="I900" i="1" s="1"/>
  <c r="N907" i="1"/>
  <c r="J907" i="1"/>
  <c r="H907" i="1" s="1"/>
  <c r="I907" i="1" s="1"/>
  <c r="N906" i="1"/>
  <c r="J906" i="1"/>
  <c r="H906" i="1" s="1"/>
  <c r="I906" i="1" s="1"/>
  <c r="N902" i="1"/>
  <c r="J902" i="1"/>
  <c r="H902" i="1" s="1"/>
  <c r="I902" i="1" s="1"/>
  <c r="N901" i="1"/>
  <c r="J901" i="1"/>
  <c r="H901" i="1" s="1"/>
  <c r="I901" i="1" s="1"/>
  <c r="N904" i="1"/>
  <c r="J904" i="1"/>
  <c r="H904" i="1" s="1"/>
  <c r="I904" i="1" s="1"/>
  <c r="N899" i="1"/>
  <c r="J899" i="1"/>
  <c r="H899" i="1" s="1"/>
  <c r="I899" i="1" s="1"/>
  <c r="N894" i="1"/>
  <c r="J894" i="1"/>
  <c r="H894" i="1" s="1"/>
  <c r="I894" i="1" s="1"/>
  <c r="N890" i="1"/>
  <c r="J890" i="1"/>
  <c r="H890" i="1" s="1"/>
  <c r="I890" i="1" s="1"/>
  <c r="N895" i="1"/>
  <c r="J895" i="1"/>
  <c r="H895" i="1" s="1"/>
  <c r="I895" i="1" s="1"/>
  <c r="N897" i="1"/>
  <c r="J897" i="1"/>
  <c r="H897" i="1" s="1"/>
  <c r="I897" i="1" s="1"/>
  <c r="N896" i="1"/>
  <c r="J896" i="1"/>
  <c r="H896" i="1" s="1"/>
  <c r="I896" i="1" s="1"/>
  <c r="N892" i="1"/>
  <c r="J892" i="1"/>
  <c r="H892" i="1" s="1"/>
  <c r="I892" i="1" s="1"/>
  <c r="N891" i="1"/>
  <c r="J891" i="1"/>
  <c r="H891" i="1" s="1"/>
  <c r="I891" i="1" s="1"/>
  <c r="N889" i="1"/>
  <c r="J889" i="1"/>
  <c r="H889" i="1" s="1"/>
  <c r="I889" i="1" s="1"/>
  <c r="N885" i="1"/>
  <c r="J885" i="1"/>
  <c r="H885" i="1" s="1"/>
  <c r="I885" i="1" s="1"/>
  <c r="N887" i="1"/>
  <c r="J887" i="1"/>
  <c r="H887" i="1" s="1"/>
  <c r="I887" i="1" s="1"/>
  <c r="N886" i="1"/>
  <c r="J886" i="1"/>
  <c r="H886" i="1" s="1"/>
  <c r="I886" i="1" s="1"/>
  <c r="N877" i="1"/>
  <c r="J877" i="1"/>
  <c r="H877" i="1" s="1"/>
  <c r="I877" i="1" s="1"/>
  <c r="N876" i="1"/>
  <c r="J876" i="1"/>
  <c r="H876" i="1" s="1"/>
  <c r="I876" i="1" s="1"/>
  <c r="N874" i="1"/>
  <c r="J874" i="1"/>
  <c r="H874" i="1" s="1"/>
  <c r="I874" i="1" s="1"/>
  <c r="B875" i="1"/>
  <c r="N872" i="1"/>
  <c r="J872" i="1"/>
  <c r="H872" i="1" s="1"/>
  <c r="I872" i="1" s="1"/>
  <c r="N871" i="1"/>
  <c r="J871" i="1"/>
  <c r="H871" i="1" s="1"/>
  <c r="I871" i="1" s="1"/>
  <c r="N870" i="1"/>
  <c r="J870" i="1"/>
  <c r="H870" i="1" s="1"/>
  <c r="I870" i="1" s="1"/>
  <c r="N869" i="1"/>
  <c r="J869" i="1"/>
  <c r="H869" i="1" s="1"/>
  <c r="I869" i="1" s="1"/>
  <c r="N868" i="1"/>
  <c r="J868" i="1"/>
  <c r="H868" i="1" s="1"/>
  <c r="I868" i="1" s="1"/>
  <c r="N867" i="1"/>
  <c r="J867" i="1"/>
  <c r="H867" i="1" s="1"/>
  <c r="I867" i="1" s="1"/>
  <c r="N866" i="1"/>
  <c r="J866" i="1"/>
  <c r="H866" i="1" s="1"/>
  <c r="I866" i="1" s="1"/>
  <c r="N865" i="1"/>
  <c r="J865" i="1"/>
  <c r="H865" i="1" s="1"/>
  <c r="I865" i="1" s="1"/>
  <c r="N864" i="1"/>
  <c r="J864" i="1"/>
  <c r="H864" i="1" s="1"/>
  <c r="I864" i="1" s="1"/>
  <c r="N862" i="1"/>
  <c r="J862" i="1"/>
  <c r="H862" i="1" s="1"/>
  <c r="I862" i="1" s="1"/>
  <c r="N859" i="1"/>
  <c r="J859" i="1"/>
  <c r="H859" i="1" s="1"/>
  <c r="I859" i="1" s="1"/>
  <c r="N858" i="1"/>
  <c r="J858" i="1"/>
  <c r="H858" i="1" s="1"/>
  <c r="I858" i="1" s="1"/>
  <c r="N857" i="1"/>
  <c r="J857" i="1"/>
  <c r="H857" i="1" s="1"/>
  <c r="I857" i="1" s="1"/>
  <c r="N856" i="1"/>
  <c r="J856" i="1"/>
  <c r="H856" i="1" s="1"/>
  <c r="I856" i="1" s="1"/>
  <c r="N860" i="1"/>
  <c r="J860" i="1"/>
  <c r="H860" i="1" s="1"/>
  <c r="I860" i="1" s="1"/>
  <c r="N855" i="1"/>
  <c r="J855" i="1"/>
  <c r="H855" i="1" s="1"/>
  <c r="I855" i="1" s="1"/>
  <c r="N854" i="1"/>
  <c r="J854" i="1"/>
  <c r="H854" i="1" s="1"/>
  <c r="I854" i="1" s="1"/>
  <c r="N853" i="1"/>
  <c r="J853" i="1"/>
  <c r="H853" i="1" s="1"/>
  <c r="I853" i="1" s="1"/>
  <c r="N852" i="1"/>
  <c r="J852" i="1"/>
  <c r="H852" i="1" s="1"/>
  <c r="I852" i="1" s="1"/>
  <c r="N850" i="1"/>
  <c r="J850" i="1"/>
  <c r="H850" i="1" s="1"/>
  <c r="I850" i="1" s="1"/>
  <c r="N838" i="1"/>
  <c r="J838" i="1"/>
  <c r="H838" i="1" s="1"/>
  <c r="I838" i="1" s="1"/>
  <c r="N840" i="1"/>
  <c r="J840" i="1"/>
  <c r="H840" i="1" s="1"/>
  <c r="I840" i="1" s="1"/>
  <c r="N839" i="1"/>
  <c r="J839" i="1"/>
  <c r="H839" i="1" s="1"/>
  <c r="I839" i="1" s="1"/>
  <c r="N835" i="1"/>
  <c r="J835" i="1"/>
  <c r="H835" i="1" s="1"/>
  <c r="I835" i="1" s="1"/>
  <c r="N837" i="1"/>
  <c r="J837" i="1"/>
  <c r="H837" i="1" s="1"/>
  <c r="I837" i="1" s="1"/>
  <c r="N848" i="1"/>
  <c r="J848" i="1"/>
  <c r="H848" i="1" s="1"/>
  <c r="I848" i="1" s="1"/>
  <c r="N847" i="1"/>
  <c r="J847" i="1"/>
  <c r="H847" i="1" s="1"/>
  <c r="I847" i="1" s="1"/>
  <c r="N846" i="1"/>
  <c r="J846" i="1"/>
  <c r="H846" i="1" s="1"/>
  <c r="I846" i="1" s="1"/>
  <c r="N845" i="1"/>
  <c r="J845" i="1"/>
  <c r="H845" i="1" s="1"/>
  <c r="I845" i="1" s="1"/>
  <c r="N844" i="1"/>
  <c r="J844" i="1"/>
  <c r="H844" i="1" s="1"/>
  <c r="I844" i="1" s="1"/>
  <c r="N843" i="1"/>
  <c r="J843" i="1"/>
  <c r="H843" i="1" s="1"/>
  <c r="I843" i="1" s="1"/>
  <c r="N842" i="1"/>
  <c r="J842" i="1"/>
  <c r="H842" i="1" s="1"/>
  <c r="I842" i="1" s="1"/>
  <c r="N841" i="1"/>
  <c r="J841" i="1"/>
  <c r="H841" i="1" s="1"/>
  <c r="I841" i="1" s="1"/>
  <c r="N820" i="1"/>
  <c r="J820" i="1"/>
  <c r="H820" i="1" s="1"/>
  <c r="I820" i="1" s="1"/>
  <c r="N823" i="1"/>
  <c r="J823" i="1"/>
  <c r="H823" i="1" s="1"/>
  <c r="I823" i="1" s="1"/>
  <c r="N824" i="1"/>
  <c r="J824" i="1"/>
  <c r="H824" i="1" s="1"/>
  <c r="I824" i="1" s="1"/>
  <c r="N832" i="1"/>
  <c r="J832" i="1"/>
  <c r="H832" i="1" s="1"/>
  <c r="I832" i="1" s="1"/>
  <c r="N831" i="1"/>
  <c r="J831" i="1"/>
  <c r="H831" i="1" s="1"/>
  <c r="I831" i="1" s="1"/>
  <c r="N830" i="1"/>
  <c r="J830" i="1"/>
  <c r="H830" i="1" s="1"/>
  <c r="I830" i="1" s="1"/>
  <c r="N829" i="1"/>
  <c r="J829" i="1"/>
  <c r="H829" i="1" s="1"/>
  <c r="I829" i="1" s="1"/>
  <c r="N828" i="1"/>
  <c r="J828" i="1"/>
  <c r="H828" i="1" s="1"/>
  <c r="I828" i="1" s="1"/>
  <c r="N827" i="1"/>
  <c r="J827" i="1"/>
  <c r="H827" i="1" s="1"/>
  <c r="I827" i="1" s="1"/>
  <c r="N826" i="1"/>
  <c r="J826" i="1"/>
  <c r="H826" i="1" s="1"/>
  <c r="I826" i="1" s="1"/>
  <c r="N825" i="1"/>
  <c r="J825" i="1"/>
  <c r="H825" i="1" s="1"/>
  <c r="I825" i="1" s="1"/>
  <c r="N833" i="1"/>
  <c r="J833" i="1"/>
  <c r="H833" i="1" s="1"/>
  <c r="I833" i="1" s="1"/>
  <c r="N822" i="1"/>
  <c r="J822" i="1"/>
  <c r="H822" i="1" s="1"/>
  <c r="I822" i="1" s="1"/>
  <c r="C807" i="1"/>
  <c r="N812" i="1"/>
  <c r="J812" i="1"/>
  <c r="H812" i="1" s="1"/>
  <c r="I812" i="1" s="1"/>
  <c r="N817" i="1"/>
  <c r="J817" i="1"/>
  <c r="H817" i="1" s="1"/>
  <c r="I817" i="1" s="1"/>
  <c r="N816" i="1"/>
  <c r="J816" i="1"/>
  <c r="H816" i="1" s="1"/>
  <c r="I816" i="1" s="1"/>
  <c r="N815" i="1"/>
  <c r="J815" i="1"/>
  <c r="H815" i="1" s="1"/>
  <c r="I815" i="1" s="1"/>
  <c r="N814" i="1"/>
  <c r="J814" i="1"/>
  <c r="H814" i="1" s="1"/>
  <c r="I814" i="1" s="1"/>
  <c r="N813" i="1"/>
  <c r="J813" i="1"/>
  <c r="H813" i="1" s="1"/>
  <c r="I813" i="1" s="1"/>
  <c r="N818" i="1"/>
  <c r="J818" i="1"/>
  <c r="H818" i="1" s="1"/>
  <c r="I818" i="1" s="1"/>
  <c r="N811" i="1"/>
  <c r="J811" i="1"/>
  <c r="H811" i="1" s="1"/>
  <c r="I811" i="1" s="1"/>
  <c r="N810" i="1"/>
  <c r="J810" i="1"/>
  <c r="H810" i="1" s="1"/>
  <c r="I810" i="1" s="1"/>
  <c r="N809" i="1"/>
  <c r="J809" i="1"/>
  <c r="H809" i="1" s="1"/>
  <c r="I809" i="1" s="1"/>
  <c r="N799" i="1"/>
  <c r="J799" i="1"/>
  <c r="H799" i="1" s="1"/>
  <c r="I799" i="1" s="1"/>
  <c r="N804" i="1"/>
  <c r="J804" i="1"/>
  <c r="H804" i="1" s="1"/>
  <c r="I804" i="1" s="1"/>
  <c r="N803" i="1"/>
  <c r="J803" i="1"/>
  <c r="H803" i="1" s="1"/>
  <c r="I803" i="1" s="1"/>
  <c r="N802" i="1"/>
  <c r="J802" i="1"/>
  <c r="H802" i="1" s="1"/>
  <c r="I802" i="1" s="1"/>
  <c r="N801" i="1"/>
  <c r="J801" i="1"/>
  <c r="H801" i="1" s="1"/>
  <c r="I801" i="1" s="1"/>
  <c r="N800" i="1"/>
  <c r="J800" i="1"/>
  <c r="H800" i="1" s="1"/>
  <c r="I800" i="1" s="1"/>
  <c r="N805" i="1"/>
  <c r="J805" i="1"/>
  <c r="H805" i="1" s="1"/>
  <c r="I805" i="1" s="1"/>
  <c r="N798" i="1"/>
  <c r="J798" i="1"/>
  <c r="H798" i="1" s="1"/>
  <c r="I798" i="1" s="1"/>
  <c r="N797" i="1"/>
  <c r="J797" i="1"/>
  <c r="H797" i="1" s="1"/>
  <c r="I797" i="1" s="1"/>
  <c r="N795" i="1"/>
  <c r="J795" i="1"/>
  <c r="H795" i="1" s="1"/>
  <c r="I795" i="1" s="1"/>
  <c r="N792" i="1"/>
  <c r="J792" i="1"/>
  <c r="H792" i="1" s="1"/>
  <c r="I792" i="1" s="1"/>
  <c r="N791" i="1"/>
  <c r="J791" i="1"/>
  <c r="H791" i="1" s="1"/>
  <c r="I791" i="1" s="1"/>
  <c r="N790" i="1"/>
  <c r="J790" i="1"/>
  <c r="H790" i="1" s="1"/>
  <c r="I790" i="1" s="1"/>
  <c r="N789" i="1"/>
  <c r="J789" i="1"/>
  <c r="H789" i="1" s="1"/>
  <c r="I789" i="1" s="1"/>
  <c r="N788" i="1"/>
  <c r="J788" i="1"/>
  <c r="H788" i="1" s="1"/>
  <c r="I788" i="1" s="1"/>
  <c r="N793" i="1"/>
  <c r="J793" i="1"/>
  <c r="H793" i="1" s="1"/>
  <c r="I793" i="1" s="1"/>
  <c r="D785" i="1"/>
  <c r="B785" i="1"/>
  <c r="C785" i="1"/>
  <c r="C783" i="1"/>
  <c r="C796" i="1" s="1"/>
  <c r="C808" i="1" s="1"/>
  <c r="C821" i="1" s="1"/>
  <c r="C836" i="1" s="1"/>
  <c r="C851" i="1" s="1"/>
  <c r="C863" i="1" s="1"/>
  <c r="C875" i="1" s="1"/>
  <c r="N787" i="1"/>
  <c r="J787" i="1"/>
  <c r="H787" i="1" s="1"/>
  <c r="I787" i="1" s="1"/>
  <c r="N786" i="1"/>
  <c r="J786" i="1"/>
  <c r="H786" i="1" s="1"/>
  <c r="I786" i="1" s="1"/>
  <c r="N784" i="1"/>
  <c r="J784" i="1"/>
  <c r="H784" i="1" s="1"/>
  <c r="I784" i="1" s="1"/>
  <c r="B783" i="1"/>
  <c r="B796" i="1" s="1"/>
  <c r="B808" i="1" s="1"/>
  <c r="B821" i="1" s="1"/>
  <c r="B836" i="1" s="1"/>
  <c r="B851" i="1" s="1"/>
  <c r="N782" i="1"/>
  <c r="J782" i="1"/>
  <c r="H782" i="1" s="1"/>
  <c r="I782" i="1" s="1"/>
  <c r="N770" i="1"/>
  <c r="J770" i="1"/>
  <c r="H770" i="1" s="1"/>
  <c r="I770" i="1" s="1"/>
  <c r="N777" i="1"/>
  <c r="J777" i="1"/>
  <c r="H777" i="1" s="1"/>
  <c r="I777" i="1" s="1"/>
  <c r="N776" i="1"/>
  <c r="J776" i="1"/>
  <c r="H776" i="1" s="1"/>
  <c r="I776" i="1" s="1"/>
  <c r="N779" i="1"/>
  <c r="J779" i="1"/>
  <c r="H779" i="1" s="1"/>
  <c r="I779" i="1" s="1"/>
  <c r="N778" i="1"/>
  <c r="J778" i="1"/>
  <c r="H778" i="1" s="1"/>
  <c r="I778" i="1" s="1"/>
  <c r="N780" i="1"/>
  <c r="J780" i="1"/>
  <c r="H780" i="1" s="1"/>
  <c r="I780" i="1" s="1"/>
  <c r="N775" i="1"/>
  <c r="J775" i="1"/>
  <c r="H775" i="1" s="1"/>
  <c r="I775" i="1" s="1"/>
  <c r="N774" i="1"/>
  <c r="J774" i="1"/>
  <c r="H774" i="1" s="1"/>
  <c r="I774" i="1" s="1"/>
  <c r="N773" i="1"/>
  <c r="J773" i="1"/>
  <c r="H773" i="1" s="1"/>
  <c r="I773" i="1" s="1"/>
  <c r="N766" i="1"/>
  <c r="J766" i="1"/>
  <c r="H766" i="1" s="1"/>
  <c r="I766" i="1" s="1"/>
  <c r="N765" i="1"/>
  <c r="J765" i="1"/>
  <c r="H765" i="1" s="1"/>
  <c r="I765" i="1" s="1"/>
  <c r="N768" i="1"/>
  <c r="J768" i="1"/>
  <c r="H768" i="1" s="1"/>
  <c r="I768" i="1" s="1"/>
  <c r="N767" i="1"/>
  <c r="J767" i="1"/>
  <c r="H767" i="1" s="1"/>
  <c r="I767" i="1" s="1"/>
  <c r="N761" i="1"/>
  <c r="J761" i="1"/>
  <c r="H761" i="1" s="1"/>
  <c r="I761" i="1" s="1"/>
  <c r="N759" i="1"/>
  <c r="J759" i="1"/>
  <c r="H759" i="1" s="1"/>
  <c r="I759" i="1" s="1"/>
  <c r="N760" i="1"/>
  <c r="J760" i="1"/>
  <c r="H760" i="1" s="1"/>
  <c r="I760" i="1" s="1"/>
  <c r="N758" i="1"/>
  <c r="J758" i="1"/>
  <c r="H758" i="1" s="1"/>
  <c r="I758" i="1" s="1"/>
  <c r="N757" i="1"/>
  <c r="J757" i="1"/>
  <c r="H757" i="1" s="1"/>
  <c r="I757" i="1" s="1"/>
  <c r="B756" i="1"/>
  <c r="B764" i="1" s="1"/>
  <c r="B755" i="1"/>
  <c r="B763" i="1" s="1"/>
  <c r="D756" i="1"/>
  <c r="D764" i="1" s="1"/>
  <c r="D755" i="1"/>
  <c r="D763" i="1" s="1"/>
  <c r="F1403" i="4"/>
  <c r="G1403" i="4" s="1"/>
  <c r="F1405" i="4"/>
  <c r="G1405" i="4" s="1"/>
  <c r="F1404" i="4"/>
  <c r="G1404" i="4" s="1"/>
  <c r="F1397" i="4"/>
  <c r="G1397" i="4" s="1"/>
  <c r="F1398" i="4"/>
  <c r="G1398" i="4" s="1"/>
  <c r="N753" i="1"/>
  <c r="J753" i="1"/>
  <c r="H753" i="1" s="1"/>
  <c r="I753" i="1" s="1"/>
  <c r="N752" i="1"/>
  <c r="J752" i="1"/>
  <c r="H752" i="1" s="1"/>
  <c r="I752" i="1" s="1"/>
  <c r="N751" i="1"/>
  <c r="J751" i="1"/>
  <c r="H751" i="1" s="1"/>
  <c r="I751" i="1" s="1"/>
  <c r="N750" i="1"/>
  <c r="J750" i="1"/>
  <c r="H750" i="1" s="1"/>
  <c r="I750" i="1" s="1"/>
  <c r="N749" i="1"/>
  <c r="J749" i="1"/>
  <c r="H749" i="1" s="1"/>
  <c r="I749" i="1" s="1"/>
  <c r="C709" i="1"/>
  <c r="C708" i="1"/>
  <c r="D709" i="1"/>
  <c r="D708" i="1"/>
  <c r="F1392" i="4"/>
  <c r="G1392" i="4" s="1"/>
  <c r="F1391" i="4"/>
  <c r="G1391" i="4" s="1"/>
  <c r="I856" i="15" l="1"/>
  <c r="O856" i="15"/>
  <c r="I855" i="15"/>
  <c r="O855" i="15"/>
  <c r="G1472" i="4"/>
  <c r="G1464" i="4"/>
  <c r="G1456" i="4"/>
  <c r="G1442" i="4"/>
  <c r="G1420" i="4"/>
  <c r="G1449" i="4"/>
  <c r="G1435" i="4"/>
  <c r="G1428" i="4"/>
  <c r="G1413" i="4"/>
  <c r="G1406" i="4"/>
  <c r="J748" i="1" s="1"/>
  <c r="J756" i="1" s="1"/>
  <c r="H756" i="1" s="1"/>
  <c r="I756" i="1" s="1"/>
  <c r="G1399" i="4"/>
  <c r="J781" i="15" s="1"/>
  <c r="G1393" i="4"/>
  <c r="F1382" i="4"/>
  <c r="G1382" i="4" s="1"/>
  <c r="F1384" i="4"/>
  <c r="G1384" i="4" s="1"/>
  <c r="F1383" i="4"/>
  <c r="G1383" i="4" s="1"/>
  <c r="N691" i="1"/>
  <c r="J691" i="1"/>
  <c r="H691" i="1" s="1"/>
  <c r="I691" i="1" s="1"/>
  <c r="N686" i="1"/>
  <c r="J686" i="1"/>
  <c r="H686" i="1" s="1"/>
  <c r="I686" i="1" s="1"/>
  <c r="I846" i="15" l="1"/>
  <c r="J880" i="1"/>
  <c r="H880" i="1" s="1"/>
  <c r="I880" i="1" s="1"/>
  <c r="J757" i="15"/>
  <c r="H757" i="15" s="1"/>
  <c r="J769" i="15"/>
  <c r="H769" i="15" s="1"/>
  <c r="J784" i="15"/>
  <c r="H784" i="15" s="1"/>
  <c r="J755" i="15"/>
  <c r="H755" i="15" s="1"/>
  <c r="J756" i="15"/>
  <c r="H756" i="15" s="1"/>
  <c r="J787" i="15"/>
  <c r="H787" i="15" s="1"/>
  <c r="J772" i="15"/>
  <c r="H772" i="15" s="1"/>
  <c r="J946" i="1"/>
  <c r="H946" i="1" s="1"/>
  <c r="I946" i="1" s="1"/>
  <c r="J771" i="15"/>
  <c r="H771" i="15" s="1"/>
  <c r="J786" i="15"/>
  <c r="H786" i="15" s="1"/>
  <c r="J793" i="15"/>
  <c r="H793" i="15" s="1"/>
  <c r="J760" i="15"/>
  <c r="H760" i="15" s="1"/>
  <c r="J778" i="15"/>
  <c r="H778" i="15" s="1"/>
  <c r="J770" i="15"/>
  <c r="H770" i="15" s="1"/>
  <c r="J785" i="15"/>
  <c r="H785" i="15" s="1"/>
  <c r="J766" i="15"/>
  <c r="H766" i="15" s="1"/>
  <c r="H781" i="15"/>
  <c r="J792" i="15"/>
  <c r="H792" i="15" s="1"/>
  <c r="J777" i="15"/>
  <c r="H777" i="15" s="1"/>
  <c r="J758" i="15"/>
  <c r="H758" i="15" s="1"/>
  <c r="J884" i="1"/>
  <c r="H884" i="1" s="1"/>
  <c r="I884" i="1" s="1"/>
  <c r="J779" i="15"/>
  <c r="H779" i="15" s="1"/>
  <c r="J794" i="15"/>
  <c r="H794" i="15" s="1"/>
  <c r="J761" i="15"/>
  <c r="H761" i="15" s="1"/>
  <c r="J692" i="1"/>
  <c r="H692" i="1" s="1"/>
  <c r="I692" i="1" s="1"/>
  <c r="J611" i="15"/>
  <c r="H611" i="15" s="1"/>
  <c r="J882" i="1"/>
  <c r="H882" i="1" s="1"/>
  <c r="I882" i="1" s="1"/>
  <c r="J759" i="15"/>
  <c r="H759" i="15" s="1"/>
  <c r="J931" i="1"/>
  <c r="H931" i="1" s="1"/>
  <c r="I931" i="1" s="1"/>
  <c r="J930" i="1"/>
  <c r="H930" i="1" s="1"/>
  <c r="I930" i="1" s="1"/>
  <c r="J945" i="1"/>
  <c r="H945" i="1" s="1"/>
  <c r="I945" i="1" s="1"/>
  <c r="J939" i="1"/>
  <c r="H939" i="1" s="1"/>
  <c r="I939" i="1" s="1"/>
  <c r="J883" i="1"/>
  <c r="H883" i="1" s="1"/>
  <c r="I883" i="1" s="1"/>
  <c r="J938" i="1"/>
  <c r="J881" i="1"/>
  <c r="H881" i="1" s="1"/>
  <c r="I881" i="1" s="1"/>
  <c r="J937" i="1"/>
  <c r="J747" i="1"/>
  <c r="J755" i="1" s="1"/>
  <c r="J941" i="1"/>
  <c r="H941" i="1" s="1"/>
  <c r="I941" i="1" s="1"/>
  <c r="J926" i="1"/>
  <c r="H926" i="1" s="1"/>
  <c r="I926" i="1" s="1"/>
  <c r="J878" i="1"/>
  <c r="H878" i="1" s="1"/>
  <c r="I878" i="1" s="1"/>
  <c r="J929" i="1"/>
  <c r="H929" i="1" s="1"/>
  <c r="I929" i="1" s="1"/>
  <c r="J944" i="1"/>
  <c r="H944" i="1" s="1"/>
  <c r="I944" i="1" s="1"/>
  <c r="J879" i="1"/>
  <c r="H879" i="1" s="1"/>
  <c r="I879" i="1" s="1"/>
  <c r="J947" i="1"/>
  <c r="H947" i="1" s="1"/>
  <c r="I947" i="1" s="1"/>
  <c r="J932" i="1"/>
  <c r="H932" i="1" s="1"/>
  <c r="I932" i="1" s="1"/>
  <c r="J764" i="1"/>
  <c r="H764" i="1" s="1"/>
  <c r="I764" i="1" s="1"/>
  <c r="H748" i="1"/>
  <c r="I748" i="1" s="1"/>
  <c r="G1385" i="4"/>
  <c r="I772" i="15" l="1"/>
  <c r="O772" i="15"/>
  <c r="I785" i="15"/>
  <c r="O785" i="15"/>
  <c r="I779" i="15"/>
  <c r="O779" i="15"/>
  <c r="I778" i="15"/>
  <c r="O778" i="15"/>
  <c r="I760" i="15"/>
  <c r="O760" i="15"/>
  <c r="I793" i="15"/>
  <c r="O793" i="15"/>
  <c r="I784" i="15"/>
  <c r="O784" i="15"/>
  <c r="I787" i="15"/>
  <c r="O787" i="15"/>
  <c r="I759" i="15"/>
  <c r="O759" i="15"/>
  <c r="I769" i="15"/>
  <c r="O769" i="15"/>
  <c r="I755" i="15"/>
  <c r="O755" i="15"/>
  <c r="I611" i="15"/>
  <c r="O611" i="15"/>
  <c r="I786" i="15"/>
  <c r="O786" i="15"/>
  <c r="I781" i="15"/>
  <c r="O781" i="15"/>
  <c r="I771" i="15"/>
  <c r="O771" i="15"/>
  <c r="I757" i="15"/>
  <c r="O757" i="15"/>
  <c r="I794" i="15"/>
  <c r="O794" i="15"/>
  <c r="I770" i="15"/>
  <c r="O770" i="15"/>
  <c r="I756" i="15"/>
  <c r="O756" i="15"/>
  <c r="I758" i="15"/>
  <c r="O758" i="15"/>
  <c r="I777" i="15"/>
  <c r="O777" i="15"/>
  <c r="I792" i="15"/>
  <c r="O792" i="15"/>
  <c r="I761" i="15"/>
  <c r="O761" i="15"/>
  <c r="I766" i="15"/>
  <c r="O766" i="15"/>
  <c r="J689" i="1"/>
  <c r="H689" i="1" s="1"/>
  <c r="I689" i="1" s="1"/>
  <c r="J610" i="15"/>
  <c r="H610" i="15" s="1"/>
  <c r="J954" i="1"/>
  <c r="H954" i="1" s="1"/>
  <c r="I954" i="1" s="1"/>
  <c r="H747" i="1"/>
  <c r="I747" i="1" s="1"/>
  <c r="J952" i="1"/>
  <c r="H952" i="1" s="1"/>
  <c r="I952" i="1" s="1"/>
  <c r="H937" i="1"/>
  <c r="I937" i="1" s="1"/>
  <c r="H938" i="1"/>
  <c r="I938" i="1" s="1"/>
  <c r="J953" i="1"/>
  <c r="H953" i="1" s="1"/>
  <c r="I953" i="1" s="1"/>
  <c r="H755" i="1"/>
  <c r="I755" i="1" s="1"/>
  <c r="J763" i="1"/>
  <c r="H763" i="1" s="1"/>
  <c r="I763" i="1" s="1"/>
  <c r="F1377" i="4"/>
  <c r="G1377" i="4" s="1"/>
  <c r="F1376" i="4"/>
  <c r="G1376" i="4" s="1"/>
  <c r="F1375" i="4"/>
  <c r="G1375" i="4" s="1"/>
  <c r="F1370" i="4"/>
  <c r="G1370" i="4" s="1"/>
  <c r="F1369" i="4"/>
  <c r="G1369" i="4" s="1"/>
  <c r="F1368" i="4"/>
  <c r="G1368" i="4" s="1"/>
  <c r="I1363" i="4"/>
  <c r="F1363" i="4"/>
  <c r="G1363" i="4" s="1"/>
  <c r="I1362" i="4"/>
  <c r="F1362" i="4"/>
  <c r="G1362" i="4" s="1"/>
  <c r="I1356" i="4"/>
  <c r="F1356" i="4"/>
  <c r="G1356" i="4" s="1"/>
  <c r="I1355" i="4"/>
  <c r="F1355" i="4"/>
  <c r="G1355" i="4" s="1"/>
  <c r="C634" i="1"/>
  <c r="C710" i="1" s="1"/>
  <c r="C633" i="1"/>
  <c r="C711" i="1" s="1"/>
  <c r="D634" i="1"/>
  <c r="D710" i="1" s="1"/>
  <c r="D633" i="1"/>
  <c r="D711" i="1" s="1"/>
  <c r="F1345" i="4"/>
  <c r="G1345" i="4" s="1"/>
  <c r="G1346" i="4" s="1"/>
  <c r="N743" i="1"/>
  <c r="J743" i="1"/>
  <c r="H743" i="1" s="1"/>
  <c r="I743" i="1" s="1"/>
  <c r="N741" i="1"/>
  <c r="N740" i="1"/>
  <c r="J740" i="1"/>
  <c r="H740" i="1" s="1"/>
  <c r="I740" i="1" s="1"/>
  <c r="N739" i="1"/>
  <c r="J739" i="1"/>
  <c r="H739" i="1" s="1"/>
  <c r="I739" i="1" s="1"/>
  <c r="N738" i="1"/>
  <c r="J738" i="1"/>
  <c r="H738" i="1" s="1"/>
  <c r="I738" i="1" s="1"/>
  <c r="N737" i="1"/>
  <c r="J737" i="1"/>
  <c r="H737" i="1" s="1"/>
  <c r="I737" i="1" s="1"/>
  <c r="N736" i="1"/>
  <c r="J736" i="1"/>
  <c r="H736" i="1" s="1"/>
  <c r="I736" i="1" s="1"/>
  <c r="N735" i="1"/>
  <c r="J735" i="1"/>
  <c r="H735" i="1" s="1"/>
  <c r="I735" i="1" s="1"/>
  <c r="N734" i="1"/>
  <c r="J734" i="1"/>
  <c r="H734" i="1" s="1"/>
  <c r="I734" i="1" s="1"/>
  <c r="N733" i="1"/>
  <c r="J733" i="1"/>
  <c r="H733" i="1" s="1"/>
  <c r="I733" i="1" s="1"/>
  <c r="N732" i="1"/>
  <c r="J732" i="1"/>
  <c r="H732" i="1" s="1"/>
  <c r="I732" i="1" s="1"/>
  <c r="N730" i="1"/>
  <c r="J730" i="1"/>
  <c r="H730" i="1" s="1"/>
  <c r="I730" i="1" s="1"/>
  <c r="F1339" i="4"/>
  <c r="G1339" i="4" s="1"/>
  <c r="I1341" i="4"/>
  <c r="F1341" i="4"/>
  <c r="G1341" i="4" s="1"/>
  <c r="I1340" i="4"/>
  <c r="F1340" i="4"/>
  <c r="G1340" i="4" s="1"/>
  <c r="F1332" i="4"/>
  <c r="G1332" i="4" s="1"/>
  <c r="I1333" i="4"/>
  <c r="F1333" i="4"/>
  <c r="G1333" i="4" s="1"/>
  <c r="I1334" i="4"/>
  <c r="F1334" i="4"/>
  <c r="G1334" i="4" s="1"/>
  <c r="F1325" i="4"/>
  <c r="G1325" i="4" s="1"/>
  <c r="F1319" i="4"/>
  <c r="G1319" i="4" s="1"/>
  <c r="F587" i="1"/>
  <c r="N702" i="1"/>
  <c r="J702" i="1"/>
  <c r="H702" i="1" s="1"/>
  <c r="I702" i="1" s="1"/>
  <c r="N701" i="1"/>
  <c r="J701" i="1"/>
  <c r="H701" i="1" s="1"/>
  <c r="I701" i="1" s="1"/>
  <c r="N728" i="1"/>
  <c r="J728" i="1"/>
  <c r="H728" i="1" s="1"/>
  <c r="I728" i="1" s="1"/>
  <c r="N727" i="1"/>
  <c r="J727" i="1"/>
  <c r="H727" i="1" s="1"/>
  <c r="I727" i="1" s="1"/>
  <c r="N726" i="1"/>
  <c r="J726" i="1"/>
  <c r="H726" i="1" s="1"/>
  <c r="I726" i="1" s="1"/>
  <c r="N725" i="1"/>
  <c r="J725" i="1"/>
  <c r="H725" i="1" s="1"/>
  <c r="I725" i="1" s="1"/>
  <c r="N724" i="1"/>
  <c r="J724" i="1"/>
  <c r="H724" i="1" s="1"/>
  <c r="I724" i="1" s="1"/>
  <c r="N723" i="1"/>
  <c r="J723" i="1"/>
  <c r="H723" i="1" s="1"/>
  <c r="I723" i="1" s="1"/>
  <c r="N722" i="1"/>
  <c r="J722" i="1"/>
  <c r="H722" i="1" s="1"/>
  <c r="I722" i="1" s="1"/>
  <c r="N721" i="1"/>
  <c r="J721" i="1"/>
  <c r="H721" i="1" s="1"/>
  <c r="I721" i="1" s="1"/>
  <c r="N720" i="1"/>
  <c r="J720" i="1"/>
  <c r="H720" i="1" s="1"/>
  <c r="I720" i="1" s="1"/>
  <c r="N719" i="1"/>
  <c r="J719" i="1"/>
  <c r="H719" i="1" s="1"/>
  <c r="I719" i="1" s="1"/>
  <c r="N718" i="1"/>
  <c r="J718" i="1"/>
  <c r="H718" i="1" s="1"/>
  <c r="I718" i="1" s="1"/>
  <c r="N705" i="1"/>
  <c r="J705" i="1"/>
  <c r="H705" i="1" s="1"/>
  <c r="I705" i="1" s="1"/>
  <c r="N704" i="1"/>
  <c r="J704" i="1"/>
  <c r="H704" i="1" s="1"/>
  <c r="I704" i="1" s="1"/>
  <c r="N699" i="1"/>
  <c r="J699" i="1"/>
  <c r="H699" i="1" s="1"/>
  <c r="I699" i="1" s="1"/>
  <c r="N698" i="1"/>
  <c r="J698" i="1"/>
  <c r="H698" i="1" s="1"/>
  <c r="I698" i="1" s="1"/>
  <c r="N697" i="1"/>
  <c r="J697" i="1"/>
  <c r="H697" i="1" s="1"/>
  <c r="I697" i="1" s="1"/>
  <c r="N696" i="1"/>
  <c r="J696" i="1"/>
  <c r="H696" i="1" s="1"/>
  <c r="I696" i="1" s="1"/>
  <c r="N695" i="1"/>
  <c r="J695" i="1"/>
  <c r="H695" i="1" s="1"/>
  <c r="I695" i="1" s="1"/>
  <c r="N694" i="1"/>
  <c r="J694" i="1"/>
  <c r="H694" i="1" s="1"/>
  <c r="I694" i="1" s="1"/>
  <c r="N630" i="1"/>
  <c r="J630" i="1"/>
  <c r="H630" i="1" s="1"/>
  <c r="I630" i="1" s="1"/>
  <c r="N629" i="1"/>
  <c r="J629" i="1"/>
  <c r="H629" i="1" s="1"/>
  <c r="I629" i="1" s="1"/>
  <c r="N679" i="1"/>
  <c r="J679" i="1"/>
  <c r="H679" i="1" s="1"/>
  <c r="I679" i="1" s="1"/>
  <c r="N678" i="1"/>
  <c r="J678" i="1"/>
  <c r="H678" i="1" s="1"/>
  <c r="I678" i="1" s="1"/>
  <c r="N677" i="1"/>
  <c r="J677" i="1"/>
  <c r="H677" i="1" s="1"/>
  <c r="I677" i="1" s="1"/>
  <c r="N676" i="1"/>
  <c r="J676" i="1"/>
  <c r="H676" i="1" s="1"/>
  <c r="I676" i="1" s="1"/>
  <c r="N675" i="1"/>
  <c r="J675" i="1"/>
  <c r="H675" i="1" s="1"/>
  <c r="I675" i="1" s="1"/>
  <c r="N674" i="1"/>
  <c r="J674" i="1"/>
  <c r="H674" i="1" s="1"/>
  <c r="I674" i="1" s="1"/>
  <c r="N672" i="1"/>
  <c r="J672" i="1"/>
  <c r="H672" i="1" s="1"/>
  <c r="I672" i="1" s="1"/>
  <c r="B643" i="1"/>
  <c r="D643" i="1"/>
  <c r="B644" i="1"/>
  <c r="D644" i="1"/>
  <c r="B645" i="1"/>
  <c r="D645" i="1"/>
  <c r="B646" i="1"/>
  <c r="B716" i="1" s="1"/>
  <c r="C646" i="1"/>
  <c r="C716" i="1" s="1"/>
  <c r="D646" i="1"/>
  <c r="D716" i="1" s="1"/>
  <c r="B642" i="1"/>
  <c r="N658" i="1"/>
  <c r="J658" i="1"/>
  <c r="H658" i="1" s="1"/>
  <c r="I658" i="1" s="1"/>
  <c r="N657" i="1"/>
  <c r="J657" i="1"/>
  <c r="H657" i="1" s="1"/>
  <c r="I657" i="1" s="1"/>
  <c r="N654" i="1"/>
  <c r="J654" i="1"/>
  <c r="H654" i="1" s="1"/>
  <c r="I654" i="1" s="1"/>
  <c r="N653" i="1"/>
  <c r="J653" i="1"/>
  <c r="H653" i="1" s="1"/>
  <c r="I653" i="1" s="1"/>
  <c r="N649" i="1"/>
  <c r="J649" i="1"/>
  <c r="H649" i="1" s="1"/>
  <c r="I649" i="1" s="1"/>
  <c r="N648" i="1"/>
  <c r="J648" i="1"/>
  <c r="H648" i="1" s="1"/>
  <c r="I648" i="1" s="1"/>
  <c r="N627" i="1"/>
  <c r="J627" i="1"/>
  <c r="H627" i="1" s="1"/>
  <c r="I627" i="1" s="1"/>
  <c r="N626" i="1"/>
  <c r="J626" i="1"/>
  <c r="H626" i="1" s="1"/>
  <c r="I626" i="1" s="1"/>
  <c r="N625" i="1"/>
  <c r="J625" i="1"/>
  <c r="H625" i="1" s="1"/>
  <c r="I625" i="1" s="1"/>
  <c r="N624" i="1"/>
  <c r="J624" i="1"/>
  <c r="H624" i="1" s="1"/>
  <c r="I624" i="1" s="1"/>
  <c r="N623" i="1"/>
  <c r="J623" i="1"/>
  <c r="H623" i="1" s="1"/>
  <c r="I623" i="1" s="1"/>
  <c r="N622" i="1"/>
  <c r="J622" i="1"/>
  <c r="H622" i="1" s="1"/>
  <c r="I622" i="1" s="1"/>
  <c r="N612" i="1"/>
  <c r="J612" i="1"/>
  <c r="H612" i="1" s="1"/>
  <c r="I612" i="1" s="1"/>
  <c r="N609" i="1"/>
  <c r="J609" i="1"/>
  <c r="H609" i="1" s="1"/>
  <c r="I609" i="1" s="1"/>
  <c r="N608" i="1"/>
  <c r="J608" i="1"/>
  <c r="H608" i="1" s="1"/>
  <c r="I608" i="1" s="1"/>
  <c r="N607" i="1"/>
  <c r="J607" i="1"/>
  <c r="H607" i="1" s="1"/>
  <c r="I607" i="1" s="1"/>
  <c r="N606" i="1"/>
  <c r="J606" i="1"/>
  <c r="H606" i="1" s="1"/>
  <c r="I606" i="1" s="1"/>
  <c r="N605" i="1"/>
  <c r="J605" i="1"/>
  <c r="H605" i="1" s="1"/>
  <c r="I605" i="1" s="1"/>
  <c r="N604" i="1"/>
  <c r="J604" i="1"/>
  <c r="H604" i="1" s="1"/>
  <c r="I604" i="1" s="1"/>
  <c r="N595" i="1"/>
  <c r="J595" i="1"/>
  <c r="H595" i="1" s="1"/>
  <c r="I595" i="1" s="1"/>
  <c r="B594" i="1"/>
  <c r="B593" i="1"/>
  <c r="I1311" i="4"/>
  <c r="F1311" i="4"/>
  <c r="G1311" i="4" s="1"/>
  <c r="I1313" i="4"/>
  <c r="F1313" i="4"/>
  <c r="G1313" i="4" s="1"/>
  <c r="I1312" i="4"/>
  <c r="F1312" i="4"/>
  <c r="G1312" i="4" s="1"/>
  <c r="F1306" i="4"/>
  <c r="G1306" i="4" s="1"/>
  <c r="F1305" i="4"/>
  <c r="G1305" i="4" s="1"/>
  <c r="F1304" i="4"/>
  <c r="G1304" i="4" s="1"/>
  <c r="F1299" i="4"/>
  <c r="G1299" i="4" s="1"/>
  <c r="F1298" i="4"/>
  <c r="G1298" i="4" s="1"/>
  <c r="F1297" i="4"/>
  <c r="G1297" i="4" s="1"/>
  <c r="F1292" i="4"/>
  <c r="G1292" i="4" s="1"/>
  <c r="F1291" i="4"/>
  <c r="G1291" i="4" s="1"/>
  <c r="F1290" i="4"/>
  <c r="G1290" i="4" s="1"/>
  <c r="F1285" i="4"/>
  <c r="G1285" i="4" s="1"/>
  <c r="F1284" i="4"/>
  <c r="G1284" i="4" s="1"/>
  <c r="F1283" i="4"/>
  <c r="G1283" i="4" s="1"/>
  <c r="F1278" i="4"/>
  <c r="G1278" i="4" s="1"/>
  <c r="F1277" i="4"/>
  <c r="G1277" i="4" s="1"/>
  <c r="F1276" i="4"/>
  <c r="G1276" i="4" s="1"/>
  <c r="F1271" i="4"/>
  <c r="G1271" i="4" s="1"/>
  <c r="F1270" i="4"/>
  <c r="G1270" i="4" s="1"/>
  <c r="F1269" i="4"/>
  <c r="G1269" i="4" s="1"/>
  <c r="F1264" i="4"/>
  <c r="G1264" i="4" s="1"/>
  <c r="F1263" i="4"/>
  <c r="G1263" i="4" s="1"/>
  <c r="F1262" i="4"/>
  <c r="G1262" i="4" s="1"/>
  <c r="F1257" i="4"/>
  <c r="G1257" i="4" s="1"/>
  <c r="F1256" i="4"/>
  <c r="G1256" i="4" s="1"/>
  <c r="F1255" i="4"/>
  <c r="G1255" i="4" s="1"/>
  <c r="F537" i="1"/>
  <c r="F545" i="1"/>
  <c r="F543" i="1"/>
  <c r="F1248" i="4"/>
  <c r="G1248" i="4" s="1"/>
  <c r="I1250" i="4"/>
  <c r="F1250" i="4"/>
  <c r="G1250" i="4" s="1"/>
  <c r="I1249" i="4"/>
  <c r="F1249" i="4"/>
  <c r="G1249" i="4" s="1"/>
  <c r="I1243" i="4"/>
  <c r="F1243" i="4"/>
  <c r="G1243" i="4" s="1"/>
  <c r="I1242" i="4"/>
  <c r="F1242" i="4"/>
  <c r="G1242" i="4" s="1"/>
  <c r="I1241" i="4"/>
  <c r="F1241" i="4"/>
  <c r="G1241" i="4" s="1"/>
  <c r="F1236" i="4"/>
  <c r="G1236" i="4" s="1"/>
  <c r="F1235" i="4"/>
  <c r="G1235" i="4" s="1"/>
  <c r="F1234" i="4"/>
  <c r="G1234" i="4" s="1"/>
  <c r="F1229" i="4"/>
  <c r="G1229" i="4" s="1"/>
  <c r="F1228" i="4"/>
  <c r="G1228" i="4" s="1"/>
  <c r="F1227" i="4"/>
  <c r="G1227" i="4" s="1"/>
  <c r="F1222" i="4"/>
  <c r="G1222" i="4" s="1"/>
  <c r="F1221" i="4"/>
  <c r="G1221" i="4" s="1"/>
  <c r="F1220" i="4"/>
  <c r="G1220" i="4" s="1"/>
  <c r="F1215" i="4"/>
  <c r="G1215" i="4" s="1"/>
  <c r="F1214" i="4"/>
  <c r="G1214" i="4" s="1"/>
  <c r="F1213" i="4"/>
  <c r="G1213" i="4" s="1"/>
  <c r="F1208" i="4"/>
  <c r="G1208" i="4" s="1"/>
  <c r="F1207" i="4"/>
  <c r="G1207" i="4" s="1"/>
  <c r="F1206" i="4"/>
  <c r="G1206" i="4" s="1"/>
  <c r="F1199" i="4"/>
  <c r="G1199" i="4" s="1"/>
  <c r="F1201" i="4"/>
  <c r="G1201" i="4" s="1"/>
  <c r="F1200" i="4"/>
  <c r="G1200" i="4" s="1"/>
  <c r="F1192" i="4"/>
  <c r="G1192" i="4" s="1"/>
  <c r="F1194" i="4"/>
  <c r="G1194" i="4" s="1"/>
  <c r="F1193" i="4"/>
  <c r="G1193" i="4" s="1"/>
  <c r="I1185" i="4"/>
  <c r="F1185" i="4"/>
  <c r="G1185" i="4" s="1"/>
  <c r="I1184" i="4"/>
  <c r="F1184" i="4"/>
  <c r="G1184" i="4" s="1"/>
  <c r="I1183" i="4"/>
  <c r="F1183" i="4"/>
  <c r="G1183" i="4" s="1"/>
  <c r="I1187" i="4"/>
  <c r="F1187" i="4"/>
  <c r="G1187" i="4" s="1"/>
  <c r="I1186" i="4"/>
  <c r="F1186" i="4"/>
  <c r="G1186" i="4" s="1"/>
  <c r="F1178" i="4"/>
  <c r="G1178" i="4" s="1"/>
  <c r="F1177" i="4"/>
  <c r="G1177" i="4" s="1"/>
  <c r="F1176" i="4"/>
  <c r="G1176" i="4" s="1"/>
  <c r="F1171" i="4"/>
  <c r="G1171" i="4" s="1"/>
  <c r="F1170" i="4"/>
  <c r="G1170" i="4" s="1"/>
  <c r="F1169" i="4"/>
  <c r="G1169" i="4" s="1"/>
  <c r="F1162" i="4"/>
  <c r="G1162" i="4" s="1"/>
  <c r="F1164" i="4"/>
  <c r="G1164" i="4" s="1"/>
  <c r="F1163" i="4"/>
  <c r="G1163" i="4" s="1"/>
  <c r="F1155" i="4"/>
  <c r="G1155" i="4" s="1"/>
  <c r="F1157" i="4"/>
  <c r="G1157" i="4" s="1"/>
  <c r="F1156" i="4"/>
  <c r="G1156" i="4" s="1"/>
  <c r="F1148" i="4"/>
  <c r="G1148" i="4" s="1"/>
  <c r="F1150" i="4"/>
  <c r="G1150" i="4" s="1"/>
  <c r="F1149" i="4"/>
  <c r="G1149" i="4" s="1"/>
  <c r="F1120" i="4"/>
  <c r="G1120" i="4" s="1"/>
  <c r="F1122" i="4"/>
  <c r="G1122" i="4" s="1"/>
  <c r="F1121" i="4"/>
  <c r="G1121" i="4" s="1"/>
  <c r="F1127" i="4"/>
  <c r="G1127" i="4" s="1"/>
  <c r="F1129" i="4"/>
  <c r="G1129" i="4" s="1"/>
  <c r="F1128" i="4"/>
  <c r="G1128" i="4" s="1"/>
  <c r="F1141" i="4"/>
  <c r="G1141" i="4" s="1"/>
  <c r="F1143" i="4"/>
  <c r="G1143" i="4" s="1"/>
  <c r="F1142" i="4"/>
  <c r="G1142" i="4" s="1"/>
  <c r="F1134" i="4"/>
  <c r="G1134" i="4" s="1"/>
  <c r="F1136" i="4"/>
  <c r="G1136" i="4" s="1"/>
  <c r="F1135" i="4"/>
  <c r="G1135" i="4" s="1"/>
  <c r="F1085" i="4"/>
  <c r="G1085" i="4" s="1"/>
  <c r="F1087" i="4"/>
  <c r="G1087" i="4" s="1"/>
  <c r="F1086" i="4"/>
  <c r="G1086" i="4" s="1"/>
  <c r="F1113" i="4"/>
  <c r="G1113" i="4" s="1"/>
  <c r="F1115" i="4"/>
  <c r="G1115" i="4" s="1"/>
  <c r="F1114" i="4"/>
  <c r="G1114" i="4" s="1"/>
  <c r="F1106" i="4"/>
  <c r="G1106" i="4" s="1"/>
  <c r="F1108" i="4"/>
  <c r="G1108" i="4" s="1"/>
  <c r="F1107" i="4"/>
  <c r="G1107" i="4" s="1"/>
  <c r="F1099" i="4"/>
  <c r="G1099" i="4" s="1"/>
  <c r="F1101" i="4"/>
  <c r="G1101" i="4" s="1"/>
  <c r="F1100" i="4"/>
  <c r="G1100" i="4" s="1"/>
  <c r="F1092" i="4"/>
  <c r="G1092" i="4" s="1"/>
  <c r="F1094" i="4"/>
  <c r="G1094" i="4" s="1"/>
  <c r="F1093" i="4"/>
  <c r="G1093" i="4" s="1"/>
  <c r="F1078" i="4"/>
  <c r="G1078" i="4" s="1"/>
  <c r="F1080" i="4"/>
  <c r="G1080" i="4" s="1"/>
  <c r="F1079" i="4"/>
  <c r="G1079" i="4" s="1"/>
  <c r="F1064" i="4"/>
  <c r="G1064" i="4" s="1"/>
  <c r="F1066" i="4"/>
  <c r="G1066" i="4" s="1"/>
  <c r="F1065" i="4"/>
  <c r="G1065" i="4" s="1"/>
  <c r="F1057" i="4"/>
  <c r="G1057" i="4" s="1"/>
  <c r="F1059" i="4"/>
  <c r="G1059" i="4" s="1"/>
  <c r="F1058" i="4"/>
  <c r="G1058" i="4" s="1"/>
  <c r="F1050" i="4"/>
  <c r="G1050" i="4" s="1"/>
  <c r="F1052" i="4"/>
  <c r="G1052" i="4" s="1"/>
  <c r="F1051" i="4"/>
  <c r="G1051" i="4" s="1"/>
  <c r="F1071" i="4"/>
  <c r="G1071" i="4" s="1"/>
  <c r="F1073" i="4"/>
  <c r="G1073" i="4" s="1"/>
  <c r="F1072" i="4"/>
  <c r="G1072" i="4" s="1"/>
  <c r="F1029" i="4"/>
  <c r="G1029" i="4" s="1"/>
  <c r="I1031" i="4"/>
  <c r="F1031" i="4"/>
  <c r="G1031" i="4" s="1"/>
  <c r="I1030" i="4"/>
  <c r="F1030" i="4"/>
  <c r="G1030" i="4" s="1"/>
  <c r="F1043" i="4"/>
  <c r="G1043" i="4" s="1"/>
  <c r="F1036" i="4"/>
  <c r="G1036" i="4" s="1"/>
  <c r="I1045" i="4"/>
  <c r="F1045" i="4"/>
  <c r="G1045" i="4" s="1"/>
  <c r="I1044" i="4"/>
  <c r="F1044" i="4"/>
  <c r="G1044" i="4" s="1"/>
  <c r="I1038" i="4"/>
  <c r="F1038" i="4"/>
  <c r="G1038" i="4" s="1"/>
  <c r="I1037" i="4"/>
  <c r="F1037" i="4"/>
  <c r="G1037" i="4" s="1"/>
  <c r="I1024" i="4"/>
  <c r="F1024" i="4"/>
  <c r="G1024" i="4" s="1"/>
  <c r="I1023" i="4"/>
  <c r="F1023" i="4"/>
  <c r="G1023" i="4" s="1"/>
  <c r="N575" i="1"/>
  <c r="J575" i="1"/>
  <c r="H575" i="1" s="1"/>
  <c r="I575" i="1" s="1"/>
  <c r="N574" i="1"/>
  <c r="J574" i="1"/>
  <c r="H574" i="1" s="1"/>
  <c r="I574" i="1" s="1"/>
  <c r="N573" i="1"/>
  <c r="J573" i="1"/>
  <c r="H573" i="1" s="1"/>
  <c r="I573" i="1" s="1"/>
  <c r="N572" i="1"/>
  <c r="J572" i="1"/>
  <c r="H572" i="1" s="1"/>
  <c r="I572" i="1" s="1"/>
  <c r="N566" i="1"/>
  <c r="J566" i="1"/>
  <c r="H566" i="1" s="1"/>
  <c r="I566" i="1" s="1"/>
  <c r="N564" i="1"/>
  <c r="J564" i="1"/>
  <c r="H564" i="1" s="1"/>
  <c r="I564" i="1" s="1"/>
  <c r="N557" i="1"/>
  <c r="J557" i="1"/>
  <c r="H557" i="1" s="1"/>
  <c r="I557" i="1" s="1"/>
  <c r="N558" i="1"/>
  <c r="J558" i="1"/>
  <c r="H558" i="1" s="1"/>
  <c r="N559" i="1"/>
  <c r="J559" i="1"/>
  <c r="H559" i="1" s="1"/>
  <c r="I559" i="1" s="1"/>
  <c r="N560" i="1"/>
  <c r="J560" i="1"/>
  <c r="H560" i="1" s="1"/>
  <c r="I560" i="1" s="1"/>
  <c r="F558" i="1"/>
  <c r="N561" i="1"/>
  <c r="J561" i="1"/>
  <c r="H561" i="1" s="1"/>
  <c r="I561" i="1" s="1"/>
  <c r="N562" i="1"/>
  <c r="J562" i="1"/>
  <c r="H562" i="1" s="1"/>
  <c r="I562" i="1" s="1"/>
  <c r="N438" i="1"/>
  <c r="J438" i="1"/>
  <c r="H438" i="1" s="1"/>
  <c r="I438" i="1" s="1"/>
  <c r="N437" i="1"/>
  <c r="J437" i="1"/>
  <c r="H437" i="1" s="1"/>
  <c r="N436" i="1"/>
  <c r="J436" i="1"/>
  <c r="H436" i="1" s="1"/>
  <c r="F436" i="1"/>
  <c r="F437" i="1"/>
  <c r="F434" i="1"/>
  <c r="F432" i="1"/>
  <c r="N435" i="1"/>
  <c r="J435" i="1"/>
  <c r="H435" i="1" s="1"/>
  <c r="N439" i="1"/>
  <c r="J439" i="1"/>
  <c r="H439" i="1" s="1"/>
  <c r="I439" i="1" s="1"/>
  <c r="N450" i="1"/>
  <c r="J450" i="1"/>
  <c r="H450" i="1" s="1"/>
  <c r="I450" i="1" s="1"/>
  <c r="L558" i="1" l="1"/>
  <c r="BF558" i="1"/>
  <c r="L436" i="1"/>
  <c r="BF436" i="1"/>
  <c r="L537" i="1"/>
  <c r="BF537" i="1"/>
  <c r="L432" i="1"/>
  <c r="BF432" i="1"/>
  <c r="L434" i="1"/>
  <c r="BF434" i="1"/>
  <c r="L543" i="1"/>
  <c r="BF543" i="1"/>
  <c r="L437" i="1"/>
  <c r="BF437" i="1"/>
  <c r="L545" i="1"/>
  <c r="BF545" i="1"/>
  <c r="L587" i="1"/>
  <c r="BF587" i="1"/>
  <c r="BF585" i="1" s="1"/>
  <c r="I660" i="15"/>
  <c r="I610" i="15"/>
  <c r="O610" i="15"/>
  <c r="J591" i="1"/>
  <c r="H591" i="1" s="1"/>
  <c r="I591" i="1" s="1"/>
  <c r="J517" i="15"/>
  <c r="H517" i="15" s="1"/>
  <c r="G1364" i="4"/>
  <c r="G1357" i="4"/>
  <c r="G1378" i="4"/>
  <c r="G1371" i="4"/>
  <c r="J668" i="1" s="1"/>
  <c r="H668" i="1" s="1"/>
  <c r="I668" i="1" s="1"/>
  <c r="G1342" i="4"/>
  <c r="G1335" i="4"/>
  <c r="G1328" i="4"/>
  <c r="G1321" i="4"/>
  <c r="G1314" i="4"/>
  <c r="G1307" i="4"/>
  <c r="G1300" i="4"/>
  <c r="G1293" i="4"/>
  <c r="G1286" i="4"/>
  <c r="G1279" i="4"/>
  <c r="G1272" i="4"/>
  <c r="G1265" i="4"/>
  <c r="G1258" i="4"/>
  <c r="I436" i="1"/>
  <c r="G1251" i="4"/>
  <c r="J507" i="1" s="1"/>
  <c r="H507" i="1" s="1"/>
  <c r="I507" i="1" s="1"/>
  <c r="G1244" i="4"/>
  <c r="H498" i="1"/>
  <c r="I498" i="1" s="1"/>
  <c r="G1237" i="4"/>
  <c r="J485" i="1" s="1"/>
  <c r="H485" i="1" s="1"/>
  <c r="I485" i="1" s="1"/>
  <c r="G1230" i="4"/>
  <c r="J484" i="1" s="1"/>
  <c r="H484" i="1" s="1"/>
  <c r="I484" i="1" s="1"/>
  <c r="G1223" i="4"/>
  <c r="G1216" i="4"/>
  <c r="J578" i="15" s="1"/>
  <c r="H578" i="15" s="1"/>
  <c r="G1209" i="4"/>
  <c r="G1202" i="4"/>
  <c r="J575" i="15" s="1"/>
  <c r="H575" i="15" s="1"/>
  <c r="G1195" i="4"/>
  <c r="G1188" i="4"/>
  <c r="J477" i="1" s="1"/>
  <c r="H477" i="1" s="1"/>
  <c r="I477" i="1" s="1"/>
  <c r="G1179" i="4"/>
  <c r="J474" i="1" s="1"/>
  <c r="H474" i="1" s="1"/>
  <c r="I474" i="1" s="1"/>
  <c r="G1172" i="4"/>
  <c r="G1165" i="4"/>
  <c r="G1158" i="4"/>
  <c r="J471" i="1" s="1"/>
  <c r="H471" i="1" s="1"/>
  <c r="I471" i="1" s="1"/>
  <c r="G1151" i="4"/>
  <c r="J470" i="1" s="1"/>
  <c r="H470" i="1" s="1"/>
  <c r="I470" i="1" s="1"/>
  <c r="G1123" i="4"/>
  <c r="J403" i="15" s="1"/>
  <c r="H403" i="15" s="1"/>
  <c r="G1130" i="4"/>
  <c r="J405" i="15" s="1"/>
  <c r="H405" i="15" s="1"/>
  <c r="G1144" i="4"/>
  <c r="J469" i="1" s="1"/>
  <c r="H469" i="1" s="1"/>
  <c r="I469" i="1" s="1"/>
  <c r="G1137" i="4"/>
  <c r="J468" i="1" s="1"/>
  <c r="H468" i="1" s="1"/>
  <c r="I468" i="1" s="1"/>
  <c r="G1088" i="4"/>
  <c r="J568" i="15" s="1"/>
  <c r="H568" i="15" s="1"/>
  <c r="G1116" i="4"/>
  <c r="J569" i="15" s="1"/>
  <c r="H569" i="15" s="1"/>
  <c r="G1109" i="4"/>
  <c r="G1102" i="4"/>
  <c r="J463" i="1" s="1"/>
  <c r="H463" i="1" s="1"/>
  <c r="I463" i="1" s="1"/>
  <c r="G1095" i="4"/>
  <c r="G1081" i="4"/>
  <c r="G1067" i="4"/>
  <c r="G1060" i="4"/>
  <c r="G1053" i="4"/>
  <c r="G1074" i="4"/>
  <c r="G1032" i="4"/>
  <c r="G1046" i="4"/>
  <c r="J1019" i="1" s="1"/>
  <c r="H1019" i="1" s="1"/>
  <c r="I1019" i="1" s="1"/>
  <c r="G1039" i="4"/>
  <c r="J1021" i="1" s="1"/>
  <c r="H1021" i="1" s="1"/>
  <c r="I1021" i="1" s="1"/>
  <c r="I437" i="1"/>
  <c r="G1025" i="4"/>
  <c r="J443" i="1" s="1"/>
  <c r="H443" i="1" s="1"/>
  <c r="I443" i="1" s="1"/>
  <c r="I558" i="1"/>
  <c r="I435" i="1"/>
  <c r="BF505" i="1" l="1"/>
  <c r="I578" i="15"/>
  <c r="O578" i="15"/>
  <c r="I405" i="15"/>
  <c r="O405" i="15"/>
  <c r="I575" i="15"/>
  <c r="O575" i="15"/>
  <c r="I517" i="15"/>
  <c r="O517" i="15"/>
  <c r="I568" i="15"/>
  <c r="O568" i="15"/>
  <c r="I403" i="15"/>
  <c r="O403" i="15"/>
  <c r="I569" i="15"/>
  <c r="O569" i="15"/>
  <c r="J1018" i="1"/>
  <c r="H1018" i="1" s="1"/>
  <c r="I1018" i="1" s="1"/>
  <c r="J563" i="15"/>
  <c r="H563" i="15" s="1"/>
  <c r="J458" i="1"/>
  <c r="H458" i="1" s="1"/>
  <c r="I458" i="1" s="1"/>
  <c r="J629" i="15"/>
  <c r="H629" i="15" s="1"/>
  <c r="J565" i="15"/>
  <c r="H565" i="15" s="1"/>
  <c r="J475" i="15"/>
  <c r="H475" i="15" s="1"/>
  <c r="J580" i="1"/>
  <c r="J643" i="1" s="1"/>
  <c r="H643" i="1" s="1"/>
  <c r="I643" i="1" s="1"/>
  <c r="J576" i="15"/>
  <c r="H576" i="15" s="1"/>
  <c r="J410" i="15"/>
  <c r="H410" i="15" s="1"/>
  <c r="J489" i="15"/>
  <c r="H489" i="15" s="1"/>
  <c r="J633" i="15"/>
  <c r="H633" i="15" s="1"/>
  <c r="J555" i="1"/>
  <c r="H555" i="1" s="1"/>
  <c r="I555" i="1" s="1"/>
  <c r="J406" i="15"/>
  <c r="H406" i="15" s="1"/>
  <c r="J603" i="15"/>
  <c r="H603" i="15" s="1"/>
  <c r="J544" i="15"/>
  <c r="H544" i="15" s="1"/>
  <c r="J588" i="15"/>
  <c r="H588" i="15" s="1"/>
  <c r="J590" i="1"/>
  <c r="H590" i="1" s="1"/>
  <c r="I590" i="1" s="1"/>
  <c r="J516" i="15"/>
  <c r="H516" i="15" s="1"/>
  <c r="J665" i="1"/>
  <c r="H665" i="1" s="1"/>
  <c r="I665" i="1" s="1"/>
  <c r="J386" i="15"/>
  <c r="H386" i="15" s="1"/>
  <c r="J488" i="15"/>
  <c r="H488" i="15" s="1"/>
  <c r="J632" i="15"/>
  <c r="H632" i="15" s="1"/>
  <c r="J573" i="15"/>
  <c r="H573" i="15" s="1"/>
  <c r="J409" i="15"/>
  <c r="H409" i="15" s="1"/>
  <c r="J624" i="15"/>
  <c r="H624" i="15" s="1"/>
  <c r="J399" i="15"/>
  <c r="H399" i="15" s="1"/>
  <c r="J468" i="15"/>
  <c r="H468" i="15" s="1"/>
  <c r="J570" i="15"/>
  <c r="H570" i="15" s="1"/>
  <c r="J587" i="1"/>
  <c r="H587" i="1" s="1"/>
  <c r="I587" i="1" s="1"/>
  <c r="J513" i="15"/>
  <c r="H513" i="15" s="1"/>
  <c r="J457" i="1"/>
  <c r="H457" i="1" s="1"/>
  <c r="I457" i="1" s="1"/>
  <c r="J474" i="15"/>
  <c r="H474" i="15" s="1"/>
  <c r="J627" i="15"/>
  <c r="H627" i="15" s="1"/>
  <c r="J634" i="15"/>
  <c r="H634" i="15" s="1"/>
  <c r="J577" i="15"/>
  <c r="H577" i="15" s="1"/>
  <c r="J490" i="15"/>
  <c r="H490" i="15" s="1"/>
  <c r="J549" i="1"/>
  <c r="H549" i="1" s="1"/>
  <c r="I549" i="1" s="1"/>
  <c r="J402" i="15"/>
  <c r="H402" i="15" s="1"/>
  <c r="J539" i="15"/>
  <c r="H539" i="15" s="1"/>
  <c r="J454" i="15"/>
  <c r="H454" i="15" s="1"/>
  <c r="J620" i="15"/>
  <c r="H620" i="15" s="1"/>
  <c r="J558" i="15"/>
  <c r="H558" i="15" s="1"/>
  <c r="J589" i="1"/>
  <c r="H589" i="1" s="1"/>
  <c r="I589" i="1" s="1"/>
  <c r="J515" i="15"/>
  <c r="H515" i="15" s="1"/>
  <c r="J664" i="1"/>
  <c r="J703" i="1" s="1"/>
  <c r="H703" i="1" s="1"/>
  <c r="I703" i="1" s="1"/>
  <c r="J630" i="15"/>
  <c r="H630" i="15" s="1"/>
  <c r="J596" i="15"/>
  <c r="H596" i="15" s="1"/>
  <c r="J459" i="1"/>
  <c r="H459" i="1" s="1"/>
  <c r="I459" i="1" s="1"/>
  <c r="J566" i="15"/>
  <c r="H566" i="15" s="1"/>
  <c r="J472" i="15"/>
  <c r="H472" i="15" s="1"/>
  <c r="J460" i="1"/>
  <c r="H460" i="1" s="1"/>
  <c r="I460" i="1" s="1"/>
  <c r="J567" i="15"/>
  <c r="H567" i="15" s="1"/>
  <c r="J628" i="15"/>
  <c r="H628" i="15" s="1"/>
  <c r="J473" i="15"/>
  <c r="H473" i="15" s="1"/>
  <c r="J472" i="1"/>
  <c r="H472" i="1" s="1"/>
  <c r="I472" i="1" s="1"/>
  <c r="J461" i="15"/>
  <c r="H461" i="15" s="1"/>
  <c r="J483" i="1"/>
  <c r="J583" i="1" s="1"/>
  <c r="J411" i="15"/>
  <c r="H411" i="15" s="1"/>
  <c r="J501" i="1"/>
  <c r="H501" i="1" s="1"/>
  <c r="I501" i="1" s="1"/>
  <c r="J421" i="15"/>
  <c r="H421" i="15" s="1"/>
  <c r="J554" i="1"/>
  <c r="J633" i="1" s="1"/>
  <c r="J711" i="1" s="1"/>
  <c r="H711" i="1" s="1"/>
  <c r="I711" i="1" s="1"/>
  <c r="J404" i="15"/>
  <c r="H404" i="15" s="1"/>
  <c r="J626" i="15"/>
  <c r="H626" i="15" s="1"/>
  <c r="J564" i="15"/>
  <c r="H564" i="15" s="1"/>
  <c r="J471" i="15"/>
  <c r="H471" i="15" s="1"/>
  <c r="J538" i="15"/>
  <c r="H538" i="15" s="1"/>
  <c r="J467" i="15"/>
  <c r="H467" i="15" s="1"/>
  <c r="J407" i="15"/>
  <c r="H407" i="15" s="1"/>
  <c r="J550" i="1"/>
  <c r="H550" i="1" s="1"/>
  <c r="I550" i="1" s="1"/>
  <c r="J571" i="15"/>
  <c r="H571" i="15" s="1"/>
  <c r="J625" i="15"/>
  <c r="H625" i="15" s="1"/>
  <c r="J400" i="15"/>
  <c r="H400" i="15" s="1"/>
  <c r="J469" i="15"/>
  <c r="H469" i="15" s="1"/>
  <c r="J548" i="1"/>
  <c r="H548" i="1" s="1"/>
  <c r="I548" i="1" s="1"/>
  <c r="J401" i="15"/>
  <c r="H401" i="15" s="1"/>
  <c r="J470" i="15"/>
  <c r="H470" i="15" s="1"/>
  <c r="J588" i="1"/>
  <c r="H588" i="1" s="1"/>
  <c r="I588" i="1" s="1"/>
  <c r="J514" i="15"/>
  <c r="H514" i="15" s="1"/>
  <c r="J670" i="1"/>
  <c r="H670" i="1" s="1"/>
  <c r="I670" i="1" s="1"/>
  <c r="J1020" i="1"/>
  <c r="H1020" i="1" s="1"/>
  <c r="I1020" i="1" s="1"/>
  <c r="J1088" i="1"/>
  <c r="H1088" i="1" s="1"/>
  <c r="I1088" i="1" s="1"/>
  <c r="H1045" i="1"/>
  <c r="I1045" i="1" s="1"/>
  <c r="J576" i="1"/>
  <c r="H576" i="1" s="1"/>
  <c r="I576" i="1" s="1"/>
  <c r="H741" i="1"/>
  <c r="I741" i="1" s="1"/>
  <c r="J454" i="1"/>
  <c r="H454" i="1" s="1"/>
  <c r="I454" i="1" s="1"/>
  <c r="J667" i="1"/>
  <c r="H667" i="1" s="1"/>
  <c r="I667" i="1" s="1"/>
  <c r="J461" i="1"/>
  <c r="J552" i="1" s="1"/>
  <c r="H552" i="1" s="1"/>
  <c r="I552" i="1" s="1"/>
  <c r="J707" i="1"/>
  <c r="H707" i="1" s="1"/>
  <c r="I707" i="1" s="1"/>
  <c r="J636" i="1"/>
  <c r="H636" i="1" s="1"/>
  <c r="I636" i="1" s="1"/>
  <c r="J480" i="1"/>
  <c r="J681" i="1"/>
  <c r="H681" i="1" s="1"/>
  <c r="I681" i="1" s="1"/>
  <c r="J571" i="1"/>
  <c r="J656" i="1"/>
  <c r="H656" i="1" s="1"/>
  <c r="I656" i="1" s="1"/>
  <c r="J614" i="1"/>
  <c r="H614" i="1" s="1"/>
  <c r="I614" i="1" s="1"/>
  <c r="J465" i="1"/>
  <c r="H465" i="1" s="1"/>
  <c r="I465" i="1" s="1"/>
  <c r="J639" i="1"/>
  <c r="H639" i="1" s="1"/>
  <c r="I639" i="1" s="1"/>
  <c r="J467" i="1"/>
  <c r="J556" i="1" s="1"/>
  <c r="H556" i="1" s="1"/>
  <c r="I556" i="1" s="1"/>
  <c r="J632" i="1"/>
  <c r="J479" i="1"/>
  <c r="J713" i="1"/>
  <c r="H713" i="1" s="1"/>
  <c r="I713" i="1" s="1"/>
  <c r="J532" i="1"/>
  <c r="H532" i="1" s="1"/>
  <c r="I532" i="1" s="1"/>
  <c r="J610" i="1"/>
  <c r="H610" i="1" s="1"/>
  <c r="I610" i="1" s="1"/>
  <c r="J628" i="1"/>
  <c r="H628" i="1" s="1"/>
  <c r="I628" i="1" s="1"/>
  <c r="J700" i="1"/>
  <c r="H700" i="1" s="1"/>
  <c r="I700" i="1" s="1"/>
  <c r="J456" i="1"/>
  <c r="J551" i="1" s="1"/>
  <c r="H551" i="1" s="1"/>
  <c r="I551" i="1" s="1"/>
  <c r="J635" i="1"/>
  <c r="H635" i="1" s="1"/>
  <c r="I635" i="1" s="1"/>
  <c r="J706" i="1"/>
  <c r="H706" i="1" s="1"/>
  <c r="I706" i="1" s="1"/>
  <c r="J453" i="1"/>
  <c r="H453" i="1" s="1"/>
  <c r="I453" i="1" s="1"/>
  <c r="J666" i="1"/>
  <c r="H666" i="1" s="1"/>
  <c r="I666" i="1" s="1"/>
  <c r="J464" i="1"/>
  <c r="H464" i="1" s="1"/>
  <c r="I464" i="1" s="1"/>
  <c r="J638" i="1"/>
  <c r="H638" i="1" s="1"/>
  <c r="I638" i="1" s="1"/>
  <c r="J482" i="1"/>
  <c r="J582" i="1" s="1"/>
  <c r="J715" i="1"/>
  <c r="H715" i="1" s="1"/>
  <c r="I715" i="1" s="1"/>
  <c r="J462" i="1"/>
  <c r="H462" i="1" s="1"/>
  <c r="I462" i="1" s="1"/>
  <c r="J637" i="1"/>
  <c r="H637" i="1" s="1"/>
  <c r="I637" i="1" s="1"/>
  <c r="J466" i="1"/>
  <c r="J553" i="1" s="1"/>
  <c r="H553" i="1" s="1"/>
  <c r="I553" i="1" s="1"/>
  <c r="J631" i="1"/>
  <c r="J455" i="1"/>
  <c r="H455" i="1" s="1"/>
  <c r="I455" i="1" s="1"/>
  <c r="J669" i="1"/>
  <c r="H669" i="1" s="1"/>
  <c r="I669" i="1" s="1"/>
  <c r="J481" i="1"/>
  <c r="J581" i="1" s="1"/>
  <c r="J714" i="1"/>
  <c r="H714" i="1" s="1"/>
  <c r="I714" i="1" s="1"/>
  <c r="J547" i="1"/>
  <c r="H547" i="1" s="1"/>
  <c r="I547" i="1" s="1"/>
  <c r="J640" i="1"/>
  <c r="H640" i="1" s="1"/>
  <c r="I640" i="1" s="1"/>
  <c r="J473" i="1"/>
  <c r="H473" i="1" s="1"/>
  <c r="I473" i="1" s="1"/>
  <c r="J546" i="1"/>
  <c r="H546" i="1" s="1"/>
  <c r="I546" i="1" s="1"/>
  <c r="H499" i="1"/>
  <c r="I499" i="1" s="1"/>
  <c r="J577" i="1"/>
  <c r="H577" i="1" s="1"/>
  <c r="I577" i="1" s="1"/>
  <c r="F447" i="1"/>
  <c r="N447" i="1"/>
  <c r="J447" i="1"/>
  <c r="H447" i="1" s="1"/>
  <c r="F449" i="1"/>
  <c r="F448" i="1"/>
  <c r="N449" i="1"/>
  <c r="J449" i="1"/>
  <c r="H449" i="1" s="1"/>
  <c r="N448" i="1"/>
  <c r="J448" i="1"/>
  <c r="H448" i="1" s="1"/>
  <c r="N442" i="1"/>
  <c r="J442" i="1"/>
  <c r="H442" i="1" s="1"/>
  <c r="F442" i="1"/>
  <c r="F441" i="1"/>
  <c r="F440" i="1"/>
  <c r="I974" i="4"/>
  <c r="F974" i="4"/>
  <c r="G974" i="4" s="1"/>
  <c r="I977" i="4"/>
  <c r="F977" i="4"/>
  <c r="G977" i="4" s="1"/>
  <c r="I976" i="4"/>
  <c r="F976" i="4"/>
  <c r="G976" i="4" s="1"/>
  <c r="I983" i="4"/>
  <c r="F983" i="4"/>
  <c r="G983" i="4" s="1"/>
  <c r="I984" i="4"/>
  <c r="I982" i="4"/>
  <c r="F982" i="4"/>
  <c r="G982" i="4" s="1"/>
  <c r="I697" i="4"/>
  <c r="I696" i="4"/>
  <c r="N488" i="1"/>
  <c r="J488" i="1"/>
  <c r="H488" i="1" s="1"/>
  <c r="I488" i="1" s="1"/>
  <c r="N487" i="1"/>
  <c r="J487" i="1"/>
  <c r="H487" i="1" s="1"/>
  <c r="I487" i="1" s="1"/>
  <c r="F431" i="1"/>
  <c r="F430" i="1"/>
  <c r="N545" i="1"/>
  <c r="J545" i="1"/>
  <c r="H545" i="1" s="1"/>
  <c r="I545" i="1" s="1"/>
  <c r="N544" i="1"/>
  <c r="J544" i="1"/>
  <c r="H544" i="1" s="1"/>
  <c r="I544" i="1" s="1"/>
  <c r="N543" i="1"/>
  <c r="J543" i="1"/>
  <c r="H543" i="1" s="1"/>
  <c r="I543" i="1" s="1"/>
  <c r="N542" i="1"/>
  <c r="J542" i="1"/>
  <c r="H542" i="1" s="1"/>
  <c r="I542" i="1" s="1"/>
  <c r="N541" i="1"/>
  <c r="J541" i="1"/>
  <c r="H541" i="1" s="1"/>
  <c r="I541" i="1" s="1"/>
  <c r="N540" i="1"/>
  <c r="J540" i="1"/>
  <c r="H540" i="1" s="1"/>
  <c r="I540" i="1" s="1"/>
  <c r="N538" i="1"/>
  <c r="J538" i="1"/>
  <c r="H538" i="1" s="1"/>
  <c r="I538" i="1" s="1"/>
  <c r="N537" i="1"/>
  <c r="J537" i="1"/>
  <c r="H537" i="1" s="1"/>
  <c r="I537" i="1" s="1"/>
  <c r="N536" i="1"/>
  <c r="J536" i="1"/>
  <c r="H536" i="1" s="1"/>
  <c r="I536" i="1" s="1"/>
  <c r="N535" i="1"/>
  <c r="J535" i="1"/>
  <c r="H535" i="1" s="1"/>
  <c r="I535" i="1" s="1"/>
  <c r="N534" i="1"/>
  <c r="J534" i="1"/>
  <c r="H534" i="1" s="1"/>
  <c r="I534" i="1" s="1"/>
  <c r="N533" i="1"/>
  <c r="J533" i="1"/>
  <c r="H533" i="1" s="1"/>
  <c r="I533" i="1" s="1"/>
  <c r="N531" i="1"/>
  <c r="J531" i="1"/>
  <c r="H531" i="1" s="1"/>
  <c r="I531" i="1" s="1"/>
  <c r="N530" i="1"/>
  <c r="J530" i="1"/>
  <c r="H530" i="1" s="1"/>
  <c r="I530" i="1" s="1"/>
  <c r="N529" i="1"/>
  <c r="J529" i="1"/>
  <c r="H529" i="1" s="1"/>
  <c r="I529" i="1" s="1"/>
  <c r="N528" i="1"/>
  <c r="J528" i="1"/>
  <c r="H528" i="1" s="1"/>
  <c r="I528" i="1" s="1"/>
  <c r="N527" i="1"/>
  <c r="J527" i="1"/>
  <c r="H527" i="1" s="1"/>
  <c r="I527" i="1" s="1"/>
  <c r="N526" i="1"/>
  <c r="J526" i="1"/>
  <c r="H526" i="1" s="1"/>
  <c r="I526" i="1" s="1"/>
  <c r="N503" i="1"/>
  <c r="J503" i="1"/>
  <c r="H503" i="1" s="1"/>
  <c r="I503" i="1" s="1"/>
  <c r="N502" i="1"/>
  <c r="J502" i="1"/>
  <c r="H502" i="1" s="1"/>
  <c r="I502" i="1" s="1"/>
  <c r="N496" i="1"/>
  <c r="J496" i="1"/>
  <c r="H496" i="1" s="1"/>
  <c r="I496" i="1" s="1"/>
  <c r="N495" i="1"/>
  <c r="J495" i="1"/>
  <c r="H495" i="1" s="1"/>
  <c r="I495" i="1" s="1"/>
  <c r="N494" i="1"/>
  <c r="J494" i="1"/>
  <c r="H494" i="1" s="1"/>
  <c r="I494" i="1" s="1"/>
  <c r="N493" i="1"/>
  <c r="J493" i="1"/>
  <c r="H493" i="1" s="1"/>
  <c r="I493" i="1" s="1"/>
  <c r="N492" i="1"/>
  <c r="J492" i="1"/>
  <c r="H492" i="1" s="1"/>
  <c r="I492" i="1" s="1"/>
  <c r="N491" i="1"/>
  <c r="J491" i="1"/>
  <c r="H491" i="1" s="1"/>
  <c r="I491" i="1" s="1"/>
  <c r="N490" i="1"/>
  <c r="J490" i="1"/>
  <c r="H490" i="1" s="1"/>
  <c r="I490" i="1" s="1"/>
  <c r="N489" i="1"/>
  <c r="J489" i="1"/>
  <c r="H489" i="1" s="1"/>
  <c r="I489" i="1" s="1"/>
  <c r="N476" i="1"/>
  <c r="J476" i="1"/>
  <c r="H476" i="1" s="1"/>
  <c r="I476" i="1" s="1"/>
  <c r="N475" i="1"/>
  <c r="J475" i="1"/>
  <c r="H475" i="1" s="1"/>
  <c r="I475" i="1" s="1"/>
  <c r="N452" i="1"/>
  <c r="J452" i="1"/>
  <c r="H452" i="1" s="1"/>
  <c r="I452" i="1" s="1"/>
  <c r="N451" i="1"/>
  <c r="J451" i="1"/>
  <c r="H451" i="1" s="1"/>
  <c r="I451" i="1" s="1"/>
  <c r="N446" i="1"/>
  <c r="J446" i="1"/>
  <c r="H446" i="1" s="1"/>
  <c r="I446" i="1" s="1"/>
  <c r="N445" i="1"/>
  <c r="J445" i="1"/>
  <c r="H445" i="1" s="1"/>
  <c r="I445" i="1" s="1"/>
  <c r="N444" i="1"/>
  <c r="J444" i="1"/>
  <c r="H444" i="1" s="1"/>
  <c r="I444" i="1" s="1"/>
  <c r="N441" i="1"/>
  <c r="J441" i="1"/>
  <c r="H441" i="1" s="1"/>
  <c r="N440" i="1"/>
  <c r="J440" i="1"/>
  <c r="H440" i="1" s="1"/>
  <c r="N434" i="1"/>
  <c r="J434" i="1"/>
  <c r="H434" i="1" s="1"/>
  <c r="I434" i="1" s="1"/>
  <c r="N433" i="1"/>
  <c r="J433" i="1"/>
  <c r="H433" i="1" s="1"/>
  <c r="I433" i="1" s="1"/>
  <c r="N432" i="1"/>
  <c r="J432" i="1"/>
  <c r="H432" i="1" s="1"/>
  <c r="I432" i="1" s="1"/>
  <c r="N431" i="1"/>
  <c r="J431" i="1"/>
  <c r="H431" i="1" s="1"/>
  <c r="N430" i="1"/>
  <c r="J430" i="1"/>
  <c r="H430" i="1" s="1"/>
  <c r="I1016" i="4"/>
  <c r="F1016" i="4"/>
  <c r="G1016" i="4" s="1"/>
  <c r="I1018" i="4"/>
  <c r="F1018" i="4"/>
  <c r="G1018" i="4" s="1"/>
  <c r="I1017" i="4"/>
  <c r="F1017" i="4"/>
  <c r="G1017" i="4" s="1"/>
  <c r="N424" i="1"/>
  <c r="J424" i="1"/>
  <c r="H424" i="1" s="1"/>
  <c r="I424" i="1" s="1"/>
  <c r="I1010" i="4"/>
  <c r="F1010" i="4"/>
  <c r="G1010" i="4" s="1"/>
  <c r="I1009" i="4"/>
  <c r="F1009" i="4"/>
  <c r="G1009" i="4" s="1"/>
  <c r="I1002" i="4"/>
  <c r="F1002" i="4"/>
  <c r="G1002" i="4" s="1"/>
  <c r="I1004" i="4"/>
  <c r="F1004" i="4"/>
  <c r="G1004" i="4" s="1"/>
  <c r="I1003" i="4"/>
  <c r="F1003" i="4"/>
  <c r="G1003" i="4" s="1"/>
  <c r="F995" i="4"/>
  <c r="G995" i="4" s="1"/>
  <c r="I997" i="4"/>
  <c r="F997" i="4"/>
  <c r="G997" i="4" s="1"/>
  <c r="I996" i="4"/>
  <c r="F996" i="4"/>
  <c r="G996" i="4" s="1"/>
  <c r="I989" i="4"/>
  <c r="B989" i="4" s="1"/>
  <c r="F989" i="4"/>
  <c r="G989" i="4" s="1"/>
  <c r="I988" i="4"/>
  <c r="B988" i="4" s="1"/>
  <c r="F988" i="4"/>
  <c r="G988" i="4" s="1"/>
  <c r="I990" i="4"/>
  <c r="F990" i="4"/>
  <c r="G990" i="4" s="1"/>
  <c r="L447" i="1" l="1"/>
  <c r="BF447" i="1"/>
  <c r="L430" i="1"/>
  <c r="BF430" i="1"/>
  <c r="L440" i="1"/>
  <c r="BF440" i="1"/>
  <c r="L441" i="1"/>
  <c r="BF441" i="1"/>
  <c r="L448" i="1"/>
  <c r="BF448" i="1"/>
  <c r="L442" i="1"/>
  <c r="BF442" i="1"/>
  <c r="L449" i="1"/>
  <c r="BF449" i="1"/>
  <c r="L431" i="1"/>
  <c r="BF431" i="1"/>
  <c r="I538" i="15"/>
  <c r="O538" i="15"/>
  <c r="I634" i="15"/>
  <c r="O634" i="15"/>
  <c r="I469" i="15"/>
  <c r="O469" i="15"/>
  <c r="I471" i="15"/>
  <c r="O471" i="15"/>
  <c r="I566" i="15"/>
  <c r="O566" i="15"/>
  <c r="I620" i="15"/>
  <c r="O620" i="15"/>
  <c r="I627" i="15"/>
  <c r="O627" i="15"/>
  <c r="I624" i="15"/>
  <c r="O624" i="15"/>
  <c r="I410" i="15"/>
  <c r="O410" i="15"/>
  <c r="I563" i="15"/>
  <c r="O563" i="15"/>
  <c r="I400" i="15"/>
  <c r="O400" i="15"/>
  <c r="I564" i="15"/>
  <c r="O564" i="15"/>
  <c r="I461" i="15"/>
  <c r="O461" i="15"/>
  <c r="I454" i="15"/>
  <c r="O454" i="15"/>
  <c r="I474" i="15"/>
  <c r="O474" i="15"/>
  <c r="I409" i="15"/>
  <c r="O409" i="15"/>
  <c r="I588" i="15"/>
  <c r="O588" i="15"/>
  <c r="I576" i="15"/>
  <c r="O576" i="15"/>
  <c r="I625" i="15"/>
  <c r="O625" i="15"/>
  <c r="I573" i="15"/>
  <c r="O573" i="15"/>
  <c r="I544" i="15"/>
  <c r="O544" i="15"/>
  <c r="I411" i="15"/>
  <c r="O411" i="15"/>
  <c r="I489" i="15"/>
  <c r="O489" i="15"/>
  <c r="I539" i="15"/>
  <c r="O539" i="15"/>
  <c r="I514" i="15"/>
  <c r="O514" i="15"/>
  <c r="I571" i="15"/>
  <c r="O571" i="15"/>
  <c r="I404" i="15"/>
  <c r="O404" i="15"/>
  <c r="I473" i="15"/>
  <c r="O473" i="15"/>
  <c r="I630" i="15"/>
  <c r="O630" i="15"/>
  <c r="I402" i="15"/>
  <c r="O402" i="15"/>
  <c r="I513" i="15"/>
  <c r="O513" i="15"/>
  <c r="I632" i="15"/>
  <c r="O632" i="15"/>
  <c r="I603" i="15"/>
  <c r="O603" i="15"/>
  <c r="I475" i="15"/>
  <c r="O475" i="15"/>
  <c r="I516" i="15"/>
  <c r="O516" i="15"/>
  <c r="I626" i="15"/>
  <c r="O626" i="15"/>
  <c r="I628" i="15"/>
  <c r="O628" i="15"/>
  <c r="I488" i="15"/>
  <c r="O488" i="15"/>
  <c r="I406" i="15"/>
  <c r="O406" i="15"/>
  <c r="I565" i="15"/>
  <c r="O565" i="15"/>
  <c r="I472" i="15"/>
  <c r="O472" i="15"/>
  <c r="I399" i="15"/>
  <c r="O399" i="15"/>
  <c r="I470" i="15"/>
  <c r="O470" i="15"/>
  <c r="I407" i="15"/>
  <c r="O407" i="15"/>
  <c r="I421" i="15"/>
  <c r="O421" i="15"/>
  <c r="I567" i="15"/>
  <c r="O567" i="15"/>
  <c r="I515" i="15"/>
  <c r="O515" i="15"/>
  <c r="I490" i="15"/>
  <c r="O490" i="15"/>
  <c r="I570" i="15"/>
  <c r="O570" i="15"/>
  <c r="I386" i="15"/>
  <c r="O386" i="15"/>
  <c r="I629" i="15"/>
  <c r="O629" i="15"/>
  <c r="I558" i="15"/>
  <c r="O558" i="15"/>
  <c r="I596" i="15"/>
  <c r="O596" i="15"/>
  <c r="I401" i="15"/>
  <c r="O401" i="15"/>
  <c r="I467" i="15"/>
  <c r="O467" i="15"/>
  <c r="I577" i="15"/>
  <c r="O577" i="15"/>
  <c r="I468" i="15"/>
  <c r="O468" i="15"/>
  <c r="I633" i="15"/>
  <c r="O633" i="15"/>
  <c r="J634" i="1"/>
  <c r="J710" i="1" s="1"/>
  <c r="H710" i="1" s="1"/>
  <c r="I710" i="1" s="1"/>
  <c r="H580" i="1"/>
  <c r="I580" i="1" s="1"/>
  <c r="J539" i="1"/>
  <c r="H539" i="1" s="1"/>
  <c r="I539" i="1" s="1"/>
  <c r="H482" i="1"/>
  <c r="I482" i="1" s="1"/>
  <c r="H664" i="1"/>
  <c r="I664" i="1" s="1"/>
  <c r="H483" i="1"/>
  <c r="I483" i="1" s="1"/>
  <c r="H554" i="1"/>
  <c r="I554" i="1" s="1"/>
  <c r="H633" i="1"/>
  <c r="I633" i="1" s="1"/>
  <c r="H480" i="1"/>
  <c r="I480" i="1" s="1"/>
  <c r="J1052" i="1"/>
  <c r="H1052" i="1" s="1"/>
  <c r="I1052" i="1" s="1"/>
  <c r="J579" i="1"/>
  <c r="J642" i="1" s="1"/>
  <c r="J1050" i="1"/>
  <c r="H1050" i="1" s="1"/>
  <c r="I1050" i="1" s="1"/>
  <c r="H571" i="1"/>
  <c r="I571" i="1" s="1"/>
  <c r="J974" i="1"/>
  <c r="H974" i="1" s="1"/>
  <c r="I974" i="1" s="1"/>
  <c r="H631" i="1"/>
  <c r="I631" i="1" s="1"/>
  <c r="J708" i="1"/>
  <c r="H708" i="1" s="1"/>
  <c r="I708" i="1" s="1"/>
  <c r="H632" i="1"/>
  <c r="I632" i="1" s="1"/>
  <c r="J709" i="1"/>
  <c r="H709" i="1" s="1"/>
  <c r="I709" i="1" s="1"/>
  <c r="H466" i="1"/>
  <c r="I466" i="1" s="1"/>
  <c r="H500" i="1"/>
  <c r="I500" i="1" s="1"/>
  <c r="H479" i="1"/>
  <c r="I479" i="1" s="1"/>
  <c r="H461" i="1"/>
  <c r="I461" i="1" s="1"/>
  <c r="H456" i="1"/>
  <c r="I456" i="1" s="1"/>
  <c r="H467" i="1"/>
  <c r="I467" i="1" s="1"/>
  <c r="H481" i="1"/>
  <c r="I481" i="1" s="1"/>
  <c r="H582" i="1"/>
  <c r="I582" i="1" s="1"/>
  <c r="J645" i="1"/>
  <c r="H645" i="1" s="1"/>
  <c r="I645" i="1" s="1"/>
  <c r="H583" i="1"/>
  <c r="I583" i="1" s="1"/>
  <c r="J646" i="1"/>
  <c r="H581" i="1"/>
  <c r="I581" i="1" s="1"/>
  <c r="J644" i="1"/>
  <c r="H644" i="1" s="1"/>
  <c r="I644" i="1" s="1"/>
  <c r="G978" i="4"/>
  <c r="I441" i="1"/>
  <c r="I447" i="1"/>
  <c r="I449" i="1"/>
  <c r="I442" i="1"/>
  <c r="I448" i="1"/>
  <c r="I440" i="1"/>
  <c r="G984" i="4"/>
  <c r="G1019" i="4"/>
  <c r="I431" i="1"/>
  <c r="I430" i="1"/>
  <c r="G1012" i="4"/>
  <c r="G1005" i="4"/>
  <c r="G998" i="4"/>
  <c r="G991" i="4"/>
  <c r="I592" i="15" l="1"/>
  <c r="L1146" i="1"/>
  <c r="BF428" i="1"/>
  <c r="BF427" i="1" s="1"/>
  <c r="BF240" i="1" s="1"/>
  <c r="I605" i="15"/>
  <c r="I550" i="15"/>
  <c r="I425" i="15"/>
  <c r="I384" i="15"/>
  <c r="I511" i="15"/>
  <c r="H634" i="1"/>
  <c r="I634" i="1" s="1"/>
  <c r="J415" i="1"/>
  <c r="H415" i="1" s="1"/>
  <c r="I415" i="1" s="1"/>
  <c r="J371" i="15"/>
  <c r="H371" i="15" s="1"/>
  <c r="J423" i="1"/>
  <c r="H423" i="1" s="1"/>
  <c r="I423" i="1" s="1"/>
  <c r="J379" i="15"/>
  <c r="H379" i="15" s="1"/>
  <c r="J422" i="1"/>
  <c r="H422" i="1" s="1"/>
  <c r="I422" i="1" s="1"/>
  <c r="J378" i="15"/>
  <c r="H378" i="15" s="1"/>
  <c r="J425" i="1"/>
  <c r="H425" i="1" s="1"/>
  <c r="I425" i="1" s="1"/>
  <c r="J381" i="15"/>
  <c r="H381" i="15" s="1"/>
  <c r="J413" i="1"/>
  <c r="H413" i="1" s="1"/>
  <c r="I413" i="1" s="1"/>
  <c r="J369" i="15"/>
  <c r="H369" i="15" s="1"/>
  <c r="J414" i="1"/>
  <c r="H414" i="1" s="1"/>
  <c r="I414" i="1" s="1"/>
  <c r="J370" i="15"/>
  <c r="H370" i="15" s="1"/>
  <c r="J420" i="1"/>
  <c r="H420" i="1" s="1"/>
  <c r="I420" i="1" s="1"/>
  <c r="J376" i="15"/>
  <c r="H376" i="15" s="1"/>
  <c r="I1006" i="1"/>
  <c r="I428" i="1"/>
  <c r="H579" i="1"/>
  <c r="I579" i="1" s="1"/>
  <c r="H646" i="1"/>
  <c r="I646" i="1" s="1"/>
  <c r="J716" i="1"/>
  <c r="H716" i="1" s="1"/>
  <c r="I716" i="1" s="1"/>
  <c r="H642" i="1"/>
  <c r="I642" i="1" s="1"/>
  <c r="J682" i="1"/>
  <c r="H682" i="1" s="1"/>
  <c r="I682" i="1" s="1"/>
  <c r="I660" i="1" s="1"/>
  <c r="N417" i="1"/>
  <c r="J417" i="1"/>
  <c r="H417" i="1" s="1"/>
  <c r="I417" i="1" s="1"/>
  <c r="N418" i="1"/>
  <c r="J418" i="1"/>
  <c r="H418" i="1" s="1"/>
  <c r="I418" i="1" s="1"/>
  <c r="N411" i="1"/>
  <c r="J411" i="1"/>
  <c r="H411" i="1" s="1"/>
  <c r="I411" i="1" s="1"/>
  <c r="N409" i="1"/>
  <c r="J409" i="1"/>
  <c r="H409" i="1" s="1"/>
  <c r="I409" i="1" s="1"/>
  <c r="I969" i="4"/>
  <c r="F969" i="4"/>
  <c r="G969" i="4" s="1"/>
  <c r="I968" i="4"/>
  <c r="F968" i="4"/>
  <c r="G968" i="4" s="1"/>
  <c r="I967" i="4"/>
  <c r="F967" i="4"/>
  <c r="G967" i="4" s="1"/>
  <c r="I966" i="4"/>
  <c r="F966" i="4"/>
  <c r="G966" i="4" s="1"/>
  <c r="I965" i="4"/>
  <c r="F965" i="4"/>
  <c r="G965" i="4" s="1"/>
  <c r="I959" i="4"/>
  <c r="F959" i="4"/>
  <c r="G959" i="4" s="1"/>
  <c r="I958" i="4"/>
  <c r="F958" i="4"/>
  <c r="G958" i="4" s="1"/>
  <c r="I957" i="4"/>
  <c r="F957" i="4"/>
  <c r="G957" i="4" s="1"/>
  <c r="I952" i="4"/>
  <c r="F952" i="4"/>
  <c r="G952" i="4" s="1"/>
  <c r="I951" i="4"/>
  <c r="F951" i="4"/>
  <c r="G951" i="4" s="1"/>
  <c r="I950" i="4"/>
  <c r="F950" i="4"/>
  <c r="G950" i="4" s="1"/>
  <c r="I945" i="4"/>
  <c r="F945" i="4"/>
  <c r="G945" i="4" s="1"/>
  <c r="I944" i="4"/>
  <c r="F944" i="4"/>
  <c r="G944" i="4" s="1"/>
  <c r="I943" i="4"/>
  <c r="F943" i="4"/>
  <c r="G943" i="4" s="1"/>
  <c r="I934" i="4"/>
  <c r="F934" i="4"/>
  <c r="G934" i="4" s="1"/>
  <c r="I936" i="4"/>
  <c r="F936" i="4"/>
  <c r="G936" i="4" s="1"/>
  <c r="I938" i="4"/>
  <c r="F938" i="4"/>
  <c r="G938" i="4" s="1"/>
  <c r="I937" i="4"/>
  <c r="F937" i="4"/>
  <c r="G937" i="4" s="1"/>
  <c r="I935" i="4"/>
  <c r="F935" i="4"/>
  <c r="G935" i="4" s="1"/>
  <c r="I929" i="4"/>
  <c r="F929" i="4"/>
  <c r="G929" i="4" s="1"/>
  <c r="I928" i="4"/>
  <c r="F928" i="4"/>
  <c r="G928" i="4" s="1"/>
  <c r="I927" i="4"/>
  <c r="F927" i="4"/>
  <c r="G927" i="4" s="1"/>
  <c r="I922" i="4"/>
  <c r="F922" i="4"/>
  <c r="G922" i="4" s="1"/>
  <c r="I921" i="4"/>
  <c r="F921" i="4"/>
  <c r="G921" i="4" s="1"/>
  <c r="I920" i="4"/>
  <c r="F920" i="4"/>
  <c r="G920" i="4" s="1"/>
  <c r="I915" i="4"/>
  <c r="F915" i="4"/>
  <c r="G915" i="4" s="1"/>
  <c r="I914" i="4"/>
  <c r="F914" i="4"/>
  <c r="G914" i="4" s="1"/>
  <c r="I913" i="4"/>
  <c r="F913" i="4"/>
  <c r="G913" i="4" s="1"/>
  <c r="I908" i="4"/>
  <c r="F908" i="4"/>
  <c r="G908" i="4" s="1"/>
  <c r="I907" i="4"/>
  <c r="F907" i="4"/>
  <c r="G907" i="4" s="1"/>
  <c r="I906" i="4"/>
  <c r="F906" i="4"/>
  <c r="G906" i="4" s="1"/>
  <c r="I900" i="4"/>
  <c r="F900" i="4"/>
  <c r="G900" i="4" s="1"/>
  <c r="I899" i="4"/>
  <c r="F899" i="4"/>
  <c r="G899" i="4" s="1"/>
  <c r="I898" i="4"/>
  <c r="F898" i="4"/>
  <c r="G898" i="4" s="1"/>
  <c r="N416" i="1"/>
  <c r="J416" i="1"/>
  <c r="H416" i="1" s="1"/>
  <c r="I416" i="1" s="1"/>
  <c r="N412" i="1"/>
  <c r="J412" i="1"/>
  <c r="H412" i="1" s="1"/>
  <c r="I412" i="1" s="1"/>
  <c r="H410" i="1"/>
  <c r="I410" i="1" s="1"/>
  <c r="N408" i="1"/>
  <c r="J408" i="1"/>
  <c r="H408" i="1" s="1"/>
  <c r="I408" i="1" s="1"/>
  <c r="N405" i="1"/>
  <c r="J405" i="1"/>
  <c r="H405" i="1" s="1"/>
  <c r="I405" i="1" s="1"/>
  <c r="N402" i="1"/>
  <c r="J402" i="1"/>
  <c r="H402" i="1" s="1"/>
  <c r="I402" i="1" s="1"/>
  <c r="N395" i="1"/>
  <c r="J395" i="1"/>
  <c r="H395" i="1" s="1"/>
  <c r="I395" i="1" s="1"/>
  <c r="N393" i="1"/>
  <c r="J393" i="1"/>
  <c r="H393" i="1" s="1"/>
  <c r="I393" i="1" s="1"/>
  <c r="F887" i="4"/>
  <c r="G887" i="4" s="1"/>
  <c r="I892" i="4"/>
  <c r="F892" i="4"/>
  <c r="G892" i="4" s="1"/>
  <c r="I891" i="4"/>
  <c r="F891" i="4"/>
  <c r="G891" i="4" s="1"/>
  <c r="I890" i="4"/>
  <c r="F890" i="4"/>
  <c r="G890" i="4" s="1"/>
  <c r="I889" i="4"/>
  <c r="F889" i="4"/>
  <c r="G889" i="4" s="1"/>
  <c r="I888" i="4"/>
  <c r="F888" i="4"/>
  <c r="G888" i="4" s="1"/>
  <c r="I882" i="4"/>
  <c r="F882" i="4"/>
  <c r="G882" i="4" s="1"/>
  <c r="I881" i="4"/>
  <c r="F881" i="4"/>
  <c r="G881" i="4" s="1"/>
  <c r="I880" i="4"/>
  <c r="F880" i="4"/>
  <c r="G880" i="4" s="1"/>
  <c r="I879" i="4"/>
  <c r="F879" i="4"/>
  <c r="G879" i="4" s="1"/>
  <c r="I878" i="4"/>
  <c r="F878" i="4"/>
  <c r="G878" i="4" s="1"/>
  <c r="I877" i="4"/>
  <c r="F877" i="4"/>
  <c r="G877" i="4" s="1"/>
  <c r="I876" i="4"/>
  <c r="F876" i="4"/>
  <c r="G876" i="4" s="1"/>
  <c r="I875" i="4"/>
  <c r="F875" i="4"/>
  <c r="G875" i="4" s="1"/>
  <c r="I874" i="4"/>
  <c r="F874" i="4"/>
  <c r="G874" i="4" s="1"/>
  <c r="I873" i="4"/>
  <c r="F873" i="4"/>
  <c r="G873" i="4" s="1"/>
  <c r="I872" i="4"/>
  <c r="F872" i="4"/>
  <c r="G872" i="4" s="1"/>
  <c r="I871" i="4"/>
  <c r="F871" i="4"/>
  <c r="G871" i="4" s="1"/>
  <c r="I870" i="4"/>
  <c r="F870" i="4"/>
  <c r="G870" i="4" s="1"/>
  <c r="I821" i="4"/>
  <c r="F821" i="4"/>
  <c r="G821" i="4" s="1"/>
  <c r="I861" i="4"/>
  <c r="F861" i="4"/>
  <c r="G861" i="4" s="1"/>
  <c r="I865" i="4"/>
  <c r="F865" i="4"/>
  <c r="G865" i="4" s="1"/>
  <c r="I864" i="4"/>
  <c r="F864" i="4"/>
  <c r="G864" i="4" s="1"/>
  <c r="I863" i="4"/>
  <c r="F863" i="4"/>
  <c r="G863" i="4" s="1"/>
  <c r="I862" i="4"/>
  <c r="F862" i="4"/>
  <c r="G862" i="4" s="1"/>
  <c r="I860" i="4"/>
  <c r="F860" i="4"/>
  <c r="G860" i="4" s="1"/>
  <c r="I859" i="4"/>
  <c r="F859" i="4"/>
  <c r="G859" i="4" s="1"/>
  <c r="I854" i="4"/>
  <c r="F854" i="4"/>
  <c r="G854" i="4" s="1"/>
  <c r="I853" i="4"/>
  <c r="F853" i="4"/>
  <c r="G853" i="4" s="1"/>
  <c r="I852" i="4"/>
  <c r="F852" i="4"/>
  <c r="G852" i="4" s="1"/>
  <c r="I851" i="4"/>
  <c r="F851" i="4"/>
  <c r="G851" i="4" s="1"/>
  <c r="I850" i="4"/>
  <c r="F850" i="4"/>
  <c r="G850" i="4" s="1"/>
  <c r="I849" i="4"/>
  <c r="F849" i="4"/>
  <c r="G849" i="4" s="1"/>
  <c r="I844" i="4"/>
  <c r="F844" i="4"/>
  <c r="G844" i="4" s="1"/>
  <c r="I843" i="4"/>
  <c r="F843" i="4"/>
  <c r="G843" i="4" s="1"/>
  <c r="I842" i="4"/>
  <c r="F842" i="4"/>
  <c r="G842" i="4" s="1"/>
  <c r="I841" i="4"/>
  <c r="F841" i="4"/>
  <c r="G841" i="4" s="1"/>
  <c r="I840" i="4"/>
  <c r="F840" i="4"/>
  <c r="G840" i="4" s="1"/>
  <c r="N381" i="1"/>
  <c r="N380" i="1"/>
  <c r="I835" i="4"/>
  <c r="F835" i="4"/>
  <c r="G835" i="4" s="1"/>
  <c r="I834" i="4"/>
  <c r="F834" i="4"/>
  <c r="G834" i="4" s="1"/>
  <c r="I833" i="4"/>
  <c r="F833" i="4"/>
  <c r="G833" i="4" s="1"/>
  <c r="I832" i="4"/>
  <c r="F832" i="4"/>
  <c r="G832" i="4" s="1"/>
  <c r="I831" i="4"/>
  <c r="F831" i="4"/>
  <c r="G831" i="4" s="1"/>
  <c r="I830" i="4"/>
  <c r="F830" i="4"/>
  <c r="G830" i="4" s="1"/>
  <c r="I829" i="4"/>
  <c r="F829" i="4"/>
  <c r="G829" i="4" s="1"/>
  <c r="I828" i="4"/>
  <c r="F828" i="4"/>
  <c r="G828" i="4" s="1"/>
  <c r="I827" i="4"/>
  <c r="F827" i="4"/>
  <c r="G827" i="4" s="1"/>
  <c r="I826" i="4"/>
  <c r="F826" i="4"/>
  <c r="G826" i="4" s="1"/>
  <c r="I825" i="4"/>
  <c r="F825" i="4"/>
  <c r="G825" i="4" s="1"/>
  <c r="I824" i="4"/>
  <c r="F824" i="4"/>
  <c r="G824" i="4" s="1"/>
  <c r="I823" i="4"/>
  <c r="F823" i="4"/>
  <c r="G823" i="4" s="1"/>
  <c r="I822" i="4"/>
  <c r="F822" i="4"/>
  <c r="G822" i="4" s="1"/>
  <c r="I816" i="4"/>
  <c r="B816" i="4" s="1"/>
  <c r="F816" i="4"/>
  <c r="G816" i="4" s="1"/>
  <c r="I810" i="4"/>
  <c r="F810" i="4"/>
  <c r="G810" i="4" s="1"/>
  <c r="I815" i="4"/>
  <c r="F815" i="4"/>
  <c r="G815" i="4" s="1"/>
  <c r="I814" i="4"/>
  <c r="F814" i="4"/>
  <c r="G814" i="4" s="1"/>
  <c r="I813" i="4"/>
  <c r="F813" i="4"/>
  <c r="G813" i="4" s="1"/>
  <c r="I812" i="4"/>
  <c r="F812" i="4"/>
  <c r="G812" i="4" s="1"/>
  <c r="I811" i="4"/>
  <c r="F811" i="4"/>
  <c r="G811" i="4" s="1"/>
  <c r="I809" i="4"/>
  <c r="F809" i="4"/>
  <c r="G809" i="4" s="1"/>
  <c r="I802" i="4"/>
  <c r="F802" i="4"/>
  <c r="G802" i="4" s="1"/>
  <c r="I804" i="4"/>
  <c r="F804" i="4"/>
  <c r="G804" i="4" s="1"/>
  <c r="I803" i="4"/>
  <c r="F803" i="4"/>
  <c r="G803" i="4" s="1"/>
  <c r="I801" i="4"/>
  <c r="F801" i="4"/>
  <c r="G801" i="4" s="1"/>
  <c r="I800" i="4"/>
  <c r="F800" i="4"/>
  <c r="G800" i="4" s="1"/>
  <c r="I794" i="4"/>
  <c r="F794" i="4"/>
  <c r="G794" i="4" s="1"/>
  <c r="I795" i="4"/>
  <c r="F795" i="4"/>
  <c r="G795" i="4" s="1"/>
  <c r="I793" i="4"/>
  <c r="F793" i="4"/>
  <c r="G793" i="4" s="1"/>
  <c r="I792" i="4"/>
  <c r="F792" i="4"/>
  <c r="G792" i="4" s="1"/>
  <c r="I787" i="4"/>
  <c r="F787" i="4"/>
  <c r="G787" i="4" s="1"/>
  <c r="I786" i="4"/>
  <c r="F786" i="4"/>
  <c r="G786" i="4" s="1"/>
  <c r="I785" i="4"/>
  <c r="F785" i="4"/>
  <c r="G785" i="4" s="1"/>
  <c r="I784" i="4"/>
  <c r="F784" i="4"/>
  <c r="G784" i="4" s="1"/>
  <c r="I783" i="4"/>
  <c r="F783" i="4"/>
  <c r="G783" i="4" s="1"/>
  <c r="I782" i="4"/>
  <c r="F782" i="4"/>
  <c r="G782" i="4" s="1"/>
  <c r="I781" i="4"/>
  <c r="F781" i="4"/>
  <c r="G781" i="4" s="1"/>
  <c r="I780" i="4"/>
  <c r="F780" i="4"/>
  <c r="G780" i="4" s="1"/>
  <c r="I779" i="4"/>
  <c r="F779" i="4"/>
  <c r="G779" i="4" s="1"/>
  <c r="I774" i="4"/>
  <c r="F774" i="4"/>
  <c r="G774" i="4" s="1"/>
  <c r="I773" i="4"/>
  <c r="F773" i="4"/>
  <c r="G773" i="4" s="1"/>
  <c r="I772" i="4"/>
  <c r="F772" i="4"/>
  <c r="G772" i="4" s="1"/>
  <c r="I771" i="4"/>
  <c r="F771" i="4"/>
  <c r="G771" i="4" s="1"/>
  <c r="I770" i="4"/>
  <c r="F770" i="4"/>
  <c r="G770" i="4" s="1"/>
  <c r="I765" i="4"/>
  <c r="F765" i="4"/>
  <c r="G765" i="4" s="1"/>
  <c r="I764" i="4"/>
  <c r="F764" i="4"/>
  <c r="G764" i="4" s="1"/>
  <c r="I763" i="4"/>
  <c r="F763" i="4"/>
  <c r="G763" i="4" s="1"/>
  <c r="I762" i="4"/>
  <c r="F762" i="4"/>
  <c r="G762" i="4" s="1"/>
  <c r="I761" i="4"/>
  <c r="F761" i="4"/>
  <c r="G761" i="4" s="1"/>
  <c r="I756" i="4"/>
  <c r="F756" i="4"/>
  <c r="G756" i="4" s="1"/>
  <c r="I755" i="4"/>
  <c r="F755" i="4"/>
  <c r="G755" i="4" s="1"/>
  <c r="I754" i="4"/>
  <c r="F754" i="4"/>
  <c r="G754" i="4" s="1"/>
  <c r="I753" i="4"/>
  <c r="F753" i="4"/>
  <c r="G753" i="4" s="1"/>
  <c r="I752" i="4"/>
  <c r="F752" i="4"/>
  <c r="G752" i="4" s="1"/>
  <c r="I747" i="4"/>
  <c r="F747" i="4"/>
  <c r="G747" i="4" s="1"/>
  <c r="I746" i="4"/>
  <c r="F746" i="4"/>
  <c r="G746" i="4" s="1"/>
  <c r="I745" i="4"/>
  <c r="F745" i="4"/>
  <c r="G745" i="4" s="1"/>
  <c r="I744" i="4"/>
  <c r="F744" i="4"/>
  <c r="G744" i="4" s="1"/>
  <c r="I743" i="4"/>
  <c r="B743" i="4" s="1"/>
  <c r="F743" i="4"/>
  <c r="G743" i="4" s="1"/>
  <c r="I738" i="4"/>
  <c r="F738" i="4"/>
  <c r="G738" i="4" s="1"/>
  <c r="I737" i="4"/>
  <c r="F737" i="4"/>
  <c r="G737" i="4" s="1"/>
  <c r="I736" i="4"/>
  <c r="F736" i="4"/>
  <c r="G736" i="4" s="1"/>
  <c r="I735" i="4"/>
  <c r="F735" i="4"/>
  <c r="G735" i="4" s="1"/>
  <c r="I734" i="4"/>
  <c r="F734" i="4"/>
  <c r="G734" i="4" s="1"/>
  <c r="I729" i="4"/>
  <c r="F729" i="4"/>
  <c r="G729" i="4" s="1"/>
  <c r="I728" i="4"/>
  <c r="F728" i="4"/>
  <c r="G728" i="4" s="1"/>
  <c r="I727" i="4"/>
  <c r="F727" i="4"/>
  <c r="G727" i="4" s="1"/>
  <c r="I726" i="4"/>
  <c r="F726" i="4"/>
  <c r="G726" i="4" s="1"/>
  <c r="I725" i="4"/>
  <c r="F725" i="4"/>
  <c r="G725" i="4" s="1"/>
  <c r="I720" i="4"/>
  <c r="F720" i="4"/>
  <c r="G720" i="4" s="1"/>
  <c r="I719" i="4"/>
  <c r="F719" i="4"/>
  <c r="G719" i="4" s="1"/>
  <c r="I718" i="4"/>
  <c r="F718" i="4"/>
  <c r="G718" i="4" s="1"/>
  <c r="I717" i="4"/>
  <c r="F717" i="4"/>
  <c r="G717" i="4" s="1"/>
  <c r="I716" i="4"/>
  <c r="F716" i="4"/>
  <c r="G716" i="4" s="1"/>
  <c r="F1741" i="4"/>
  <c r="G1741" i="4" s="1"/>
  <c r="I1740" i="4"/>
  <c r="I1739" i="4"/>
  <c r="F1740" i="4"/>
  <c r="G1740" i="4" s="1"/>
  <c r="F1739" i="4"/>
  <c r="G1739" i="4" s="1"/>
  <c r="I1743" i="4"/>
  <c r="F1743" i="4"/>
  <c r="G1743" i="4" s="1"/>
  <c r="I1742" i="4"/>
  <c r="F1742" i="4"/>
  <c r="G1742" i="4" s="1"/>
  <c r="I1734" i="4"/>
  <c r="F1734" i="4"/>
  <c r="G1734" i="4" s="1"/>
  <c r="I1733" i="4"/>
  <c r="F1733" i="4"/>
  <c r="G1733" i="4" s="1"/>
  <c r="I1723" i="4"/>
  <c r="F1723" i="4"/>
  <c r="G1723" i="4" s="1"/>
  <c r="I1725" i="4"/>
  <c r="F1725" i="4"/>
  <c r="G1725" i="4" s="1"/>
  <c r="I1724" i="4"/>
  <c r="F1724" i="4"/>
  <c r="G1724" i="4" s="1"/>
  <c r="I1722" i="4"/>
  <c r="F1722" i="4"/>
  <c r="G1722" i="4" s="1"/>
  <c r="I1714" i="4"/>
  <c r="F1714" i="4"/>
  <c r="G1714" i="4" s="1"/>
  <c r="I1717" i="4"/>
  <c r="F1717" i="4"/>
  <c r="G1717" i="4" s="1"/>
  <c r="I1716" i="4"/>
  <c r="F1716" i="4"/>
  <c r="G1716" i="4" s="1"/>
  <c r="I1715" i="4"/>
  <c r="F1715" i="4"/>
  <c r="G1715" i="4" s="1"/>
  <c r="I1708" i="4"/>
  <c r="F1708" i="4"/>
  <c r="G1708" i="4" s="1"/>
  <c r="I1709" i="4"/>
  <c r="B1709" i="4" s="1"/>
  <c r="F1709" i="4"/>
  <c r="G1709" i="4" s="1"/>
  <c r="N366" i="1"/>
  <c r="N364" i="1"/>
  <c r="I708" i="4"/>
  <c r="F708" i="4"/>
  <c r="G708" i="4" s="1"/>
  <c r="I710" i="4"/>
  <c r="F710" i="4"/>
  <c r="G710" i="4" s="1"/>
  <c r="I709" i="4"/>
  <c r="F709" i="4"/>
  <c r="G709" i="4" s="1"/>
  <c r="I707" i="4"/>
  <c r="F707" i="4"/>
  <c r="G707" i="4" s="1"/>
  <c r="I706" i="4"/>
  <c r="F706" i="4"/>
  <c r="G706" i="4" s="1"/>
  <c r="I698" i="4"/>
  <c r="F698" i="4"/>
  <c r="G698" i="4" s="1"/>
  <c r="I699" i="4"/>
  <c r="F699" i="4"/>
  <c r="G699" i="4" s="1"/>
  <c r="I700" i="4"/>
  <c r="F700" i="4"/>
  <c r="G700" i="4" s="1"/>
  <c r="I701" i="4"/>
  <c r="F701" i="4"/>
  <c r="G701" i="4" s="1"/>
  <c r="F697" i="4"/>
  <c r="G697" i="4" s="1"/>
  <c r="F696" i="4"/>
  <c r="G696" i="4" s="1"/>
  <c r="I689" i="4"/>
  <c r="F689" i="4"/>
  <c r="G689" i="4" s="1"/>
  <c r="I688" i="4"/>
  <c r="F688" i="4"/>
  <c r="G688" i="4" s="1"/>
  <c r="I687" i="4"/>
  <c r="F687" i="4"/>
  <c r="G687" i="4" s="1"/>
  <c r="I686" i="4"/>
  <c r="F686" i="4"/>
  <c r="G686" i="4" s="1"/>
  <c r="I690" i="4"/>
  <c r="F690" i="4"/>
  <c r="G690" i="4" s="1"/>
  <c r="I691" i="4"/>
  <c r="F691" i="4"/>
  <c r="G691" i="4" s="1"/>
  <c r="F675" i="4"/>
  <c r="G675" i="4" s="1"/>
  <c r="I675" i="4"/>
  <c r="I674" i="4"/>
  <c r="F674" i="4"/>
  <c r="G674" i="4" s="1"/>
  <c r="I673" i="4"/>
  <c r="F673" i="4"/>
  <c r="G673" i="4" s="1"/>
  <c r="I676" i="4"/>
  <c r="F676" i="4"/>
  <c r="G676" i="4" s="1"/>
  <c r="I677" i="4"/>
  <c r="F677" i="4"/>
  <c r="G677" i="4" s="1"/>
  <c r="I678" i="4"/>
  <c r="F678" i="4"/>
  <c r="G678" i="4" s="1"/>
  <c r="I679" i="4"/>
  <c r="F679" i="4"/>
  <c r="G679" i="4" s="1"/>
  <c r="I680" i="4"/>
  <c r="F680" i="4"/>
  <c r="G680" i="4" s="1"/>
  <c r="I681" i="4"/>
  <c r="F681" i="4"/>
  <c r="G681" i="4" s="1"/>
  <c r="I668" i="4"/>
  <c r="F668" i="4"/>
  <c r="G668" i="4" s="1"/>
  <c r="I667" i="4"/>
  <c r="F667" i="4"/>
  <c r="G667" i="4" s="1"/>
  <c r="I666" i="4"/>
  <c r="F666" i="4"/>
  <c r="G666" i="4" s="1"/>
  <c r="I659" i="4"/>
  <c r="F659" i="4"/>
  <c r="G659" i="4" s="1"/>
  <c r="I660" i="4"/>
  <c r="F660" i="4"/>
  <c r="G660" i="4" s="1"/>
  <c r="I661" i="4"/>
  <c r="F661" i="4"/>
  <c r="G661" i="4" s="1"/>
  <c r="F651" i="4"/>
  <c r="G651" i="4" s="1"/>
  <c r="I654" i="4"/>
  <c r="F654" i="4"/>
  <c r="G654" i="4" s="1"/>
  <c r="I653" i="4"/>
  <c r="F653" i="4"/>
  <c r="G653" i="4" s="1"/>
  <c r="I652" i="4"/>
  <c r="F652" i="4"/>
  <c r="G652" i="4" s="1"/>
  <c r="I650" i="4"/>
  <c r="F650" i="4"/>
  <c r="G650" i="4" s="1"/>
  <c r="F643" i="4"/>
  <c r="G643" i="4" s="1"/>
  <c r="I645" i="4"/>
  <c r="F645" i="4"/>
  <c r="G645" i="4" s="1"/>
  <c r="I644" i="4"/>
  <c r="F644" i="4"/>
  <c r="G644" i="4" s="1"/>
  <c r="I642" i="4"/>
  <c r="F642" i="4"/>
  <c r="G642" i="4" s="1"/>
  <c r="F633" i="4"/>
  <c r="G633" i="4" s="1"/>
  <c r="I634" i="4"/>
  <c r="F634" i="4"/>
  <c r="G634" i="4" s="1"/>
  <c r="I635" i="4"/>
  <c r="F635" i="4"/>
  <c r="G635" i="4" s="1"/>
  <c r="I636" i="4"/>
  <c r="F636" i="4"/>
  <c r="G636" i="4" s="1"/>
  <c r="I637" i="4"/>
  <c r="F637" i="4"/>
  <c r="G637" i="4" s="1"/>
  <c r="I625" i="4"/>
  <c r="F625" i="4"/>
  <c r="G625" i="4" s="1"/>
  <c r="I624" i="4"/>
  <c r="F624" i="4"/>
  <c r="G624" i="4" s="1"/>
  <c r="I627" i="4"/>
  <c r="F627" i="4"/>
  <c r="G627" i="4" s="1"/>
  <c r="I626" i="4"/>
  <c r="F626" i="4"/>
  <c r="G626" i="4" s="1"/>
  <c r="I623" i="4"/>
  <c r="F623" i="4"/>
  <c r="G623" i="4" s="1"/>
  <c r="I622" i="4"/>
  <c r="F622" i="4"/>
  <c r="G622" i="4" s="1"/>
  <c r="I621" i="4"/>
  <c r="F621" i="4"/>
  <c r="G621" i="4" s="1"/>
  <c r="I620" i="4"/>
  <c r="F620" i="4"/>
  <c r="G620" i="4" s="1"/>
  <c r="I619" i="4"/>
  <c r="F619" i="4"/>
  <c r="G619" i="4" s="1"/>
  <c r="I618" i="4"/>
  <c r="B618" i="4" s="1"/>
  <c r="F618" i="4"/>
  <c r="G618" i="4" s="1"/>
  <c r="I613" i="4"/>
  <c r="F613" i="4"/>
  <c r="G613" i="4" s="1"/>
  <c r="I612" i="4"/>
  <c r="F612" i="4"/>
  <c r="G612" i="4" s="1"/>
  <c r="F611" i="4"/>
  <c r="G611" i="4" s="1"/>
  <c r="I610" i="4"/>
  <c r="F610" i="4"/>
  <c r="G610" i="4" s="1"/>
  <c r="I609" i="4"/>
  <c r="F609" i="4"/>
  <c r="G609" i="4" s="1"/>
  <c r="I608" i="4"/>
  <c r="F608" i="4"/>
  <c r="G608" i="4" s="1"/>
  <c r="I607" i="4"/>
  <c r="F607" i="4"/>
  <c r="G607" i="4" s="1"/>
  <c r="I606" i="4"/>
  <c r="F606" i="4"/>
  <c r="G606" i="4" s="1"/>
  <c r="N285" i="1"/>
  <c r="J285" i="1"/>
  <c r="H285" i="1" s="1"/>
  <c r="I285" i="1" s="1"/>
  <c r="N284" i="1"/>
  <c r="H284" i="1"/>
  <c r="I284" i="1" s="1"/>
  <c r="N281" i="1"/>
  <c r="J281" i="1"/>
  <c r="H281" i="1" s="1"/>
  <c r="I281" i="1" s="1"/>
  <c r="I598" i="4"/>
  <c r="F598" i="4"/>
  <c r="G598" i="4" s="1"/>
  <c r="I599" i="4"/>
  <c r="F599" i="4"/>
  <c r="G599" i="4" s="1"/>
  <c r="I600" i="4"/>
  <c r="F600" i="4"/>
  <c r="G600" i="4" s="1"/>
  <c r="I601" i="4"/>
  <c r="F601" i="4"/>
  <c r="G601" i="4" s="1"/>
  <c r="I597" i="4"/>
  <c r="F597" i="4"/>
  <c r="G597" i="4" s="1"/>
  <c r="I596" i="4"/>
  <c r="F596" i="4"/>
  <c r="G596" i="4" s="1"/>
  <c r="I595" i="4"/>
  <c r="F595" i="4"/>
  <c r="G595" i="4" s="1"/>
  <c r="I594" i="4"/>
  <c r="F594" i="4"/>
  <c r="G594" i="4" s="1"/>
  <c r="I589" i="4"/>
  <c r="F589" i="4"/>
  <c r="G589" i="4" s="1"/>
  <c r="I588" i="4"/>
  <c r="F588" i="4"/>
  <c r="G588" i="4" s="1"/>
  <c r="I587" i="4"/>
  <c r="F587" i="4"/>
  <c r="G587" i="4" s="1"/>
  <c r="I586" i="4"/>
  <c r="F586" i="4"/>
  <c r="G586" i="4" s="1"/>
  <c r="I585" i="4"/>
  <c r="F585" i="4"/>
  <c r="G585" i="4" s="1"/>
  <c r="I584" i="4"/>
  <c r="F584" i="4"/>
  <c r="G584" i="4" s="1"/>
  <c r="I579" i="4"/>
  <c r="F579" i="4"/>
  <c r="G579" i="4" s="1"/>
  <c r="I578" i="4"/>
  <c r="F578" i="4"/>
  <c r="G578" i="4" s="1"/>
  <c r="I577" i="4"/>
  <c r="F577" i="4"/>
  <c r="G577" i="4" s="1"/>
  <c r="I576" i="4"/>
  <c r="F576" i="4"/>
  <c r="G576" i="4" s="1"/>
  <c r="I575" i="4"/>
  <c r="F575" i="4"/>
  <c r="G575" i="4" s="1"/>
  <c r="I574" i="4"/>
  <c r="F574" i="4"/>
  <c r="G574" i="4" s="1"/>
  <c r="I569" i="4"/>
  <c r="F569" i="4"/>
  <c r="G569" i="4" s="1"/>
  <c r="I568" i="4"/>
  <c r="F568" i="4"/>
  <c r="G568" i="4" s="1"/>
  <c r="I567" i="4"/>
  <c r="F567" i="4"/>
  <c r="G567" i="4" s="1"/>
  <c r="I566" i="4"/>
  <c r="F566" i="4"/>
  <c r="G566" i="4" s="1"/>
  <c r="I565" i="4"/>
  <c r="F565" i="4"/>
  <c r="G565" i="4" s="1"/>
  <c r="I564" i="4"/>
  <c r="F564" i="4"/>
  <c r="G564" i="4" s="1"/>
  <c r="I558" i="4"/>
  <c r="F558" i="4"/>
  <c r="G558" i="4" s="1"/>
  <c r="I557" i="4"/>
  <c r="F557" i="4"/>
  <c r="G557" i="4" s="1"/>
  <c r="I556" i="4"/>
  <c r="F556" i="4"/>
  <c r="G556" i="4" s="1"/>
  <c r="I555" i="4"/>
  <c r="F555" i="4"/>
  <c r="G555" i="4" s="1"/>
  <c r="I554" i="4"/>
  <c r="F554" i="4"/>
  <c r="G554" i="4" s="1"/>
  <c r="I553" i="4"/>
  <c r="F553" i="4"/>
  <c r="G553" i="4" s="1"/>
  <c r="I548" i="4"/>
  <c r="F548" i="4"/>
  <c r="G548" i="4" s="1"/>
  <c r="I547" i="4"/>
  <c r="F547" i="4"/>
  <c r="G547" i="4" s="1"/>
  <c r="I546" i="4"/>
  <c r="F546" i="4"/>
  <c r="G546" i="4" s="1"/>
  <c r="I545" i="4"/>
  <c r="F545" i="4"/>
  <c r="G545" i="4" s="1"/>
  <c r="I544" i="4"/>
  <c r="F544" i="4"/>
  <c r="G544" i="4" s="1"/>
  <c r="I543" i="4"/>
  <c r="F543" i="4"/>
  <c r="G543" i="4" s="1"/>
  <c r="I537" i="4"/>
  <c r="F537" i="4"/>
  <c r="G537" i="4" s="1"/>
  <c r="I536" i="4"/>
  <c r="F536" i="4"/>
  <c r="G536" i="4" s="1"/>
  <c r="I535" i="4"/>
  <c r="F535" i="4"/>
  <c r="G535" i="4" s="1"/>
  <c r="I534" i="4"/>
  <c r="F534" i="4"/>
  <c r="G534" i="4" s="1"/>
  <c r="I533" i="4"/>
  <c r="F533" i="4"/>
  <c r="G533" i="4" s="1"/>
  <c r="I532" i="4"/>
  <c r="F532" i="4"/>
  <c r="G532" i="4" s="1"/>
  <c r="I527" i="4"/>
  <c r="F527" i="4"/>
  <c r="G527" i="4" s="1"/>
  <c r="I526" i="4"/>
  <c r="F526" i="4"/>
  <c r="G526" i="4" s="1"/>
  <c r="I525" i="4"/>
  <c r="F525" i="4"/>
  <c r="G525" i="4" s="1"/>
  <c r="I524" i="4"/>
  <c r="F524" i="4"/>
  <c r="G524" i="4" s="1"/>
  <c r="I523" i="4"/>
  <c r="F523" i="4"/>
  <c r="G523" i="4" s="1"/>
  <c r="I522" i="4"/>
  <c r="F522" i="4"/>
  <c r="G522" i="4" s="1"/>
  <c r="I514" i="4"/>
  <c r="F514" i="4"/>
  <c r="G514" i="4" s="1"/>
  <c r="I513" i="4"/>
  <c r="F513" i="4"/>
  <c r="G513" i="4" s="1"/>
  <c r="I512" i="4"/>
  <c r="F512" i="4"/>
  <c r="G512" i="4" s="1"/>
  <c r="I511" i="4"/>
  <c r="F511" i="4"/>
  <c r="G511" i="4" s="1"/>
  <c r="I515" i="4"/>
  <c r="F515" i="4"/>
  <c r="G515" i="4" s="1"/>
  <c r="I516" i="4"/>
  <c r="F516" i="4"/>
  <c r="G516" i="4" s="1"/>
  <c r="I504" i="4"/>
  <c r="F504" i="4"/>
  <c r="G504" i="4" s="1"/>
  <c r="I506" i="4"/>
  <c r="F506" i="4"/>
  <c r="G506" i="4" s="1"/>
  <c r="I505" i="4"/>
  <c r="F505" i="4"/>
  <c r="G505" i="4" s="1"/>
  <c r="I499" i="4"/>
  <c r="F499" i="4"/>
  <c r="G499" i="4" s="1"/>
  <c r="I498" i="4"/>
  <c r="F498" i="4"/>
  <c r="G498" i="4" s="1"/>
  <c r="I497" i="4"/>
  <c r="F497" i="4"/>
  <c r="G497" i="4" s="1"/>
  <c r="I496" i="4"/>
  <c r="F496" i="4"/>
  <c r="G496" i="4" s="1"/>
  <c r="I495" i="4"/>
  <c r="F495" i="4"/>
  <c r="G495" i="4" s="1"/>
  <c r="I494" i="4"/>
  <c r="F494" i="4"/>
  <c r="G494" i="4" s="1"/>
  <c r="I493" i="4"/>
  <c r="F493" i="4"/>
  <c r="G493" i="4" s="1"/>
  <c r="I492" i="4"/>
  <c r="F492" i="4"/>
  <c r="G492" i="4" s="1"/>
  <c r="I486" i="4"/>
  <c r="F486" i="4"/>
  <c r="G486" i="4" s="1"/>
  <c r="I485" i="4"/>
  <c r="F485" i="4"/>
  <c r="G485" i="4" s="1"/>
  <c r="I484" i="4"/>
  <c r="F484" i="4"/>
  <c r="G484" i="4" s="1"/>
  <c r="I483" i="4"/>
  <c r="F483" i="4"/>
  <c r="G483" i="4" s="1"/>
  <c r="I482" i="4"/>
  <c r="F482" i="4"/>
  <c r="G482" i="4" s="1"/>
  <c r="I477" i="4"/>
  <c r="F477" i="4"/>
  <c r="G477" i="4" s="1"/>
  <c r="I476" i="4"/>
  <c r="F476" i="4"/>
  <c r="G476" i="4" s="1"/>
  <c r="I475" i="4"/>
  <c r="F475" i="4"/>
  <c r="G475" i="4" s="1"/>
  <c r="I474" i="4"/>
  <c r="F474" i="4"/>
  <c r="G474" i="4" s="1"/>
  <c r="I473" i="4"/>
  <c r="F473" i="4"/>
  <c r="G473" i="4" s="1"/>
  <c r="I466" i="4"/>
  <c r="F466" i="4"/>
  <c r="G466" i="4" s="1"/>
  <c r="I465" i="4"/>
  <c r="F465" i="4"/>
  <c r="G465" i="4" s="1"/>
  <c r="I464" i="4"/>
  <c r="F464" i="4"/>
  <c r="G464" i="4" s="1"/>
  <c r="I467" i="4"/>
  <c r="F467" i="4"/>
  <c r="G467" i="4" s="1"/>
  <c r="I468" i="4"/>
  <c r="F468" i="4"/>
  <c r="G468" i="4" s="1"/>
  <c r="N335" i="1"/>
  <c r="J335" i="1"/>
  <c r="H335" i="1" s="1"/>
  <c r="I335" i="1" s="1"/>
  <c r="N307" i="1"/>
  <c r="J307" i="1"/>
  <c r="H307" i="1" s="1"/>
  <c r="I307" i="1" s="1"/>
  <c r="N388" i="1"/>
  <c r="J388" i="1"/>
  <c r="H388" i="1" s="1"/>
  <c r="I388" i="1" s="1"/>
  <c r="N387" i="1"/>
  <c r="J387" i="1"/>
  <c r="H387" i="1" s="1"/>
  <c r="I387" i="1" s="1"/>
  <c r="N386" i="1"/>
  <c r="J386" i="1"/>
  <c r="H386" i="1" s="1"/>
  <c r="I386" i="1" s="1"/>
  <c r="N385" i="1"/>
  <c r="J385" i="1"/>
  <c r="H385" i="1" s="1"/>
  <c r="I385" i="1" s="1"/>
  <c r="N363" i="1"/>
  <c r="J363" i="1"/>
  <c r="H363" i="1" s="1"/>
  <c r="I363" i="1" s="1"/>
  <c r="N362" i="1"/>
  <c r="J362" i="1"/>
  <c r="H362" i="1" s="1"/>
  <c r="I362" i="1" s="1"/>
  <c r="N361" i="1"/>
  <c r="J361" i="1"/>
  <c r="H361" i="1" s="1"/>
  <c r="I361" i="1" s="1"/>
  <c r="N360" i="1"/>
  <c r="J360" i="1"/>
  <c r="H360" i="1" s="1"/>
  <c r="I360" i="1" s="1"/>
  <c r="N359" i="1"/>
  <c r="J359" i="1"/>
  <c r="H359" i="1" s="1"/>
  <c r="I359" i="1" s="1"/>
  <c r="N358" i="1"/>
  <c r="J358" i="1"/>
  <c r="H358" i="1" s="1"/>
  <c r="I358" i="1" s="1"/>
  <c r="N357" i="1"/>
  <c r="J357" i="1"/>
  <c r="H357" i="1" s="1"/>
  <c r="I357" i="1" s="1"/>
  <c r="N356" i="1"/>
  <c r="J356" i="1"/>
  <c r="H356" i="1" s="1"/>
  <c r="I356" i="1" s="1"/>
  <c r="N355" i="1"/>
  <c r="J355" i="1"/>
  <c r="H355" i="1" s="1"/>
  <c r="I355" i="1" s="1"/>
  <c r="N352" i="1"/>
  <c r="J352" i="1"/>
  <c r="H352" i="1" s="1"/>
  <c r="I352" i="1" s="1"/>
  <c r="N351" i="1"/>
  <c r="J351" i="1"/>
  <c r="H351" i="1" s="1"/>
  <c r="I351" i="1" s="1"/>
  <c r="N350" i="1"/>
  <c r="J350" i="1"/>
  <c r="H350" i="1" s="1"/>
  <c r="I350" i="1" s="1"/>
  <c r="N349" i="1"/>
  <c r="J349" i="1"/>
  <c r="H349" i="1" s="1"/>
  <c r="I349" i="1" s="1"/>
  <c r="N348" i="1"/>
  <c r="J348" i="1"/>
  <c r="H348" i="1" s="1"/>
  <c r="I348" i="1" s="1"/>
  <c r="N347" i="1"/>
  <c r="J347" i="1"/>
  <c r="H347" i="1" s="1"/>
  <c r="I347" i="1" s="1"/>
  <c r="N346" i="1"/>
  <c r="J346" i="1"/>
  <c r="H346" i="1" s="1"/>
  <c r="I346" i="1" s="1"/>
  <c r="N345" i="1"/>
  <c r="J345" i="1"/>
  <c r="H345" i="1" s="1"/>
  <c r="I345" i="1" s="1"/>
  <c r="N344" i="1"/>
  <c r="J344" i="1"/>
  <c r="H344" i="1" s="1"/>
  <c r="I344" i="1" s="1"/>
  <c r="N343" i="1"/>
  <c r="J343" i="1"/>
  <c r="H343" i="1" s="1"/>
  <c r="I343" i="1" s="1"/>
  <c r="N342" i="1"/>
  <c r="J342" i="1"/>
  <c r="H342" i="1" s="1"/>
  <c r="I342" i="1" s="1"/>
  <c r="N341" i="1"/>
  <c r="J341" i="1"/>
  <c r="H341" i="1" s="1"/>
  <c r="I341" i="1" s="1"/>
  <c r="N340" i="1"/>
  <c r="J340" i="1"/>
  <c r="H340" i="1" s="1"/>
  <c r="I340" i="1" s="1"/>
  <c r="N339" i="1"/>
  <c r="J339" i="1"/>
  <c r="H339" i="1" s="1"/>
  <c r="I339" i="1" s="1"/>
  <c r="N338" i="1"/>
  <c r="J338" i="1"/>
  <c r="H338" i="1" s="1"/>
  <c r="I338" i="1" s="1"/>
  <c r="N334" i="1"/>
  <c r="J334" i="1"/>
  <c r="H334" i="1" s="1"/>
  <c r="I334" i="1" s="1"/>
  <c r="N328" i="1"/>
  <c r="J328" i="1"/>
  <c r="H328" i="1" s="1"/>
  <c r="I328" i="1" s="1"/>
  <c r="N327" i="1"/>
  <c r="J327" i="1"/>
  <c r="H327" i="1" s="1"/>
  <c r="I327" i="1" s="1"/>
  <c r="N326" i="1"/>
  <c r="J326" i="1"/>
  <c r="H326" i="1" s="1"/>
  <c r="I326" i="1" s="1"/>
  <c r="N325" i="1"/>
  <c r="J325" i="1"/>
  <c r="H325" i="1" s="1"/>
  <c r="I325" i="1" s="1"/>
  <c r="N324" i="1"/>
  <c r="J324" i="1"/>
  <c r="H324" i="1" s="1"/>
  <c r="I324" i="1" s="1"/>
  <c r="N323" i="1"/>
  <c r="J323" i="1"/>
  <c r="H323" i="1" s="1"/>
  <c r="I323" i="1" s="1"/>
  <c r="N322" i="1"/>
  <c r="J322" i="1"/>
  <c r="H322" i="1" s="1"/>
  <c r="I322" i="1" s="1"/>
  <c r="N321" i="1"/>
  <c r="J321" i="1"/>
  <c r="H321" i="1" s="1"/>
  <c r="I321" i="1" s="1"/>
  <c r="N320" i="1"/>
  <c r="J320" i="1"/>
  <c r="H320" i="1" s="1"/>
  <c r="I320" i="1" s="1"/>
  <c r="N319" i="1"/>
  <c r="J319" i="1"/>
  <c r="H319" i="1" s="1"/>
  <c r="I319" i="1" s="1"/>
  <c r="N318" i="1"/>
  <c r="J318" i="1"/>
  <c r="H318" i="1" s="1"/>
  <c r="I318" i="1" s="1"/>
  <c r="N317" i="1"/>
  <c r="J317" i="1"/>
  <c r="H317" i="1" s="1"/>
  <c r="I317" i="1" s="1"/>
  <c r="N313" i="1"/>
  <c r="J313" i="1"/>
  <c r="H313" i="1" s="1"/>
  <c r="I313" i="1" s="1"/>
  <c r="N312" i="1"/>
  <c r="J312" i="1"/>
  <c r="H312" i="1" s="1"/>
  <c r="I312" i="1" s="1"/>
  <c r="N311" i="1"/>
  <c r="J311" i="1"/>
  <c r="H311" i="1" s="1"/>
  <c r="I311" i="1" s="1"/>
  <c r="N306" i="1"/>
  <c r="J306" i="1"/>
  <c r="H306" i="1" s="1"/>
  <c r="I306" i="1" s="1"/>
  <c r="N305" i="1"/>
  <c r="J305" i="1"/>
  <c r="H305" i="1" s="1"/>
  <c r="I305" i="1" s="1"/>
  <c r="N303" i="1"/>
  <c r="J303" i="1"/>
  <c r="H303" i="1" s="1"/>
  <c r="I303" i="1" s="1"/>
  <c r="N302" i="1"/>
  <c r="J302" i="1"/>
  <c r="H302" i="1" s="1"/>
  <c r="I302" i="1" s="1"/>
  <c r="N301" i="1"/>
  <c r="J301" i="1"/>
  <c r="H301" i="1" s="1"/>
  <c r="I301" i="1" s="1"/>
  <c r="N300" i="1"/>
  <c r="J300" i="1"/>
  <c r="H300" i="1" s="1"/>
  <c r="I300" i="1" s="1"/>
  <c r="N299" i="1"/>
  <c r="J299" i="1"/>
  <c r="H299" i="1" s="1"/>
  <c r="I299" i="1" s="1"/>
  <c r="N298" i="1"/>
  <c r="J298" i="1"/>
  <c r="H298" i="1" s="1"/>
  <c r="I298" i="1" s="1"/>
  <c r="N296" i="1"/>
  <c r="J296" i="1"/>
  <c r="H296" i="1" s="1"/>
  <c r="I296" i="1" s="1"/>
  <c r="N286" i="1"/>
  <c r="J286" i="1"/>
  <c r="H286" i="1" s="1"/>
  <c r="I286" i="1" s="1"/>
  <c r="N288" i="1"/>
  <c r="J288" i="1"/>
  <c r="H288" i="1" s="1"/>
  <c r="I288" i="1" s="1"/>
  <c r="N290" i="1"/>
  <c r="J290" i="1"/>
  <c r="H290" i="1" s="1"/>
  <c r="I290" i="1" s="1"/>
  <c r="N291" i="1"/>
  <c r="J291" i="1"/>
  <c r="H291" i="1" s="1"/>
  <c r="I291" i="1" s="1"/>
  <c r="N280" i="1"/>
  <c r="J280" i="1"/>
  <c r="H280" i="1" s="1"/>
  <c r="I280" i="1" s="1"/>
  <c r="N274" i="1"/>
  <c r="J274" i="1"/>
  <c r="H274" i="1" s="1"/>
  <c r="I274" i="1" s="1"/>
  <c r="N273" i="1"/>
  <c r="J273" i="1"/>
  <c r="H273" i="1" s="1"/>
  <c r="I273" i="1" s="1"/>
  <c r="N272" i="1"/>
  <c r="J272" i="1"/>
  <c r="H272" i="1" s="1"/>
  <c r="I272" i="1" s="1"/>
  <c r="N271" i="1"/>
  <c r="J271" i="1"/>
  <c r="H271" i="1" s="1"/>
  <c r="I271" i="1" s="1"/>
  <c r="N270" i="1"/>
  <c r="J270" i="1"/>
  <c r="H270" i="1" s="1"/>
  <c r="I270" i="1" s="1"/>
  <c r="N269" i="1"/>
  <c r="J269" i="1"/>
  <c r="H269" i="1" s="1"/>
  <c r="I269" i="1" s="1"/>
  <c r="N268" i="1"/>
  <c r="J268" i="1"/>
  <c r="H268" i="1" s="1"/>
  <c r="I268" i="1" s="1"/>
  <c r="N267" i="1"/>
  <c r="J267" i="1"/>
  <c r="H267" i="1" s="1"/>
  <c r="I267" i="1" s="1"/>
  <c r="N266" i="1"/>
  <c r="J266" i="1"/>
  <c r="H266" i="1" s="1"/>
  <c r="I266" i="1" s="1"/>
  <c r="N263" i="1"/>
  <c r="J263" i="1"/>
  <c r="H263" i="1" s="1"/>
  <c r="I263" i="1" s="1"/>
  <c r="N260" i="1"/>
  <c r="J260" i="1"/>
  <c r="H260" i="1" s="1"/>
  <c r="I260" i="1" s="1"/>
  <c r="N258" i="1"/>
  <c r="J258" i="1"/>
  <c r="H258" i="1" s="1"/>
  <c r="I258" i="1" s="1"/>
  <c r="N257" i="1"/>
  <c r="J257" i="1"/>
  <c r="H257" i="1" s="1"/>
  <c r="I257" i="1" s="1"/>
  <c r="N254" i="1"/>
  <c r="J254" i="1"/>
  <c r="H254" i="1" s="1"/>
  <c r="I254" i="1" s="1"/>
  <c r="N253" i="1"/>
  <c r="J253" i="1"/>
  <c r="H253" i="1" s="1"/>
  <c r="I253" i="1" s="1"/>
  <c r="N252" i="1"/>
  <c r="J252" i="1"/>
  <c r="H252" i="1" s="1"/>
  <c r="I252" i="1" s="1"/>
  <c r="N251" i="1"/>
  <c r="J251" i="1"/>
  <c r="H251" i="1" s="1"/>
  <c r="I251" i="1" s="1"/>
  <c r="N250" i="1"/>
  <c r="J250" i="1"/>
  <c r="H250" i="1" s="1"/>
  <c r="I250" i="1" s="1"/>
  <c r="N249" i="1"/>
  <c r="J249" i="1"/>
  <c r="H249" i="1" s="1"/>
  <c r="I249" i="1" s="1"/>
  <c r="N248" i="1"/>
  <c r="J248" i="1"/>
  <c r="H248" i="1" s="1"/>
  <c r="I248" i="1" s="1"/>
  <c r="N247" i="1"/>
  <c r="J247" i="1"/>
  <c r="H247" i="1" s="1"/>
  <c r="I247" i="1" s="1"/>
  <c r="I454" i="4"/>
  <c r="B454" i="4" s="1"/>
  <c r="F454" i="4"/>
  <c r="G454" i="4" s="1"/>
  <c r="I453" i="4"/>
  <c r="B453" i="4" s="1"/>
  <c r="F453" i="4"/>
  <c r="G453" i="4" s="1"/>
  <c r="I455" i="4"/>
  <c r="F455" i="4"/>
  <c r="G455" i="4" s="1"/>
  <c r="I456" i="4"/>
  <c r="F456" i="4"/>
  <c r="G456" i="4" s="1"/>
  <c r="I457" i="4"/>
  <c r="F457" i="4"/>
  <c r="G457" i="4" s="1"/>
  <c r="I458" i="4"/>
  <c r="F458" i="4"/>
  <c r="G458" i="4" s="1"/>
  <c r="I459" i="4"/>
  <c r="F459" i="4"/>
  <c r="G459" i="4" s="1"/>
  <c r="I446" i="4"/>
  <c r="F446" i="4"/>
  <c r="G446" i="4" s="1"/>
  <c r="I447" i="4"/>
  <c r="F447" i="4"/>
  <c r="G447" i="4" s="1"/>
  <c r="I448" i="4"/>
  <c r="F448" i="4"/>
  <c r="G448" i="4" s="1"/>
  <c r="I441" i="4"/>
  <c r="F441" i="4"/>
  <c r="G441" i="4" s="1"/>
  <c r="I440" i="4"/>
  <c r="F440" i="4"/>
  <c r="G440" i="4" s="1"/>
  <c r="I439" i="4"/>
  <c r="F439" i="4"/>
  <c r="G439" i="4" s="1"/>
  <c r="I438" i="4"/>
  <c r="F438" i="4"/>
  <c r="G438" i="4" s="1"/>
  <c r="I437" i="4"/>
  <c r="F437" i="4"/>
  <c r="G437" i="4" s="1"/>
  <c r="I436" i="4"/>
  <c r="F436" i="4"/>
  <c r="G436" i="4" s="1"/>
  <c r="I435" i="4"/>
  <c r="F435" i="4"/>
  <c r="G435" i="4" s="1"/>
  <c r="I434" i="4"/>
  <c r="F434" i="4"/>
  <c r="G434" i="4" s="1"/>
  <c r="F429" i="4"/>
  <c r="G429" i="4" s="1"/>
  <c r="G430" i="4" s="1"/>
  <c r="J229" i="1" s="1"/>
  <c r="H229" i="1" s="1"/>
  <c r="I229" i="1" s="1"/>
  <c r="F417" i="4"/>
  <c r="G417" i="4" s="1"/>
  <c r="I418" i="4"/>
  <c r="F418" i="4"/>
  <c r="G418" i="4" s="1"/>
  <c r="I419" i="4"/>
  <c r="F419" i="4"/>
  <c r="G419" i="4" s="1"/>
  <c r="I420" i="4"/>
  <c r="F420" i="4"/>
  <c r="G420" i="4" s="1"/>
  <c r="I421" i="4"/>
  <c r="F421" i="4"/>
  <c r="G421" i="4" s="1"/>
  <c r="I422" i="4"/>
  <c r="F422" i="4"/>
  <c r="G422" i="4" s="1"/>
  <c r="I423" i="4"/>
  <c r="F423" i="4"/>
  <c r="G423" i="4" s="1"/>
  <c r="F408" i="4"/>
  <c r="G408" i="4" s="1"/>
  <c r="I409" i="4"/>
  <c r="F409" i="4"/>
  <c r="G409" i="4" s="1"/>
  <c r="I410" i="4"/>
  <c r="F410" i="4"/>
  <c r="G410" i="4" s="1"/>
  <c r="I412" i="4"/>
  <c r="F412" i="4"/>
  <c r="G412" i="4" s="1"/>
  <c r="I411" i="4"/>
  <c r="F411" i="4"/>
  <c r="G411" i="4" s="1"/>
  <c r="I400" i="4"/>
  <c r="F400" i="4"/>
  <c r="G400" i="4" s="1"/>
  <c r="I401" i="4"/>
  <c r="B401" i="4" s="1"/>
  <c r="F401" i="4"/>
  <c r="G401" i="4" s="1"/>
  <c r="I402" i="4"/>
  <c r="F402" i="4"/>
  <c r="G402" i="4" s="1"/>
  <c r="I403" i="4"/>
  <c r="F403" i="4"/>
  <c r="G403" i="4" s="1"/>
  <c r="F395" i="4"/>
  <c r="G395" i="4" s="1"/>
  <c r="G396" i="4" s="1"/>
  <c r="J215" i="1" s="1"/>
  <c r="H215" i="1" s="1"/>
  <c r="I215" i="1" s="1"/>
  <c r="N221" i="1"/>
  <c r="J221" i="1"/>
  <c r="H221" i="1" s="1"/>
  <c r="I221" i="1" s="1"/>
  <c r="F390" i="4"/>
  <c r="G390" i="4" s="1"/>
  <c r="G391" i="4" s="1"/>
  <c r="N207" i="1"/>
  <c r="J207" i="1"/>
  <c r="H207" i="1" s="1"/>
  <c r="I207" i="1" s="1"/>
  <c r="BC1158" i="1" l="1"/>
  <c r="C49" i="9"/>
  <c r="N1146" i="1"/>
  <c r="L1147" i="1"/>
  <c r="L1148" i="1"/>
  <c r="L1153" i="1" s="1"/>
  <c r="N1147" i="1" s="1"/>
  <c r="I383" i="15"/>
  <c r="I376" i="15"/>
  <c r="O376" i="15"/>
  <c r="I378" i="15"/>
  <c r="O378" i="15"/>
  <c r="I370" i="15"/>
  <c r="O370" i="15"/>
  <c r="I379" i="15"/>
  <c r="O379" i="15"/>
  <c r="I369" i="15"/>
  <c r="O369" i="15"/>
  <c r="I371" i="15"/>
  <c r="O371" i="15"/>
  <c r="I381" i="15"/>
  <c r="O381" i="15"/>
  <c r="G970" i="4"/>
  <c r="G960" i="4"/>
  <c r="G953" i="4"/>
  <c r="G946" i="4"/>
  <c r="G939" i="4"/>
  <c r="G930" i="4"/>
  <c r="G923" i="4"/>
  <c r="G916" i="4"/>
  <c r="G909" i="4"/>
  <c r="G901" i="4"/>
  <c r="G893" i="4"/>
  <c r="G883" i="4"/>
  <c r="G866" i="4"/>
  <c r="G855" i="4"/>
  <c r="G845" i="4"/>
  <c r="G836" i="4"/>
  <c r="G817" i="4"/>
  <c r="G805" i="4"/>
  <c r="G796" i="4"/>
  <c r="G788" i="4"/>
  <c r="G775" i="4"/>
  <c r="G766" i="4"/>
  <c r="G757" i="4"/>
  <c r="G748" i="4"/>
  <c r="G739" i="4"/>
  <c r="G730" i="4"/>
  <c r="G721" i="4"/>
  <c r="G1744" i="4"/>
  <c r="G1735" i="4"/>
  <c r="G1726" i="4"/>
  <c r="G1718" i="4"/>
  <c r="G1710" i="4"/>
  <c r="G711" i="4"/>
  <c r="G702" i="4"/>
  <c r="G692" i="4"/>
  <c r="G682" i="4"/>
  <c r="G669" i="4"/>
  <c r="G662" i="4"/>
  <c r="G655" i="4"/>
  <c r="G646" i="4"/>
  <c r="G638" i="4"/>
  <c r="G628" i="4"/>
  <c r="G614" i="4"/>
  <c r="G602" i="4"/>
  <c r="G590" i="4"/>
  <c r="G580" i="4"/>
  <c r="G570" i="4"/>
  <c r="G559" i="4"/>
  <c r="G549" i="4"/>
  <c r="G538" i="4"/>
  <c r="G517" i="4"/>
  <c r="G528" i="4"/>
  <c r="G507" i="4"/>
  <c r="G500" i="4"/>
  <c r="G487" i="4"/>
  <c r="G478" i="4"/>
  <c r="G469" i="4"/>
  <c r="G460" i="4"/>
  <c r="G449" i="4"/>
  <c r="G442" i="4"/>
  <c r="G424" i="4"/>
  <c r="G413" i="4"/>
  <c r="J217" i="1" s="1"/>
  <c r="H217" i="1" s="1"/>
  <c r="I217" i="1" s="1"/>
  <c r="G404" i="4"/>
  <c r="J216" i="1" s="1"/>
  <c r="H216" i="1" s="1"/>
  <c r="I216" i="1" s="1"/>
  <c r="I206" i="1"/>
  <c r="N1148" i="1" l="1"/>
  <c r="M1153" i="1"/>
  <c r="I1147" i="1" s="1"/>
  <c r="J261" i="1"/>
  <c r="H261" i="1" s="1"/>
  <c r="I261" i="1" s="1"/>
  <c r="J214" i="15"/>
  <c r="H214" i="15" s="1"/>
  <c r="J315" i="1"/>
  <c r="H315" i="1" s="1"/>
  <c r="I315" i="1" s="1"/>
  <c r="J271" i="15"/>
  <c r="H271" i="15" s="1"/>
  <c r="J1115" i="1"/>
  <c r="H1115" i="1" s="1"/>
  <c r="I1115" i="1" s="1"/>
  <c r="J919" i="15"/>
  <c r="H919" i="15" s="1"/>
  <c r="J367" i="1"/>
  <c r="H367" i="1" s="1"/>
  <c r="I367" i="1" s="1"/>
  <c r="J323" i="15"/>
  <c r="H323" i="15" s="1"/>
  <c r="J372" i="1"/>
  <c r="H372" i="1" s="1"/>
  <c r="I372" i="1" s="1"/>
  <c r="J328" i="15"/>
  <c r="H328" i="15" s="1"/>
  <c r="J397" i="1"/>
  <c r="H397" i="1" s="1"/>
  <c r="I397" i="1" s="1"/>
  <c r="J353" i="15"/>
  <c r="H353" i="15" s="1"/>
  <c r="J401" i="1"/>
  <c r="H401" i="1" s="1"/>
  <c r="I401" i="1" s="1"/>
  <c r="J357" i="15"/>
  <c r="H357" i="15" s="1"/>
  <c r="J244" i="1"/>
  <c r="H244" i="1" s="1"/>
  <c r="I244" i="1" s="1"/>
  <c r="J197" i="15"/>
  <c r="H197" i="15" s="1"/>
  <c r="J256" i="1"/>
  <c r="H256" i="1" s="1"/>
  <c r="I256" i="1" s="1"/>
  <c r="J209" i="15"/>
  <c r="H209" i="15" s="1"/>
  <c r="J264" i="1"/>
  <c r="H264" i="1" s="1"/>
  <c r="I264" i="1" s="1"/>
  <c r="J217" i="15"/>
  <c r="H217" i="15" s="1"/>
  <c r="J277" i="1"/>
  <c r="H277" i="1" s="1"/>
  <c r="I277" i="1" s="1"/>
  <c r="J230" i="15"/>
  <c r="H230" i="15" s="1"/>
  <c r="J314" i="1"/>
  <c r="H314" i="1" s="1"/>
  <c r="I314" i="1" s="1"/>
  <c r="J270" i="15"/>
  <c r="H270" i="15" s="1"/>
  <c r="J330" i="1"/>
  <c r="H330" i="1" s="1"/>
  <c r="I330" i="1" s="1"/>
  <c r="J286" i="15"/>
  <c r="H286" i="15" s="1"/>
  <c r="J354" i="1"/>
  <c r="H354" i="1" s="1"/>
  <c r="I354" i="1" s="1"/>
  <c r="J310" i="15"/>
  <c r="H310" i="15" s="1"/>
  <c r="J1128" i="1"/>
  <c r="H1128" i="1" s="1"/>
  <c r="I1128" i="1" s="1"/>
  <c r="J932" i="15"/>
  <c r="H932" i="15" s="1"/>
  <c r="J366" i="1"/>
  <c r="H366" i="1" s="1"/>
  <c r="I366" i="1" s="1"/>
  <c r="J322" i="15"/>
  <c r="H322" i="15" s="1"/>
  <c r="J370" i="1"/>
  <c r="H370" i="1" s="1"/>
  <c r="I370" i="1" s="1"/>
  <c r="J326" i="15"/>
  <c r="H326" i="15" s="1"/>
  <c r="J377" i="1"/>
  <c r="H377" i="1" s="1"/>
  <c r="I377" i="1" s="1"/>
  <c r="J333" i="15"/>
  <c r="H333" i="15" s="1"/>
  <c r="J381" i="1"/>
  <c r="H381" i="1" s="1"/>
  <c r="I381" i="1" s="1"/>
  <c r="J337" i="15"/>
  <c r="H337" i="15" s="1"/>
  <c r="J396" i="1"/>
  <c r="H396" i="1" s="1"/>
  <c r="I396" i="1" s="1"/>
  <c r="J352" i="15"/>
  <c r="H352" i="15" s="1"/>
  <c r="J400" i="1"/>
  <c r="H400" i="1" s="1"/>
  <c r="I400" i="1" s="1"/>
  <c r="J356" i="15"/>
  <c r="H356" i="15" s="1"/>
  <c r="J406" i="1"/>
  <c r="H406" i="1" s="1"/>
  <c r="I406" i="1" s="1"/>
  <c r="J362" i="15"/>
  <c r="H362" i="15" s="1"/>
  <c r="J234" i="1"/>
  <c r="H234" i="1" s="1"/>
  <c r="I234" i="1" s="1"/>
  <c r="J187" i="15"/>
  <c r="H187" i="15" s="1"/>
  <c r="J265" i="1"/>
  <c r="H265" i="1" s="1"/>
  <c r="I265" i="1" s="1"/>
  <c r="J218" i="15"/>
  <c r="H218" i="15" s="1"/>
  <c r="J332" i="1"/>
  <c r="H332" i="1" s="1"/>
  <c r="I332" i="1" s="1"/>
  <c r="J288" i="15"/>
  <c r="H288" i="15" s="1"/>
  <c r="J378" i="1"/>
  <c r="H378" i="1" s="1"/>
  <c r="I378" i="1" s="1"/>
  <c r="J334" i="15"/>
  <c r="H334" i="15" s="1"/>
  <c r="J238" i="1"/>
  <c r="H238" i="1" s="1"/>
  <c r="I238" i="1" s="1"/>
  <c r="J191" i="15"/>
  <c r="H191" i="15" s="1"/>
  <c r="J255" i="1"/>
  <c r="H255" i="1" s="1"/>
  <c r="I255" i="1" s="1"/>
  <c r="J208" i="15"/>
  <c r="H208" i="15" s="1"/>
  <c r="J262" i="1"/>
  <c r="H262" i="1" s="1"/>
  <c r="I262" i="1" s="1"/>
  <c r="J215" i="15"/>
  <c r="H215" i="15" s="1"/>
  <c r="J276" i="1"/>
  <c r="H276" i="1" s="1"/>
  <c r="I276" i="1" s="1"/>
  <c r="J229" i="15"/>
  <c r="H229" i="15" s="1"/>
  <c r="J283" i="1"/>
  <c r="H283" i="1" s="1"/>
  <c r="I283" i="1" s="1"/>
  <c r="J236" i="15"/>
  <c r="H236" i="15" s="1"/>
  <c r="J329" i="1"/>
  <c r="H329" i="1" s="1"/>
  <c r="I329" i="1" s="1"/>
  <c r="J285" i="15"/>
  <c r="H285" i="15" s="1"/>
  <c r="J353" i="1"/>
  <c r="H353" i="1" s="1"/>
  <c r="I353" i="1" s="1"/>
  <c r="J309" i="15"/>
  <c r="H309" i="15" s="1"/>
  <c r="J1117" i="1"/>
  <c r="H1117" i="1" s="1"/>
  <c r="I1117" i="1" s="1"/>
  <c r="J921" i="15"/>
  <c r="H921" i="15" s="1"/>
  <c r="J365" i="1"/>
  <c r="H365" i="1" s="1"/>
  <c r="I365" i="1" s="1"/>
  <c r="J321" i="15"/>
  <c r="H321" i="15" s="1"/>
  <c r="J369" i="1"/>
  <c r="H369" i="1" s="1"/>
  <c r="I369" i="1" s="1"/>
  <c r="J325" i="15"/>
  <c r="H325" i="15" s="1"/>
  <c r="J374" i="1"/>
  <c r="H374" i="1" s="1"/>
  <c r="I374" i="1" s="1"/>
  <c r="J330" i="15"/>
  <c r="H330" i="15" s="1"/>
  <c r="J380" i="1"/>
  <c r="H380" i="1" s="1"/>
  <c r="I380" i="1" s="1"/>
  <c r="J336" i="15"/>
  <c r="H336" i="15" s="1"/>
  <c r="J394" i="1"/>
  <c r="H394" i="1" s="1"/>
  <c r="I394" i="1" s="1"/>
  <c r="J350" i="15"/>
  <c r="H350" i="15" s="1"/>
  <c r="J399" i="1"/>
  <c r="H399" i="1" s="1"/>
  <c r="I399" i="1" s="1"/>
  <c r="J355" i="15"/>
  <c r="H355" i="15" s="1"/>
  <c r="J404" i="1"/>
  <c r="H404" i="1" s="1"/>
  <c r="I404" i="1" s="1"/>
  <c r="J360" i="15"/>
  <c r="H360" i="15" s="1"/>
  <c r="J245" i="1"/>
  <c r="H245" i="1" s="1"/>
  <c r="I245" i="1" s="1"/>
  <c r="J198" i="15"/>
  <c r="H198" i="15" s="1"/>
  <c r="J279" i="1"/>
  <c r="H279" i="1" s="1"/>
  <c r="I279" i="1" s="1"/>
  <c r="J232" i="15"/>
  <c r="H232" i="15" s="1"/>
  <c r="J1129" i="1"/>
  <c r="H1129" i="1" s="1"/>
  <c r="I1129" i="1" s="1"/>
  <c r="J933" i="15"/>
  <c r="H933" i="15" s="1"/>
  <c r="J382" i="1"/>
  <c r="H382" i="1" s="1"/>
  <c r="I382" i="1" s="1"/>
  <c r="J338" i="15"/>
  <c r="H338" i="15" s="1"/>
  <c r="J237" i="1"/>
  <c r="H237" i="1" s="1"/>
  <c r="I237" i="1" s="1"/>
  <c r="J190" i="15"/>
  <c r="H190" i="15" s="1"/>
  <c r="J246" i="1"/>
  <c r="H246" i="1" s="1"/>
  <c r="I246" i="1" s="1"/>
  <c r="J199" i="15"/>
  <c r="H199" i="15" s="1"/>
  <c r="J259" i="1"/>
  <c r="H259" i="1" s="1"/>
  <c r="I259" i="1" s="1"/>
  <c r="J212" i="15"/>
  <c r="H212" i="15" s="1"/>
  <c r="J275" i="1"/>
  <c r="H275" i="1" s="1"/>
  <c r="I275" i="1" s="1"/>
  <c r="J228" i="15"/>
  <c r="H228" i="15" s="1"/>
  <c r="J282" i="1"/>
  <c r="H282" i="1" s="1"/>
  <c r="I282" i="1" s="1"/>
  <c r="J235" i="15"/>
  <c r="H235" i="15" s="1"/>
  <c r="J316" i="1"/>
  <c r="H316" i="1" s="1"/>
  <c r="I316" i="1" s="1"/>
  <c r="J272" i="15"/>
  <c r="H272" i="15" s="1"/>
  <c r="J333" i="1"/>
  <c r="H333" i="1" s="1"/>
  <c r="I333" i="1" s="1"/>
  <c r="J289" i="15"/>
  <c r="H289" i="15" s="1"/>
  <c r="J1116" i="1"/>
  <c r="H1116" i="1" s="1"/>
  <c r="I1116" i="1" s="1"/>
  <c r="J920" i="15"/>
  <c r="H920" i="15" s="1"/>
  <c r="J364" i="1"/>
  <c r="H364" i="1" s="1"/>
  <c r="I364" i="1" s="1"/>
  <c r="J320" i="15"/>
  <c r="H320" i="15" s="1"/>
  <c r="J368" i="1"/>
  <c r="H368" i="1" s="1"/>
  <c r="I368" i="1" s="1"/>
  <c r="J324" i="15"/>
  <c r="H324" i="15" s="1"/>
  <c r="J373" i="1"/>
  <c r="H373" i="1" s="1"/>
  <c r="I373" i="1" s="1"/>
  <c r="J329" i="15"/>
  <c r="H329" i="15" s="1"/>
  <c r="J379" i="1"/>
  <c r="H379" i="1" s="1"/>
  <c r="I379" i="1" s="1"/>
  <c r="J335" i="15"/>
  <c r="H335" i="15" s="1"/>
  <c r="J383" i="1"/>
  <c r="H383" i="1" s="1"/>
  <c r="I383" i="1" s="1"/>
  <c r="J339" i="15"/>
  <c r="H339" i="15" s="1"/>
  <c r="J398" i="1"/>
  <c r="H398" i="1" s="1"/>
  <c r="I398" i="1" s="1"/>
  <c r="J354" i="15"/>
  <c r="H354" i="15" s="1"/>
  <c r="J403" i="1"/>
  <c r="H403" i="1" s="1"/>
  <c r="I403" i="1" s="1"/>
  <c r="J359" i="15"/>
  <c r="H359" i="15" s="1"/>
  <c r="J219" i="1"/>
  <c r="J172" i="15"/>
  <c r="N1112" i="1"/>
  <c r="J1112" i="1"/>
  <c r="H1112" i="1" s="1"/>
  <c r="I1112" i="1" s="1"/>
  <c r="N1107" i="1"/>
  <c r="J1107" i="1"/>
  <c r="H1107" i="1" s="1"/>
  <c r="I1107" i="1" s="1"/>
  <c r="N1106" i="1"/>
  <c r="J1106" i="1"/>
  <c r="H1106" i="1" s="1"/>
  <c r="I1106" i="1" s="1"/>
  <c r="N1105" i="1"/>
  <c r="J1105" i="1"/>
  <c r="H1105" i="1" s="1"/>
  <c r="I1105" i="1" s="1"/>
  <c r="N1104" i="1"/>
  <c r="J1104" i="1"/>
  <c r="H1104" i="1" s="1"/>
  <c r="I1104" i="1" s="1"/>
  <c r="N1103" i="1"/>
  <c r="J1103" i="1"/>
  <c r="H1103" i="1" s="1"/>
  <c r="I1103" i="1" s="1"/>
  <c r="N1102" i="1"/>
  <c r="J1102" i="1"/>
  <c r="H1102" i="1" s="1"/>
  <c r="I1102" i="1" s="1"/>
  <c r="N1117" i="1"/>
  <c r="N1116" i="1"/>
  <c r="N1115" i="1"/>
  <c r="N1125" i="1"/>
  <c r="J1125" i="1"/>
  <c r="H1125" i="1" s="1"/>
  <c r="I1125" i="1" s="1"/>
  <c r="N1133" i="1"/>
  <c r="J1133" i="1"/>
  <c r="H1133" i="1" s="1"/>
  <c r="I1133" i="1" s="1"/>
  <c r="N1132" i="1"/>
  <c r="J1132" i="1"/>
  <c r="H1132" i="1" s="1"/>
  <c r="I1132" i="1" s="1"/>
  <c r="N1131" i="1"/>
  <c r="J1131" i="1"/>
  <c r="H1131" i="1" s="1"/>
  <c r="I1131" i="1" s="1"/>
  <c r="I385" i="4"/>
  <c r="F385" i="4"/>
  <c r="G385" i="4" s="1"/>
  <c r="I384" i="4"/>
  <c r="F384" i="4"/>
  <c r="G384" i="4" s="1"/>
  <c r="I383" i="4"/>
  <c r="F383" i="4"/>
  <c r="G383" i="4" s="1"/>
  <c r="I382" i="4"/>
  <c r="F382" i="4"/>
  <c r="G382" i="4" s="1"/>
  <c r="I381" i="4"/>
  <c r="F381" i="4"/>
  <c r="G381" i="4" s="1"/>
  <c r="I380" i="4"/>
  <c r="F380" i="4"/>
  <c r="G380" i="4" s="1"/>
  <c r="I373" i="4"/>
  <c r="F373" i="4"/>
  <c r="G373" i="4" s="1"/>
  <c r="I372" i="4"/>
  <c r="F372" i="4"/>
  <c r="G372" i="4" s="1"/>
  <c r="I371" i="4"/>
  <c r="F371" i="4"/>
  <c r="G371" i="4" s="1"/>
  <c r="I374" i="4"/>
  <c r="F374" i="4"/>
  <c r="G374" i="4" s="1"/>
  <c r="I375" i="4"/>
  <c r="F375" i="4"/>
  <c r="G375" i="4" s="1"/>
  <c r="I358" i="4"/>
  <c r="F358" i="4"/>
  <c r="G358" i="4" s="1"/>
  <c r="I359" i="4"/>
  <c r="F359" i="4"/>
  <c r="G359" i="4" s="1"/>
  <c r="I360" i="4"/>
  <c r="F360" i="4"/>
  <c r="G360" i="4" s="1"/>
  <c r="I361" i="4"/>
  <c r="F361" i="4"/>
  <c r="G361" i="4" s="1"/>
  <c r="I362" i="4"/>
  <c r="F362" i="4"/>
  <c r="G362" i="4" s="1"/>
  <c r="I363" i="4"/>
  <c r="F363" i="4"/>
  <c r="G363" i="4" s="1"/>
  <c r="I364" i="4"/>
  <c r="F364" i="4"/>
  <c r="G364" i="4" s="1"/>
  <c r="I365" i="4"/>
  <c r="F365" i="4"/>
  <c r="G365" i="4" s="1"/>
  <c r="I366" i="4"/>
  <c r="F366" i="4"/>
  <c r="G366" i="4" s="1"/>
  <c r="I353" i="4"/>
  <c r="F353" i="4"/>
  <c r="G353" i="4" s="1"/>
  <c r="I345" i="4"/>
  <c r="F345" i="4"/>
  <c r="G345" i="4" s="1"/>
  <c r="I344" i="4"/>
  <c r="F344" i="4"/>
  <c r="G344" i="4" s="1"/>
  <c r="I343" i="4"/>
  <c r="F343" i="4"/>
  <c r="G343" i="4" s="1"/>
  <c r="I342" i="4"/>
  <c r="F342" i="4"/>
  <c r="G342" i="4" s="1"/>
  <c r="I341" i="4"/>
  <c r="F341" i="4"/>
  <c r="G341" i="4" s="1"/>
  <c r="I323" i="4"/>
  <c r="F323" i="4"/>
  <c r="G323" i="4" s="1"/>
  <c r="I322" i="4"/>
  <c r="F322" i="4"/>
  <c r="G322" i="4" s="1"/>
  <c r="I320" i="4"/>
  <c r="F320" i="4"/>
  <c r="G320" i="4" s="1"/>
  <c r="I319" i="4"/>
  <c r="F319" i="4"/>
  <c r="G319" i="4" s="1"/>
  <c r="I318" i="4"/>
  <c r="F318" i="4"/>
  <c r="G318" i="4" s="1"/>
  <c r="I317" i="4"/>
  <c r="F317" i="4"/>
  <c r="G317" i="4" s="1"/>
  <c r="F304" i="4"/>
  <c r="G304" i="4" s="1"/>
  <c r="I303" i="4"/>
  <c r="F303" i="4"/>
  <c r="G303" i="4" s="1"/>
  <c r="I310" i="4"/>
  <c r="F310" i="4"/>
  <c r="G310" i="4" s="1"/>
  <c r="I309" i="4"/>
  <c r="F309" i="4"/>
  <c r="G309" i="4" s="1"/>
  <c r="I307" i="4"/>
  <c r="F307" i="4"/>
  <c r="G307" i="4" s="1"/>
  <c r="I306" i="4"/>
  <c r="F306" i="4"/>
  <c r="G306" i="4" s="1"/>
  <c r="I305" i="4"/>
  <c r="F305" i="4"/>
  <c r="G305" i="4" s="1"/>
  <c r="I295" i="4"/>
  <c r="F295" i="4"/>
  <c r="G295" i="4" s="1"/>
  <c r="I296" i="4"/>
  <c r="F296" i="4"/>
  <c r="G296" i="4" s="1"/>
  <c r="I294" i="4"/>
  <c r="F294" i="4"/>
  <c r="G294" i="4" s="1"/>
  <c r="I293" i="4"/>
  <c r="F293" i="4"/>
  <c r="G293" i="4" s="1"/>
  <c r="I292" i="4"/>
  <c r="F292" i="4"/>
  <c r="G292" i="4" s="1"/>
  <c r="I283" i="4"/>
  <c r="F283" i="4"/>
  <c r="G283" i="4" s="1"/>
  <c r="I282" i="4"/>
  <c r="F282" i="4"/>
  <c r="G282" i="4" s="1"/>
  <c r="I281" i="4"/>
  <c r="F281" i="4"/>
  <c r="G281" i="4" s="1"/>
  <c r="I284" i="4"/>
  <c r="F284" i="4"/>
  <c r="G284" i="4" s="1"/>
  <c r="I285" i="4"/>
  <c r="F285" i="4"/>
  <c r="G285" i="4" s="1"/>
  <c r="I286" i="4"/>
  <c r="F286" i="4"/>
  <c r="G286" i="4" s="1"/>
  <c r="I287" i="4"/>
  <c r="F287" i="4"/>
  <c r="G287" i="4" s="1"/>
  <c r="I276" i="4"/>
  <c r="F276" i="4"/>
  <c r="G276" i="4" s="1"/>
  <c r="I275" i="4"/>
  <c r="F275" i="4"/>
  <c r="G275" i="4" s="1"/>
  <c r="I273" i="4"/>
  <c r="F273" i="4"/>
  <c r="G273" i="4" s="1"/>
  <c r="I272" i="4"/>
  <c r="F272" i="4"/>
  <c r="G272" i="4" s="1"/>
  <c r="I271" i="4"/>
  <c r="F271" i="4"/>
  <c r="G271" i="4" s="1"/>
  <c r="I270" i="4"/>
  <c r="F270" i="4"/>
  <c r="G270" i="4" s="1"/>
  <c r="I269" i="4"/>
  <c r="F269" i="4"/>
  <c r="G269" i="4" s="1"/>
  <c r="I268" i="4"/>
  <c r="F268" i="4"/>
  <c r="G268" i="4" s="1"/>
  <c r="I267" i="4"/>
  <c r="F267" i="4"/>
  <c r="G267" i="4" s="1"/>
  <c r="I262" i="4"/>
  <c r="F262" i="4"/>
  <c r="G262" i="4" s="1"/>
  <c r="I261" i="4"/>
  <c r="F261" i="4"/>
  <c r="G261" i="4" s="1"/>
  <c r="I259" i="4"/>
  <c r="B259" i="4" s="1"/>
  <c r="F259" i="4"/>
  <c r="G259" i="4" s="1"/>
  <c r="I258" i="4"/>
  <c r="F258" i="4"/>
  <c r="G258" i="4" s="1"/>
  <c r="I257" i="4"/>
  <c r="F257" i="4"/>
  <c r="G257" i="4" s="1"/>
  <c r="I256" i="4"/>
  <c r="F256" i="4"/>
  <c r="G256" i="4" s="1"/>
  <c r="I255" i="4"/>
  <c r="F255" i="4"/>
  <c r="G255" i="4" s="1"/>
  <c r="I254" i="4"/>
  <c r="F254" i="4"/>
  <c r="G254" i="4" s="1"/>
  <c r="I253" i="4"/>
  <c r="F253" i="4"/>
  <c r="G253" i="4" s="1"/>
  <c r="I245" i="4"/>
  <c r="F245" i="4"/>
  <c r="G245" i="4" s="1"/>
  <c r="I244" i="4"/>
  <c r="F244" i="4"/>
  <c r="G244" i="4" s="1"/>
  <c r="I243" i="4"/>
  <c r="F243" i="4"/>
  <c r="G243" i="4" s="1"/>
  <c r="I242" i="4"/>
  <c r="F242" i="4"/>
  <c r="G242" i="4" s="1"/>
  <c r="I241" i="4"/>
  <c r="F241" i="4"/>
  <c r="G241" i="4" s="1"/>
  <c r="I240" i="4"/>
  <c r="F240" i="4"/>
  <c r="G240" i="4" s="1"/>
  <c r="I239" i="4"/>
  <c r="F239" i="4"/>
  <c r="G239" i="4" s="1"/>
  <c r="I247" i="4"/>
  <c r="F247" i="4"/>
  <c r="G247" i="4" s="1"/>
  <c r="I248" i="4"/>
  <c r="F248" i="4"/>
  <c r="G248" i="4" s="1"/>
  <c r="I231" i="4"/>
  <c r="F231" i="4"/>
  <c r="G231" i="4" s="1"/>
  <c r="I230" i="4"/>
  <c r="F230" i="4"/>
  <c r="G230" i="4" s="1"/>
  <c r="I232" i="4"/>
  <c r="F232" i="4"/>
  <c r="G232" i="4" s="1"/>
  <c r="I233" i="4"/>
  <c r="F233" i="4"/>
  <c r="G233" i="4" s="1"/>
  <c r="I234" i="4"/>
  <c r="F234" i="4"/>
  <c r="G234" i="4" s="1"/>
  <c r="I223" i="4"/>
  <c r="F223" i="4"/>
  <c r="G223" i="4" s="1"/>
  <c r="I222" i="4"/>
  <c r="F222" i="4"/>
  <c r="G222" i="4" s="1"/>
  <c r="I221" i="4"/>
  <c r="F221" i="4"/>
  <c r="G221" i="4" s="1"/>
  <c r="I220" i="4"/>
  <c r="F220" i="4"/>
  <c r="G220" i="4" s="1"/>
  <c r="I224" i="4"/>
  <c r="F224" i="4"/>
  <c r="G224" i="4" s="1"/>
  <c r="I225" i="4"/>
  <c r="F225" i="4"/>
  <c r="G225" i="4" s="1"/>
  <c r="I214" i="4"/>
  <c r="F214" i="4"/>
  <c r="G214" i="4" s="1"/>
  <c r="I215" i="4"/>
  <c r="F215" i="4"/>
  <c r="G215" i="4" s="1"/>
  <c r="I213" i="4"/>
  <c r="F213" i="4"/>
  <c r="G213" i="4" s="1"/>
  <c r="I211" i="4"/>
  <c r="B211" i="4" s="1"/>
  <c r="F211" i="4"/>
  <c r="G211" i="4" s="1"/>
  <c r="I210" i="4"/>
  <c r="F210" i="4"/>
  <c r="G210" i="4" s="1"/>
  <c r="N237" i="1"/>
  <c r="N236" i="1"/>
  <c r="J236" i="1"/>
  <c r="H236" i="1" s="1"/>
  <c r="I236" i="1" s="1"/>
  <c r="N235" i="1"/>
  <c r="N234" i="1"/>
  <c r="N228" i="1"/>
  <c r="J228" i="1"/>
  <c r="H228" i="1" s="1"/>
  <c r="I228" i="1" s="1"/>
  <c r="N227" i="1"/>
  <c r="H227" i="1"/>
  <c r="I227" i="1" s="1"/>
  <c r="N226" i="1"/>
  <c r="J226" i="1"/>
  <c r="H226" i="1" s="1"/>
  <c r="I226" i="1" s="1"/>
  <c r="N218" i="1"/>
  <c r="J218" i="1"/>
  <c r="H218" i="1" s="1"/>
  <c r="I218" i="1" s="1"/>
  <c r="N214" i="1"/>
  <c r="J214" i="1"/>
  <c r="H214" i="1" s="1"/>
  <c r="I214" i="1" s="1"/>
  <c r="N213" i="1"/>
  <c r="J213" i="1"/>
  <c r="H213" i="1" s="1"/>
  <c r="I213" i="1" s="1"/>
  <c r="N212" i="1"/>
  <c r="J212" i="1"/>
  <c r="H212" i="1" s="1"/>
  <c r="I212" i="1" s="1"/>
  <c r="N211" i="1"/>
  <c r="J211" i="1"/>
  <c r="H211" i="1" s="1"/>
  <c r="I211" i="1" s="1"/>
  <c r="N210" i="1"/>
  <c r="J210" i="1"/>
  <c r="H210" i="1" s="1"/>
  <c r="I210" i="1" s="1"/>
  <c r="N200" i="1"/>
  <c r="J200" i="1"/>
  <c r="H200" i="1" s="1"/>
  <c r="I200" i="1" s="1"/>
  <c r="N199" i="1"/>
  <c r="J199" i="1"/>
  <c r="H199" i="1" s="1"/>
  <c r="I199" i="1" s="1"/>
  <c r="F204" i="4"/>
  <c r="G204" i="4" s="1"/>
  <c r="F201" i="4"/>
  <c r="G201" i="4" s="1"/>
  <c r="F202" i="4"/>
  <c r="G202" i="4" s="1"/>
  <c r="I205" i="4"/>
  <c r="F205" i="4"/>
  <c r="G205" i="4" s="1"/>
  <c r="I203" i="4"/>
  <c r="F203" i="4"/>
  <c r="G203" i="4" s="1"/>
  <c r="I181" i="4"/>
  <c r="F181" i="4"/>
  <c r="G181" i="4" s="1"/>
  <c r="I180" i="4"/>
  <c r="F180" i="4"/>
  <c r="G180" i="4" s="1"/>
  <c r="I179" i="4"/>
  <c r="F179" i="4"/>
  <c r="G179" i="4" s="1"/>
  <c r="I178" i="4"/>
  <c r="F178" i="4"/>
  <c r="G178" i="4" s="1"/>
  <c r="I177" i="4"/>
  <c r="F177" i="4"/>
  <c r="G177" i="4" s="1"/>
  <c r="I176" i="4"/>
  <c r="F176" i="4"/>
  <c r="G176" i="4" s="1"/>
  <c r="I175" i="4"/>
  <c r="F175" i="4"/>
  <c r="G175" i="4" s="1"/>
  <c r="I170" i="4"/>
  <c r="F170" i="4"/>
  <c r="G170" i="4" s="1"/>
  <c r="I166" i="4"/>
  <c r="F166" i="4"/>
  <c r="G166" i="4" s="1"/>
  <c r="I165" i="4"/>
  <c r="F165" i="4"/>
  <c r="G165" i="4" s="1"/>
  <c r="I164" i="4"/>
  <c r="F164" i="4"/>
  <c r="G164" i="4" s="1"/>
  <c r="I167" i="4"/>
  <c r="F167" i="4"/>
  <c r="G167" i="4" s="1"/>
  <c r="I168" i="4"/>
  <c r="F168" i="4"/>
  <c r="G168" i="4" s="1"/>
  <c r="I169" i="4"/>
  <c r="F169" i="4"/>
  <c r="G169" i="4" s="1"/>
  <c r="I156" i="4"/>
  <c r="F156" i="4"/>
  <c r="G156" i="4" s="1"/>
  <c r="I157" i="4"/>
  <c r="F157" i="4"/>
  <c r="G157" i="4" s="1"/>
  <c r="I159" i="4"/>
  <c r="F159" i="4"/>
  <c r="G159" i="4" s="1"/>
  <c r="I158" i="4"/>
  <c r="F158" i="4"/>
  <c r="G158" i="4" s="1"/>
  <c r="I148" i="4"/>
  <c r="F148" i="4"/>
  <c r="G148" i="4" s="1"/>
  <c r="I151" i="4"/>
  <c r="F151" i="4"/>
  <c r="G151" i="4" s="1"/>
  <c r="I150" i="4"/>
  <c r="F150" i="4"/>
  <c r="G150" i="4" s="1"/>
  <c r="I149" i="4"/>
  <c r="F149" i="4"/>
  <c r="G149" i="4" s="1"/>
  <c r="I147" i="4"/>
  <c r="F147" i="4"/>
  <c r="G147" i="4" s="1"/>
  <c r="I146" i="4"/>
  <c r="F146" i="4"/>
  <c r="G146" i="4" s="1"/>
  <c r="I145" i="4"/>
  <c r="F145" i="4"/>
  <c r="G145" i="4" s="1"/>
  <c r="I140" i="4"/>
  <c r="F140" i="4"/>
  <c r="G140" i="4" s="1"/>
  <c r="I137" i="4"/>
  <c r="F137" i="4"/>
  <c r="G137" i="4" s="1"/>
  <c r="I136" i="4"/>
  <c r="F136" i="4"/>
  <c r="G136" i="4" s="1"/>
  <c r="I135" i="4"/>
  <c r="F135" i="4"/>
  <c r="G135" i="4" s="1"/>
  <c r="I139" i="4"/>
  <c r="F139" i="4"/>
  <c r="G139" i="4" s="1"/>
  <c r="I138" i="4"/>
  <c r="F138" i="4"/>
  <c r="G138" i="4" s="1"/>
  <c r="I134" i="4"/>
  <c r="F134" i="4"/>
  <c r="G134" i="4" s="1"/>
  <c r="I129" i="4"/>
  <c r="F129" i="4"/>
  <c r="G129" i="4" s="1"/>
  <c r="I128" i="4"/>
  <c r="F128" i="4"/>
  <c r="G128" i="4" s="1"/>
  <c r="I127" i="4"/>
  <c r="F127" i="4"/>
  <c r="G127" i="4" s="1"/>
  <c r="I126" i="4"/>
  <c r="F126" i="4"/>
  <c r="G126" i="4" s="1"/>
  <c r="I125" i="4"/>
  <c r="F125" i="4"/>
  <c r="G125" i="4" s="1"/>
  <c r="I124" i="4"/>
  <c r="F124" i="4"/>
  <c r="G124" i="4" s="1"/>
  <c r="I118" i="4"/>
  <c r="F118" i="4"/>
  <c r="G118" i="4" s="1"/>
  <c r="I114" i="4"/>
  <c r="F114" i="4"/>
  <c r="G114" i="4" s="1"/>
  <c r="I117" i="4"/>
  <c r="F117" i="4"/>
  <c r="G117" i="4" s="1"/>
  <c r="I116" i="4"/>
  <c r="F116" i="4"/>
  <c r="G116" i="4" s="1"/>
  <c r="I115" i="4"/>
  <c r="F115" i="4"/>
  <c r="G115" i="4" s="1"/>
  <c r="I113" i="4"/>
  <c r="F113" i="4"/>
  <c r="G113" i="4" s="1"/>
  <c r="I107" i="4"/>
  <c r="F107" i="4"/>
  <c r="G107" i="4" s="1"/>
  <c r="I106" i="4"/>
  <c r="F106" i="4"/>
  <c r="G106" i="4" s="1"/>
  <c r="I105" i="4"/>
  <c r="F105" i="4"/>
  <c r="G105" i="4" s="1"/>
  <c r="I98" i="4"/>
  <c r="F98" i="4"/>
  <c r="G98" i="4" s="1"/>
  <c r="I104" i="4"/>
  <c r="F104" i="4"/>
  <c r="G104" i="4" s="1"/>
  <c r="I103" i="4"/>
  <c r="F103" i="4"/>
  <c r="G103" i="4" s="1"/>
  <c r="J120" i="1"/>
  <c r="H120" i="1" s="1"/>
  <c r="I120" i="1" s="1"/>
  <c r="N120" i="1"/>
  <c r="J121" i="1"/>
  <c r="H121" i="1" s="1"/>
  <c r="I121" i="1" s="1"/>
  <c r="N121" i="1"/>
  <c r="J122" i="1"/>
  <c r="H122" i="1" s="1"/>
  <c r="I122" i="1" s="1"/>
  <c r="N122" i="1"/>
  <c r="J123" i="1"/>
  <c r="H123" i="1" s="1"/>
  <c r="I123" i="1" s="1"/>
  <c r="N123" i="1"/>
  <c r="J125" i="1"/>
  <c r="N125" i="1"/>
  <c r="J126" i="1"/>
  <c r="H126" i="1" s="1"/>
  <c r="I126" i="1" s="1"/>
  <c r="N126" i="1"/>
  <c r="J127" i="1"/>
  <c r="H127" i="1" s="1"/>
  <c r="I127" i="1" s="1"/>
  <c r="N127" i="1"/>
  <c r="J128" i="1"/>
  <c r="H128" i="1" s="1"/>
  <c r="I128" i="1" s="1"/>
  <c r="N128" i="1"/>
  <c r="J129" i="1"/>
  <c r="H129" i="1" s="1"/>
  <c r="I129" i="1" s="1"/>
  <c r="N129" i="1"/>
  <c r="J130" i="1"/>
  <c r="H130" i="1" s="1"/>
  <c r="I130" i="1" s="1"/>
  <c r="N130" i="1"/>
  <c r="J131" i="1"/>
  <c r="H131" i="1" s="1"/>
  <c r="I131" i="1" s="1"/>
  <c r="N131" i="1"/>
  <c r="J132" i="1"/>
  <c r="H132" i="1" s="1"/>
  <c r="I132" i="1" s="1"/>
  <c r="N132" i="1"/>
  <c r="J133" i="1"/>
  <c r="H133" i="1" s="1"/>
  <c r="I133" i="1" s="1"/>
  <c r="N133" i="1"/>
  <c r="J134" i="1"/>
  <c r="H134" i="1" s="1"/>
  <c r="I134" i="1" s="1"/>
  <c r="N134" i="1"/>
  <c r="J136" i="1"/>
  <c r="N136" i="1"/>
  <c r="N137" i="1"/>
  <c r="N138" i="1"/>
  <c r="J139" i="1"/>
  <c r="H139" i="1" s="1"/>
  <c r="I139" i="1" s="1"/>
  <c r="N139" i="1"/>
  <c r="J140" i="1"/>
  <c r="H140" i="1" s="1"/>
  <c r="I140" i="1" s="1"/>
  <c r="N140" i="1"/>
  <c r="J141" i="1"/>
  <c r="H141" i="1" s="1"/>
  <c r="I141" i="1" s="1"/>
  <c r="N141" i="1"/>
  <c r="J142" i="1"/>
  <c r="H142" i="1" s="1"/>
  <c r="I142" i="1" s="1"/>
  <c r="N142" i="1"/>
  <c r="J143" i="1"/>
  <c r="H143" i="1" s="1"/>
  <c r="I143" i="1" s="1"/>
  <c r="N143" i="1"/>
  <c r="J144" i="1"/>
  <c r="H144" i="1" s="1"/>
  <c r="I144" i="1" s="1"/>
  <c r="N144" i="1"/>
  <c r="J147" i="1"/>
  <c r="N147" i="1"/>
  <c r="J149" i="1"/>
  <c r="H149" i="1" s="1"/>
  <c r="I149" i="1" s="1"/>
  <c r="N149" i="1"/>
  <c r="J150" i="1"/>
  <c r="H150" i="1" s="1"/>
  <c r="I150" i="1" s="1"/>
  <c r="N150" i="1"/>
  <c r="J151" i="1"/>
  <c r="H151" i="1" s="1"/>
  <c r="I151" i="1" s="1"/>
  <c r="N151" i="1"/>
  <c r="J153" i="1"/>
  <c r="N153" i="1"/>
  <c r="J154" i="1"/>
  <c r="H154" i="1" s="1"/>
  <c r="I154" i="1" s="1"/>
  <c r="N154" i="1"/>
  <c r="J156" i="1"/>
  <c r="H156" i="1" s="1"/>
  <c r="I156" i="1" s="1"/>
  <c r="N156" i="1"/>
  <c r="J157" i="1"/>
  <c r="H157" i="1" s="1"/>
  <c r="I157" i="1" s="1"/>
  <c r="N157" i="1"/>
  <c r="J158" i="1"/>
  <c r="H158" i="1" s="1"/>
  <c r="I158" i="1" s="1"/>
  <c r="N158" i="1"/>
  <c r="J159" i="1"/>
  <c r="H159" i="1" s="1"/>
  <c r="I159" i="1" s="1"/>
  <c r="N159" i="1"/>
  <c r="J160" i="1"/>
  <c r="H160" i="1" s="1"/>
  <c r="I160" i="1" s="1"/>
  <c r="N160" i="1"/>
  <c r="J161" i="1"/>
  <c r="H161" i="1" s="1"/>
  <c r="I161" i="1" s="1"/>
  <c r="N161" i="1"/>
  <c r="J162" i="1"/>
  <c r="H162" i="1" s="1"/>
  <c r="I162" i="1" s="1"/>
  <c r="N162" i="1"/>
  <c r="N119" i="1"/>
  <c r="J119" i="1"/>
  <c r="H119" i="1" s="1"/>
  <c r="I119" i="1" s="1"/>
  <c r="N118" i="1"/>
  <c r="J118" i="1"/>
  <c r="H118" i="1" s="1"/>
  <c r="I118" i="1" s="1"/>
  <c r="N117" i="1"/>
  <c r="J117" i="1"/>
  <c r="H117" i="1" s="1"/>
  <c r="I117" i="1" s="1"/>
  <c r="N116" i="1"/>
  <c r="J116" i="1"/>
  <c r="H116" i="1" s="1"/>
  <c r="I116" i="1" s="1"/>
  <c r="N115" i="1"/>
  <c r="I93" i="4"/>
  <c r="F93" i="4"/>
  <c r="G93" i="4" s="1"/>
  <c r="I97" i="4"/>
  <c r="F97" i="4"/>
  <c r="G97" i="4" s="1"/>
  <c r="I96" i="4"/>
  <c r="F96" i="4"/>
  <c r="G96" i="4" s="1"/>
  <c r="I95" i="4"/>
  <c r="F95" i="4"/>
  <c r="G95" i="4" s="1"/>
  <c r="I94" i="4"/>
  <c r="F94" i="4"/>
  <c r="G94" i="4" s="1"/>
  <c r="I85" i="4"/>
  <c r="F85" i="4"/>
  <c r="G85" i="4" s="1"/>
  <c r="I84" i="4"/>
  <c r="F84" i="4"/>
  <c r="G84" i="4" s="1"/>
  <c r="I83" i="4"/>
  <c r="F83" i="4"/>
  <c r="G83" i="4" s="1"/>
  <c r="I86" i="4"/>
  <c r="F86" i="4"/>
  <c r="G86" i="4" s="1"/>
  <c r="I87" i="4"/>
  <c r="F87" i="4"/>
  <c r="G87" i="4" s="1"/>
  <c r="I72" i="4"/>
  <c r="F72" i="4"/>
  <c r="G72" i="4" s="1"/>
  <c r="I73" i="4"/>
  <c r="F73" i="4"/>
  <c r="G73" i="4" s="1"/>
  <c r="I74" i="4"/>
  <c r="F74" i="4"/>
  <c r="G74" i="4" s="1"/>
  <c r="I75" i="4"/>
  <c r="F75" i="4"/>
  <c r="G75" i="4" s="1"/>
  <c r="I76" i="4"/>
  <c r="F76" i="4"/>
  <c r="G76" i="4" s="1"/>
  <c r="I77" i="4"/>
  <c r="F77" i="4"/>
  <c r="G77" i="4" s="1"/>
  <c r="I62" i="4"/>
  <c r="F62" i="4"/>
  <c r="G62" i="4" s="1"/>
  <c r="I61" i="4"/>
  <c r="F61" i="4"/>
  <c r="G61" i="4" s="1"/>
  <c r="I60" i="4"/>
  <c r="F60" i="4"/>
  <c r="G60" i="4" s="1"/>
  <c r="I63" i="4"/>
  <c r="F63" i="4"/>
  <c r="G63" i="4" s="1"/>
  <c r="I64" i="4"/>
  <c r="F64" i="4"/>
  <c r="G64" i="4" s="1"/>
  <c r="I65" i="4"/>
  <c r="F65" i="4"/>
  <c r="G65" i="4" s="1"/>
  <c r="I66" i="4"/>
  <c r="F66" i="4"/>
  <c r="G66" i="4" s="1"/>
  <c r="I54" i="4"/>
  <c r="F54" i="4"/>
  <c r="G54" i="4" s="1"/>
  <c r="I53" i="4"/>
  <c r="F53" i="4"/>
  <c r="G53" i="4" s="1"/>
  <c r="I52" i="4"/>
  <c r="F52" i="4"/>
  <c r="G52" i="4" s="1"/>
  <c r="I44" i="4"/>
  <c r="F44" i="4"/>
  <c r="G44" i="4" s="1"/>
  <c r="I43" i="4"/>
  <c r="F43" i="4"/>
  <c r="G43" i="4" s="1"/>
  <c r="I42" i="4"/>
  <c r="F42" i="4"/>
  <c r="G42" i="4" s="1"/>
  <c r="I46" i="4"/>
  <c r="F46" i="4"/>
  <c r="G46" i="4" s="1"/>
  <c r="I45" i="4"/>
  <c r="F45" i="4"/>
  <c r="G45" i="4" s="1"/>
  <c r="I34" i="4"/>
  <c r="F34" i="4"/>
  <c r="G34" i="4" s="1"/>
  <c r="I37" i="4"/>
  <c r="F37" i="4"/>
  <c r="G37" i="4" s="1"/>
  <c r="I36" i="4"/>
  <c r="F36" i="4"/>
  <c r="G36" i="4" s="1"/>
  <c r="I35" i="4"/>
  <c r="F35" i="4"/>
  <c r="G35" i="4" s="1"/>
  <c r="I29" i="4"/>
  <c r="F29" i="4"/>
  <c r="G29" i="4" s="1"/>
  <c r="I28" i="4"/>
  <c r="F28" i="4"/>
  <c r="G28" i="4" s="1"/>
  <c r="I27" i="4"/>
  <c r="F27" i="4"/>
  <c r="G27" i="4" s="1"/>
  <c r="I26" i="4"/>
  <c r="F26" i="4"/>
  <c r="G26" i="4" s="1"/>
  <c r="I21" i="4"/>
  <c r="F21" i="4"/>
  <c r="G21" i="4" s="1"/>
  <c r="I20" i="4"/>
  <c r="F20" i="4"/>
  <c r="G20" i="4" s="1"/>
  <c r="I15" i="4"/>
  <c r="F15" i="4"/>
  <c r="G15" i="4" s="1"/>
  <c r="G16" i="4" s="1"/>
  <c r="I10" i="4"/>
  <c r="I359" i="15" l="1"/>
  <c r="O359" i="15"/>
  <c r="I329" i="15"/>
  <c r="O329" i="15"/>
  <c r="I289" i="15"/>
  <c r="O289" i="15"/>
  <c r="I212" i="15"/>
  <c r="O212" i="15"/>
  <c r="I933" i="15"/>
  <c r="O933" i="15"/>
  <c r="I355" i="15"/>
  <c r="O355" i="15"/>
  <c r="I325" i="15"/>
  <c r="O325" i="15"/>
  <c r="I285" i="15"/>
  <c r="O285" i="15"/>
  <c r="I208" i="15"/>
  <c r="O208" i="15"/>
  <c r="I218" i="15"/>
  <c r="O218" i="15"/>
  <c r="I352" i="15"/>
  <c r="O352" i="15"/>
  <c r="I322" i="15"/>
  <c r="O322" i="15"/>
  <c r="I270" i="15"/>
  <c r="O270" i="15"/>
  <c r="I197" i="15"/>
  <c r="O197" i="15"/>
  <c r="I323" i="15"/>
  <c r="O323" i="15"/>
  <c r="I324" i="15"/>
  <c r="O324" i="15"/>
  <c r="I199" i="15"/>
  <c r="O199" i="15"/>
  <c r="I232" i="15"/>
  <c r="O232" i="15"/>
  <c r="I350" i="15"/>
  <c r="O350" i="15"/>
  <c r="I321" i="15"/>
  <c r="O321" i="15"/>
  <c r="I236" i="15"/>
  <c r="O236" i="15"/>
  <c r="I187" i="15"/>
  <c r="O187" i="15"/>
  <c r="I337" i="15"/>
  <c r="O337" i="15"/>
  <c r="I932" i="15"/>
  <c r="I927" i="15" s="1"/>
  <c r="O58" i="9" s="1"/>
  <c r="O932" i="15"/>
  <c r="I230" i="15"/>
  <c r="O230" i="15"/>
  <c r="I357" i="15"/>
  <c r="O357" i="15"/>
  <c r="I919" i="15"/>
  <c r="O919" i="15"/>
  <c r="I191" i="15"/>
  <c r="O191" i="15"/>
  <c r="I354" i="15"/>
  <c r="O354" i="15"/>
  <c r="I339" i="15"/>
  <c r="O339" i="15"/>
  <c r="I320" i="15"/>
  <c r="O320" i="15"/>
  <c r="I190" i="15"/>
  <c r="O190" i="15"/>
  <c r="I198" i="15"/>
  <c r="O198" i="15"/>
  <c r="I336" i="15"/>
  <c r="O336" i="15"/>
  <c r="I921" i="15"/>
  <c r="O921" i="15"/>
  <c r="I229" i="15"/>
  <c r="O229" i="15"/>
  <c r="I334" i="15"/>
  <c r="O334" i="15"/>
  <c r="I362" i="15"/>
  <c r="O362" i="15"/>
  <c r="I333" i="15"/>
  <c r="O333" i="15"/>
  <c r="I310" i="15"/>
  <c r="O310" i="15"/>
  <c r="I217" i="15"/>
  <c r="O217" i="15"/>
  <c r="I353" i="15"/>
  <c r="O353" i="15"/>
  <c r="I271" i="15"/>
  <c r="O271" i="15"/>
  <c r="I235" i="15"/>
  <c r="O235" i="15"/>
  <c r="I920" i="15"/>
  <c r="O920" i="15"/>
  <c r="I228" i="15"/>
  <c r="O228" i="15"/>
  <c r="I338" i="15"/>
  <c r="O338" i="15"/>
  <c r="I360" i="15"/>
  <c r="O360" i="15"/>
  <c r="I330" i="15"/>
  <c r="O330" i="15"/>
  <c r="I309" i="15"/>
  <c r="O309" i="15"/>
  <c r="I215" i="15"/>
  <c r="O215" i="15"/>
  <c r="I288" i="15"/>
  <c r="O288" i="15"/>
  <c r="I356" i="15"/>
  <c r="O356" i="15"/>
  <c r="I326" i="15"/>
  <c r="O326" i="15"/>
  <c r="I286" i="15"/>
  <c r="O286" i="15"/>
  <c r="I209" i="15"/>
  <c r="O209" i="15"/>
  <c r="I328" i="15"/>
  <c r="O328" i="15"/>
  <c r="I214" i="15"/>
  <c r="O214" i="15"/>
  <c r="I272" i="15"/>
  <c r="O272" i="15"/>
  <c r="I335" i="15"/>
  <c r="O335" i="15"/>
  <c r="H219" i="1"/>
  <c r="I219" i="1" s="1"/>
  <c r="J220" i="1"/>
  <c r="H220" i="1" s="1"/>
  <c r="I220" i="1" s="1"/>
  <c r="I1114" i="1"/>
  <c r="J174" i="15"/>
  <c r="H174" i="15" s="1"/>
  <c r="J173" i="15"/>
  <c r="H173" i="15" s="1"/>
  <c r="H172" i="15"/>
  <c r="J58" i="1"/>
  <c r="H58" i="1" s="1"/>
  <c r="I58" i="1" s="1"/>
  <c r="J28" i="15"/>
  <c r="H28" i="15" s="1"/>
  <c r="I1101" i="1"/>
  <c r="G386" i="4"/>
  <c r="G376" i="4"/>
  <c r="G367" i="4"/>
  <c r="G354" i="4"/>
  <c r="J193" i="1" s="1"/>
  <c r="G349" i="4"/>
  <c r="J191" i="1" s="1"/>
  <c r="H191" i="1" s="1"/>
  <c r="I191" i="1" s="1"/>
  <c r="J192" i="1"/>
  <c r="G325" i="4"/>
  <c r="J190" i="1" s="1"/>
  <c r="H190" i="1" s="1"/>
  <c r="I190" i="1" s="1"/>
  <c r="G313" i="4"/>
  <c r="G299" i="4"/>
  <c r="J186" i="1" s="1"/>
  <c r="H186" i="1" s="1"/>
  <c r="I186" i="1" s="1"/>
  <c r="G288" i="4"/>
  <c r="J183" i="1" s="1"/>
  <c r="H183" i="1" s="1"/>
  <c r="I183" i="1" s="1"/>
  <c r="G277" i="4"/>
  <c r="J182" i="1" s="1"/>
  <c r="H182" i="1" s="1"/>
  <c r="I182" i="1" s="1"/>
  <c r="G263" i="4"/>
  <c r="J180" i="1" s="1"/>
  <c r="H180" i="1" s="1"/>
  <c r="I180" i="1" s="1"/>
  <c r="G249" i="4"/>
  <c r="J179" i="1" s="1"/>
  <c r="H179" i="1" s="1"/>
  <c r="I179" i="1" s="1"/>
  <c r="G235" i="4"/>
  <c r="J178" i="1" s="1"/>
  <c r="H178" i="1" s="1"/>
  <c r="I178" i="1" s="1"/>
  <c r="G226" i="4"/>
  <c r="J177" i="1" s="1"/>
  <c r="H177" i="1" s="1"/>
  <c r="I177" i="1" s="1"/>
  <c r="G216" i="4"/>
  <c r="G206" i="4"/>
  <c r="G182" i="4"/>
  <c r="J155" i="1" s="1"/>
  <c r="H155" i="1" s="1"/>
  <c r="I155" i="1" s="1"/>
  <c r="G171" i="4"/>
  <c r="G160" i="4"/>
  <c r="G141" i="4"/>
  <c r="G152" i="4"/>
  <c r="G130" i="4"/>
  <c r="G119" i="4"/>
  <c r="G108" i="4"/>
  <c r="G99" i="4"/>
  <c r="G88" i="4"/>
  <c r="G78" i="4"/>
  <c r="G67" i="4"/>
  <c r="G55" i="4"/>
  <c r="G47" i="4"/>
  <c r="G38" i="4"/>
  <c r="J188" i="15" s="1"/>
  <c r="H188" i="15" s="1"/>
  <c r="G30" i="4"/>
  <c r="G22" i="4"/>
  <c r="H51" i="1"/>
  <c r="I51" i="1" s="1"/>
  <c r="J109" i="1"/>
  <c r="H109" i="1" s="1"/>
  <c r="I109" i="1" s="1"/>
  <c r="I918" i="15" l="1"/>
  <c r="I346" i="15"/>
  <c r="I194" i="15"/>
  <c r="I193" i="15" s="1"/>
  <c r="I28" i="15"/>
  <c r="O28" i="15"/>
  <c r="I188" i="15"/>
  <c r="I186" i="15" s="1"/>
  <c r="O188" i="15"/>
  <c r="I172" i="15"/>
  <c r="O172" i="15"/>
  <c r="I173" i="15"/>
  <c r="O173" i="15"/>
  <c r="I174" i="15"/>
  <c r="O174" i="15"/>
  <c r="J203" i="1"/>
  <c r="H203" i="1" s="1"/>
  <c r="I203" i="1" s="1"/>
  <c r="J159" i="15"/>
  <c r="H159" i="15" s="1"/>
  <c r="J202" i="1"/>
  <c r="H202" i="1" s="1"/>
  <c r="I202" i="1" s="1"/>
  <c r="J158" i="15"/>
  <c r="H158" i="15" s="1"/>
  <c r="J189" i="1"/>
  <c r="H189" i="1" s="1"/>
  <c r="I189" i="1" s="1"/>
  <c r="J150" i="15"/>
  <c r="H150" i="15" s="1"/>
  <c r="J204" i="1"/>
  <c r="H204" i="1" s="1"/>
  <c r="I204" i="1" s="1"/>
  <c r="J161" i="15"/>
  <c r="H161" i="15" s="1"/>
  <c r="J65" i="1"/>
  <c r="J74" i="1" s="1"/>
  <c r="H74" i="1" s="1"/>
  <c r="I74" i="1" s="1"/>
  <c r="J43" i="15"/>
  <c r="H43" i="15" s="1"/>
  <c r="J35" i="15"/>
  <c r="H35" i="15" s="1"/>
  <c r="J108" i="1"/>
  <c r="H108" i="1" s="1"/>
  <c r="I108" i="1" s="1"/>
  <c r="J74" i="15"/>
  <c r="H74" i="15" s="1"/>
  <c r="J148" i="1"/>
  <c r="H148" i="1" s="1"/>
  <c r="I148" i="1" s="1"/>
  <c r="J115" i="15"/>
  <c r="H115" i="15" s="1"/>
  <c r="J64" i="1"/>
  <c r="H64" i="1" s="1"/>
  <c r="I64" i="1" s="1"/>
  <c r="J34" i="15"/>
  <c r="H34" i="15" s="1"/>
  <c r="J42" i="15"/>
  <c r="H42" i="15" s="1"/>
  <c r="J145" i="1"/>
  <c r="H145" i="1" s="1"/>
  <c r="I145" i="1" s="1"/>
  <c r="J112" i="15"/>
  <c r="H112" i="15" s="1"/>
  <c r="J63" i="1"/>
  <c r="J72" i="1" s="1"/>
  <c r="H72" i="1" s="1"/>
  <c r="I72" i="1" s="1"/>
  <c r="J33" i="15"/>
  <c r="H33" i="15" s="1"/>
  <c r="J41" i="15"/>
  <c r="H41" i="15" s="1"/>
  <c r="J87" i="1"/>
  <c r="H87" i="1" s="1"/>
  <c r="I87" i="1" s="1"/>
  <c r="J54" i="15"/>
  <c r="H54" i="15" s="1"/>
  <c r="J115" i="1"/>
  <c r="H115" i="1" s="1"/>
  <c r="I115" i="1" s="1"/>
  <c r="J82" i="15"/>
  <c r="H82" i="15" s="1"/>
  <c r="J137" i="1"/>
  <c r="H137" i="1" s="1"/>
  <c r="I137" i="1" s="1"/>
  <c r="J104" i="15"/>
  <c r="H104" i="15" s="1"/>
  <c r="J172" i="1"/>
  <c r="H172" i="1" s="1"/>
  <c r="I172" i="1" s="1"/>
  <c r="J135" i="15"/>
  <c r="H135" i="15" s="1"/>
  <c r="J124" i="1"/>
  <c r="H124" i="1" s="1"/>
  <c r="I124" i="1" s="1"/>
  <c r="J91" i="15"/>
  <c r="H91" i="15" s="1"/>
  <c r="J59" i="1"/>
  <c r="H59" i="1" s="1"/>
  <c r="I59" i="1" s="1"/>
  <c r="J29" i="15"/>
  <c r="H29" i="15" s="1"/>
  <c r="J70" i="1"/>
  <c r="J83" i="1" s="1"/>
  <c r="H83" i="1" s="1"/>
  <c r="I83" i="1" s="1"/>
  <c r="J39" i="15"/>
  <c r="H39" i="15" s="1"/>
  <c r="J50" i="15"/>
  <c r="H50" i="15" s="1"/>
  <c r="J110" i="1"/>
  <c r="H110" i="1" s="1"/>
  <c r="I110" i="1" s="1"/>
  <c r="J76" i="15"/>
  <c r="H76" i="15" s="1"/>
  <c r="J138" i="1"/>
  <c r="H138" i="1" s="1"/>
  <c r="I138" i="1" s="1"/>
  <c r="J122" i="15"/>
  <c r="H122" i="15" s="1"/>
  <c r="J105" i="15"/>
  <c r="H105" i="15" s="1"/>
  <c r="J135" i="1"/>
  <c r="J146" i="1" s="1"/>
  <c r="J119" i="15"/>
  <c r="H119" i="15" s="1"/>
  <c r="J129" i="15"/>
  <c r="H129" i="15" s="1"/>
  <c r="J102" i="15"/>
  <c r="H102" i="15" s="1"/>
  <c r="J113" i="15"/>
  <c r="H113" i="15" s="1"/>
  <c r="J95" i="1"/>
  <c r="H95" i="1" s="1"/>
  <c r="I95" i="1" s="1"/>
  <c r="J61" i="15"/>
  <c r="H61" i="15" s="1"/>
  <c r="J173" i="1"/>
  <c r="H173" i="1" s="1"/>
  <c r="I173" i="1" s="1"/>
  <c r="J136" i="15"/>
  <c r="H136" i="15" s="1"/>
  <c r="H192" i="1"/>
  <c r="I192" i="1" s="1"/>
  <c r="H193" i="1"/>
  <c r="I193" i="1" s="1"/>
  <c r="L48" i="9" l="1"/>
  <c r="M48" i="9"/>
  <c r="H54" i="9"/>
  <c r="I54" i="9"/>
  <c r="J54" i="9"/>
  <c r="K54" i="9"/>
  <c r="G54" i="9"/>
  <c r="I167" i="15"/>
  <c r="I54" i="15"/>
  <c r="O54" i="15"/>
  <c r="I161" i="15"/>
  <c r="O161" i="15"/>
  <c r="I76" i="15"/>
  <c r="O76" i="15"/>
  <c r="I91" i="15"/>
  <c r="O91" i="15"/>
  <c r="I102" i="15"/>
  <c r="O102" i="15"/>
  <c r="I129" i="15"/>
  <c r="O129" i="15"/>
  <c r="I119" i="15"/>
  <c r="O119" i="15"/>
  <c r="I39" i="15"/>
  <c r="O39" i="15"/>
  <c r="I104" i="15"/>
  <c r="O104" i="15"/>
  <c r="I74" i="15"/>
  <c r="O74" i="15"/>
  <c r="I113" i="15"/>
  <c r="O113" i="15"/>
  <c r="I41" i="15"/>
  <c r="O41" i="15"/>
  <c r="I50" i="15"/>
  <c r="O50" i="15"/>
  <c r="I112" i="15"/>
  <c r="O112" i="15"/>
  <c r="I158" i="15"/>
  <c r="O158" i="15"/>
  <c r="I115" i="15"/>
  <c r="O115" i="15"/>
  <c r="I150" i="15"/>
  <c r="I149" i="15" s="1"/>
  <c r="O150" i="15"/>
  <c r="I105" i="15"/>
  <c r="O105" i="15"/>
  <c r="I29" i="15"/>
  <c r="O29" i="15"/>
  <c r="I82" i="15"/>
  <c r="O82" i="15"/>
  <c r="I35" i="15"/>
  <c r="O35" i="15"/>
  <c r="I34" i="15"/>
  <c r="O34" i="15"/>
  <c r="I135" i="15"/>
  <c r="O135" i="15"/>
  <c r="I33" i="15"/>
  <c r="O33" i="15"/>
  <c r="I136" i="15"/>
  <c r="O136" i="15"/>
  <c r="I61" i="15"/>
  <c r="O61" i="15"/>
  <c r="I122" i="15"/>
  <c r="O122" i="15"/>
  <c r="I42" i="15"/>
  <c r="O42" i="15"/>
  <c r="I43" i="15"/>
  <c r="O43" i="15"/>
  <c r="I159" i="15"/>
  <c r="O159" i="15"/>
  <c r="J73" i="1"/>
  <c r="J235" i="1" s="1"/>
  <c r="H235" i="1" s="1"/>
  <c r="I235" i="1" s="1"/>
  <c r="I233" i="1" s="1"/>
  <c r="H70" i="1"/>
  <c r="I70" i="1" s="1"/>
  <c r="H135" i="1"/>
  <c r="I135" i="1" s="1"/>
  <c r="I171" i="1"/>
  <c r="H65" i="1"/>
  <c r="I65" i="1" s="1"/>
  <c r="H63" i="1"/>
  <c r="I63" i="1" s="1"/>
  <c r="I188" i="1"/>
  <c r="H73" i="1"/>
  <c r="I73" i="1" s="1"/>
  <c r="H146" i="1"/>
  <c r="I146" i="1" s="1"/>
  <c r="J152" i="1"/>
  <c r="L36" i="9" l="1"/>
  <c r="M36" i="9"/>
  <c r="N36" i="9"/>
  <c r="O36" i="9"/>
  <c r="I79" i="15"/>
  <c r="I63" i="15"/>
  <c r="I31" i="15"/>
  <c r="I134" i="15"/>
  <c r="I155" i="15"/>
  <c r="L40" i="9" s="1"/>
  <c r="I30" i="9"/>
  <c r="H152" i="1"/>
  <c r="I152" i="1" s="1"/>
  <c r="J163" i="1"/>
  <c r="H163" i="1" s="1"/>
  <c r="I163" i="1" s="1"/>
  <c r="N32" i="9" l="1"/>
  <c r="L32" i="9"/>
  <c r="M32" i="9"/>
  <c r="I112" i="1"/>
  <c r="BC1157" i="1" s="1"/>
  <c r="BF1150" i="1" l="1"/>
  <c r="N110" i="1"/>
  <c r="N109" i="1"/>
  <c r="N108" i="1"/>
  <c r="N107" i="1"/>
  <c r="J107" i="1"/>
  <c r="H107" i="1" s="1"/>
  <c r="I107" i="1" s="1"/>
  <c r="N106" i="1"/>
  <c r="J106" i="1"/>
  <c r="H106" i="1" s="1"/>
  <c r="I106" i="1" s="1"/>
  <c r="N105" i="1"/>
  <c r="J105" i="1"/>
  <c r="H105" i="1" s="1"/>
  <c r="I105" i="1" s="1"/>
  <c r="N104" i="1"/>
  <c r="J104" i="1"/>
  <c r="H104" i="1" s="1"/>
  <c r="I104" i="1" s="1"/>
  <c r="N103" i="1"/>
  <c r="J103" i="1"/>
  <c r="H103" i="1" s="1"/>
  <c r="I103" i="1" s="1"/>
  <c r="N102" i="1"/>
  <c r="J102" i="1"/>
  <c r="H102" i="1" s="1"/>
  <c r="I102" i="1" s="1"/>
  <c r="N101" i="1"/>
  <c r="J101" i="1"/>
  <c r="H101" i="1" s="1"/>
  <c r="I101" i="1" s="1"/>
  <c r="N100" i="1"/>
  <c r="J100" i="1"/>
  <c r="H100" i="1" s="1"/>
  <c r="I100" i="1" s="1"/>
  <c r="N99" i="1"/>
  <c r="J99" i="1"/>
  <c r="H99" i="1" s="1"/>
  <c r="I99" i="1" s="1"/>
  <c r="N98" i="1"/>
  <c r="J98" i="1"/>
  <c r="H98" i="1" s="1"/>
  <c r="I98" i="1" s="1"/>
  <c r="N93" i="1"/>
  <c r="J93" i="1"/>
  <c r="H93" i="1" s="1"/>
  <c r="I93" i="1" s="1"/>
  <c r="N92" i="1"/>
  <c r="J92" i="1"/>
  <c r="H92" i="1" s="1"/>
  <c r="I92" i="1" s="1"/>
  <c r="N91" i="1"/>
  <c r="J91" i="1"/>
  <c r="H91" i="1" s="1"/>
  <c r="I91" i="1" s="1"/>
  <c r="N90" i="1"/>
  <c r="J90" i="1"/>
  <c r="H90" i="1" s="1"/>
  <c r="I90" i="1" s="1"/>
  <c r="N89" i="1"/>
  <c r="J89" i="1"/>
  <c r="H89" i="1" s="1"/>
  <c r="I89" i="1" s="1"/>
  <c r="N88" i="1"/>
  <c r="J88" i="1"/>
  <c r="H88" i="1" s="1"/>
  <c r="I88" i="1" s="1"/>
  <c r="N87" i="1"/>
  <c r="N86" i="1"/>
  <c r="J86" i="1"/>
  <c r="H86" i="1" s="1"/>
  <c r="I86" i="1" s="1"/>
  <c r="N85" i="1"/>
  <c r="J85" i="1"/>
  <c r="H85" i="1" s="1"/>
  <c r="I85" i="1" s="1"/>
  <c r="N83" i="1"/>
  <c r="N82" i="1"/>
  <c r="J82" i="1"/>
  <c r="H82" i="1" s="1"/>
  <c r="I82" i="1" s="1"/>
  <c r="N81" i="1"/>
  <c r="J81" i="1"/>
  <c r="H81" i="1" s="1"/>
  <c r="I81" i="1" s="1"/>
  <c r="N80" i="1"/>
  <c r="J80" i="1"/>
  <c r="H80" i="1" s="1"/>
  <c r="I80" i="1" s="1"/>
  <c r="N79" i="1"/>
  <c r="J79" i="1"/>
  <c r="H79" i="1" s="1"/>
  <c r="I79" i="1" s="1"/>
  <c r="N78" i="1"/>
  <c r="J78" i="1"/>
  <c r="H78" i="1" s="1"/>
  <c r="I78" i="1" s="1"/>
  <c r="N77" i="1"/>
  <c r="J77" i="1"/>
  <c r="H77" i="1" s="1"/>
  <c r="I77" i="1" s="1"/>
  <c r="N76" i="1"/>
  <c r="J76" i="1"/>
  <c r="H76" i="1" s="1"/>
  <c r="I76" i="1" s="1"/>
  <c r="N75" i="1"/>
  <c r="J75" i="1"/>
  <c r="H75" i="1" s="1"/>
  <c r="I75" i="1" s="1"/>
  <c r="N74" i="1"/>
  <c r="N73" i="1"/>
  <c r="N72" i="1"/>
  <c r="N53" i="1"/>
  <c r="N51" i="1"/>
  <c r="B47" i="1"/>
  <c r="N38" i="1"/>
  <c r="J38" i="1"/>
  <c r="H38" i="1" s="1"/>
  <c r="I38" i="1" s="1"/>
  <c r="B25" i="1"/>
  <c r="J979" i="1"/>
  <c r="H979" i="1" s="1"/>
  <c r="I979" i="1" s="1"/>
  <c r="J977" i="1"/>
  <c r="H977" i="1" s="1"/>
  <c r="I977" i="1" s="1"/>
  <c r="J978" i="1"/>
  <c r="H978" i="1" s="1"/>
  <c r="I978" i="1" s="1"/>
  <c r="J618" i="1"/>
  <c r="H618" i="1" s="1"/>
  <c r="I618" i="1" s="1"/>
  <c r="J617" i="1"/>
  <c r="H617" i="1" s="1"/>
  <c r="I617" i="1" s="1"/>
  <c r="J1099" i="1"/>
  <c r="H1099" i="1" s="1"/>
  <c r="J222" i="1"/>
  <c r="H222" i="1" s="1"/>
  <c r="I222" i="1" s="1"/>
  <c r="J508" i="1"/>
  <c r="H1143" i="1"/>
  <c r="I1143" i="1" s="1"/>
  <c r="J25" i="1"/>
  <c r="H25" i="1" s="1"/>
  <c r="I25" i="1" s="1"/>
  <c r="AK953" i="15" l="1"/>
  <c r="I1099" i="1"/>
  <c r="I616" i="1"/>
  <c r="J985" i="1"/>
  <c r="H985" i="1" s="1"/>
  <c r="I985" i="1" s="1"/>
  <c r="H508" i="1"/>
  <c r="I508" i="1" s="1"/>
  <c r="J593" i="1"/>
  <c r="H593" i="1" s="1"/>
  <c r="I593" i="1" s="1"/>
  <c r="I97" i="1"/>
  <c r="BG96" i="1" s="1"/>
  <c r="J968" i="1"/>
  <c r="H968" i="1" s="1"/>
  <c r="I968" i="1" s="1"/>
  <c r="J990" i="1"/>
  <c r="H990" i="1" s="1"/>
  <c r="I990" i="1" s="1"/>
  <c r="J650" i="1"/>
  <c r="H650" i="1" s="1"/>
  <c r="I650" i="1" s="1"/>
  <c r="J651" i="1"/>
  <c r="H651" i="1" s="1"/>
  <c r="I651" i="1" s="1"/>
  <c r="J569" i="1"/>
  <c r="H569" i="1" s="1"/>
  <c r="I569" i="1" s="1"/>
  <c r="J36" i="1"/>
  <c r="I36" i="1" s="1"/>
  <c r="J1096" i="1"/>
  <c r="H1096" i="1" s="1"/>
  <c r="I1096" i="1" s="1"/>
  <c r="J983" i="1"/>
  <c r="H983" i="1" s="1"/>
  <c r="I983" i="1" s="1"/>
  <c r="J518" i="1"/>
  <c r="H518" i="1" s="1"/>
  <c r="I518" i="1" s="1"/>
  <c r="H1144" i="1"/>
  <c r="I1144" i="1" s="1"/>
  <c r="I1142" i="1" s="1"/>
  <c r="J1120" i="1"/>
  <c r="H1120" i="1" s="1"/>
  <c r="I1120" i="1" s="1"/>
  <c r="J807" i="1"/>
  <c r="H807" i="1" s="1"/>
  <c r="I807" i="1" s="1"/>
  <c r="J294" i="1"/>
  <c r="H294" i="1" s="1"/>
  <c r="I294" i="1" s="1"/>
  <c r="J223" i="1"/>
  <c r="H223" i="1" s="1"/>
  <c r="I223" i="1" s="1"/>
  <c r="I209" i="1" s="1"/>
  <c r="J597" i="1"/>
  <c r="H597" i="1" s="1"/>
  <c r="I597" i="1" s="1"/>
  <c r="J1138" i="1"/>
  <c r="H1138" i="1" s="1"/>
  <c r="I1138" i="1" s="1"/>
  <c r="J289" i="1"/>
  <c r="H289" i="1" s="1"/>
  <c r="I289" i="1" s="1"/>
  <c r="J687" i="1"/>
  <c r="H687" i="1" s="1"/>
  <c r="I687" i="1" s="1"/>
  <c r="J598" i="1"/>
  <c r="H598" i="1" s="1"/>
  <c r="I598" i="1" s="1"/>
  <c r="J600" i="1"/>
  <c r="H600" i="1" s="1"/>
  <c r="I600" i="1" s="1"/>
  <c r="J201" i="1"/>
  <c r="H201" i="1" s="1"/>
  <c r="I201" i="1" s="1"/>
  <c r="I198" i="1" s="1"/>
  <c r="J230" i="1"/>
  <c r="H230" i="1" s="1"/>
  <c r="I230" i="1" s="1"/>
  <c r="H510" i="1"/>
  <c r="J976" i="1"/>
  <c r="H976" i="1" s="1"/>
  <c r="I976" i="1" s="1"/>
  <c r="J991" i="1"/>
  <c r="J967" i="1"/>
  <c r="H967" i="1" s="1"/>
  <c r="I967" i="1" s="1"/>
  <c r="J982" i="1"/>
  <c r="H982" i="1" s="1"/>
  <c r="I982" i="1" s="1"/>
  <c r="J519" i="1"/>
  <c r="J522" i="1"/>
  <c r="J981" i="1" s="1"/>
  <c r="H981" i="1" s="1"/>
  <c r="I981" i="1" s="1"/>
  <c r="J568" i="1"/>
  <c r="H568" i="1" s="1"/>
  <c r="I568" i="1" s="1"/>
  <c r="J47" i="1"/>
  <c r="H47" i="1" s="1"/>
  <c r="I47" i="1" s="1"/>
  <c r="J688" i="1"/>
  <c r="H688" i="1" s="1"/>
  <c r="I688" i="1" s="1"/>
  <c r="J184" i="1"/>
  <c r="H184" i="1" s="1"/>
  <c r="I184" i="1" s="1"/>
  <c r="J287" i="1"/>
  <c r="H287" i="1" s="1"/>
  <c r="I287" i="1" s="1"/>
  <c r="J181" i="1"/>
  <c r="H181" i="1" s="1"/>
  <c r="I181" i="1" s="1"/>
  <c r="J1127" i="1"/>
  <c r="H1127" i="1" s="1"/>
  <c r="I1127" i="1" s="1"/>
  <c r="J984" i="1"/>
  <c r="H984" i="1" s="1"/>
  <c r="I984" i="1" s="1"/>
  <c r="J1121" i="1"/>
  <c r="H1121" i="1" s="1"/>
  <c r="I1121" i="1" s="1"/>
  <c r="J419" i="1"/>
  <c r="H419" i="1" s="1"/>
  <c r="I419" i="1" s="1"/>
  <c r="J421" i="1"/>
  <c r="H421" i="1" s="1"/>
  <c r="I421" i="1" s="1"/>
  <c r="J293" i="1"/>
  <c r="H293" i="1" s="1"/>
  <c r="I293" i="1" s="1"/>
  <c r="J1137" i="1"/>
  <c r="H1137" i="1" s="1"/>
  <c r="I1137" i="1" s="1"/>
  <c r="AK955" i="15" l="1"/>
  <c r="AK957" i="15" s="1"/>
  <c r="AL953" i="15"/>
  <c r="I225" i="1"/>
  <c r="I1060" i="1"/>
  <c r="I510" i="1"/>
  <c r="I684" i="1"/>
  <c r="I620" i="1"/>
  <c r="I956" i="1"/>
  <c r="J1001" i="1"/>
  <c r="H1001" i="1" s="1"/>
  <c r="I1001" i="1" s="1"/>
  <c r="H991" i="1"/>
  <c r="I991" i="1" s="1"/>
  <c r="J771" i="1"/>
  <c r="J919" i="1"/>
  <c r="H919" i="1" s="1"/>
  <c r="I919" i="1" s="1"/>
  <c r="J910" i="1"/>
  <c r="H910" i="1" s="1"/>
  <c r="I910" i="1" s="1"/>
  <c r="J875" i="1"/>
  <c r="H875" i="1" s="1"/>
  <c r="I875" i="1" s="1"/>
  <c r="J772" i="1"/>
  <c r="J911" i="1"/>
  <c r="H911" i="1" s="1"/>
  <c r="I911" i="1" s="1"/>
  <c r="H522" i="1"/>
  <c r="I522" i="1" s="1"/>
  <c r="H519" i="1"/>
  <c r="I519" i="1" s="1"/>
  <c r="J594" i="1"/>
  <c r="H594" i="1" s="1"/>
  <c r="I594" i="1" s="1"/>
  <c r="H521" i="1"/>
  <c r="I521" i="1" s="1"/>
  <c r="H596" i="1"/>
  <c r="I596" i="1" s="1"/>
  <c r="I390" i="1"/>
  <c r="I241" i="1"/>
  <c r="I175" i="1"/>
  <c r="I1119" i="1"/>
  <c r="I1123" i="1"/>
  <c r="N69" i="1"/>
  <c r="J69" i="1"/>
  <c r="H69" i="1" s="1"/>
  <c r="I69" i="1" s="1"/>
  <c r="N68" i="1"/>
  <c r="J68" i="1"/>
  <c r="H68" i="1" s="1"/>
  <c r="I68" i="1" s="1"/>
  <c r="N67" i="1"/>
  <c r="J67" i="1"/>
  <c r="H67" i="1" s="1"/>
  <c r="I67" i="1" s="1"/>
  <c r="N64" i="1"/>
  <c r="N63" i="1"/>
  <c r="N59" i="1"/>
  <c r="N58" i="1"/>
  <c r="N56" i="1"/>
  <c r="J56" i="1"/>
  <c r="H56" i="1" s="1"/>
  <c r="I56" i="1" s="1"/>
  <c r="N55" i="1"/>
  <c r="J55" i="1"/>
  <c r="H55" i="1" s="1"/>
  <c r="I55" i="1" s="1"/>
  <c r="N44" i="1"/>
  <c r="J44" i="1"/>
  <c r="H44" i="1" s="1"/>
  <c r="I44" i="1" s="1"/>
  <c r="N43" i="1"/>
  <c r="J43" i="1"/>
  <c r="H43" i="1" s="1"/>
  <c r="I43" i="1" s="1"/>
  <c r="N42" i="1"/>
  <c r="J42" i="1"/>
  <c r="H42" i="1" s="1"/>
  <c r="I42" i="1" s="1"/>
  <c r="N41" i="1"/>
  <c r="J41" i="1"/>
  <c r="H41" i="1" s="1"/>
  <c r="I41" i="1" s="1"/>
  <c r="N40" i="1"/>
  <c r="J40" i="1"/>
  <c r="H40" i="1" s="1"/>
  <c r="I40" i="1" s="1"/>
  <c r="N39" i="1"/>
  <c r="J39" i="1"/>
  <c r="H39" i="1" s="1"/>
  <c r="I39" i="1" s="1"/>
  <c r="N37" i="1"/>
  <c r="J37" i="1"/>
  <c r="H37" i="1" s="1"/>
  <c r="I37" i="1" s="1"/>
  <c r="N32" i="1"/>
  <c r="J32" i="1"/>
  <c r="H32" i="1" s="1"/>
  <c r="I32" i="1" s="1"/>
  <c r="N28" i="1"/>
  <c r="J28" i="1"/>
  <c r="H28" i="1" s="1"/>
  <c r="I28" i="1" s="1"/>
  <c r="N27" i="1"/>
  <c r="J27" i="1"/>
  <c r="H27" i="1" s="1"/>
  <c r="I27" i="1" s="1"/>
  <c r="N26" i="1"/>
  <c r="J26" i="1"/>
  <c r="H26" i="1" s="1"/>
  <c r="I26" i="1" s="1"/>
  <c r="N24" i="1"/>
  <c r="J24" i="1"/>
  <c r="H24" i="1" s="1"/>
  <c r="I24" i="1" s="1"/>
  <c r="N23" i="1"/>
  <c r="J23" i="1"/>
  <c r="H23" i="1" s="1"/>
  <c r="I23" i="1" s="1"/>
  <c r="AM953" i="15" l="1"/>
  <c r="AL955" i="15"/>
  <c r="AM955" i="15" s="1"/>
  <c r="I61" i="1"/>
  <c r="I22" i="1"/>
  <c r="I585" i="1"/>
  <c r="I505" i="1"/>
  <c r="I987" i="1"/>
  <c r="J785" i="1"/>
  <c r="H785" i="1" s="1"/>
  <c r="I785" i="1" s="1"/>
  <c r="H772" i="1"/>
  <c r="I772" i="1" s="1"/>
  <c r="J783" i="1"/>
  <c r="H771" i="1"/>
  <c r="I771" i="1" s="1"/>
  <c r="I34" i="1"/>
  <c r="E22" i="9" l="1"/>
  <c r="G20" i="9"/>
  <c r="E26" i="9"/>
  <c r="J796" i="1"/>
  <c r="H783" i="1"/>
  <c r="I783" i="1" s="1"/>
  <c r="O60" i="9"/>
  <c r="N60" i="9"/>
  <c r="M60" i="9"/>
  <c r="L60" i="9"/>
  <c r="K60" i="9"/>
  <c r="J60" i="9"/>
  <c r="N58" i="9"/>
  <c r="M58" i="9"/>
  <c r="L58" i="9"/>
  <c r="K58" i="9"/>
  <c r="J58" i="9"/>
  <c r="O56" i="9"/>
  <c r="N56" i="9"/>
  <c r="M56" i="9"/>
  <c r="L56" i="9"/>
  <c r="K56" i="9"/>
  <c r="M54" i="9"/>
  <c r="L54" i="9"/>
  <c r="E54" i="9"/>
  <c r="O52" i="9"/>
  <c r="N52" i="9"/>
  <c r="M52" i="9"/>
  <c r="L52" i="9"/>
  <c r="K48" i="9"/>
  <c r="J48" i="9"/>
  <c r="M46" i="9"/>
  <c r="L46" i="9"/>
  <c r="K46" i="9"/>
  <c r="J46" i="9"/>
  <c r="M44" i="9"/>
  <c r="L44" i="9"/>
  <c r="K44" i="9"/>
  <c r="J42" i="9"/>
  <c r="K40" i="9"/>
  <c r="J40" i="9"/>
  <c r="I40" i="9"/>
  <c r="N38" i="9"/>
  <c r="M38" i="9"/>
  <c r="L38" i="9"/>
  <c r="K38" i="9"/>
  <c r="J38" i="9"/>
  <c r="K36" i="9"/>
  <c r="J36" i="9"/>
  <c r="I36" i="9"/>
  <c r="K34" i="9"/>
  <c r="J34" i="9"/>
  <c r="I34" i="9"/>
  <c r="K32" i="9"/>
  <c r="J32" i="9"/>
  <c r="H30" i="9"/>
  <c r="G30" i="9"/>
  <c r="F30" i="9"/>
  <c r="E30" i="9"/>
  <c r="I28" i="9"/>
  <c r="H28" i="9"/>
  <c r="G28" i="9"/>
  <c r="F28" i="9"/>
  <c r="R21" i="9"/>
  <c r="R23" i="9"/>
  <c r="R25" i="9"/>
  <c r="R27" i="9"/>
  <c r="R29" i="9"/>
  <c r="R31" i="9"/>
  <c r="R33" i="9"/>
  <c r="R35" i="9"/>
  <c r="R37" i="9"/>
  <c r="R39" i="9"/>
  <c r="R41" i="9"/>
  <c r="R43" i="9"/>
  <c r="R45" i="9"/>
  <c r="R47" i="9"/>
  <c r="R49" i="9"/>
  <c r="R51" i="9"/>
  <c r="R53" i="9"/>
  <c r="R55" i="9"/>
  <c r="R57" i="9"/>
  <c r="R59" i="9"/>
  <c r="E20" i="9"/>
  <c r="F20" i="9"/>
  <c r="H20" i="9"/>
  <c r="I20" i="9"/>
  <c r="J20" i="9"/>
  <c r="L20" i="9"/>
  <c r="M20" i="9"/>
  <c r="N20" i="9"/>
  <c r="O20" i="9"/>
  <c r="D20" i="9"/>
  <c r="K20" i="9" l="1"/>
  <c r="P20" i="9" s="1"/>
  <c r="P46" i="9"/>
  <c r="P54" i="9"/>
  <c r="P38" i="9"/>
  <c r="P48" i="9"/>
  <c r="P52" i="9"/>
  <c r="P56" i="9"/>
  <c r="D22" i="9"/>
  <c r="P22" i="9" s="1"/>
  <c r="W22" i="9" s="1"/>
  <c r="W21" i="9" s="1"/>
  <c r="F26" i="9"/>
  <c r="D26" i="9"/>
  <c r="P40" i="9"/>
  <c r="W40" i="9" s="1"/>
  <c r="W39" i="9" s="1"/>
  <c r="P42" i="9"/>
  <c r="W42" i="9" s="1"/>
  <c r="W41" i="9" s="1"/>
  <c r="P44" i="9"/>
  <c r="W44" i="9" s="1"/>
  <c r="W43" i="9" s="1"/>
  <c r="P58" i="9"/>
  <c r="W58" i="9" s="1"/>
  <c r="W57" i="9" s="1"/>
  <c r="P34" i="9"/>
  <c r="W34" i="9" s="1"/>
  <c r="W33" i="9" s="1"/>
  <c r="P28" i="9"/>
  <c r="W28" i="9" s="1"/>
  <c r="W27" i="9" s="1"/>
  <c r="P30" i="9"/>
  <c r="W30" i="9" s="1"/>
  <c r="W29" i="9" s="1"/>
  <c r="P32" i="9"/>
  <c r="W32" i="9" s="1"/>
  <c r="P60" i="9"/>
  <c r="W60" i="9" s="1"/>
  <c r="W59" i="9" s="1"/>
  <c r="P36" i="9"/>
  <c r="W36" i="9" s="1"/>
  <c r="W35" i="9" s="1"/>
  <c r="H796" i="1"/>
  <c r="I796" i="1" s="1"/>
  <c r="J808" i="1"/>
  <c r="W31" i="9" l="1"/>
  <c r="S56" i="9"/>
  <c r="W56" i="9"/>
  <c r="W55" i="9" s="1"/>
  <c r="S52" i="9"/>
  <c r="W52" i="9"/>
  <c r="W51" i="9" s="1"/>
  <c r="S48" i="9"/>
  <c r="W48" i="9"/>
  <c r="W47" i="9" s="1"/>
  <c r="S38" i="9"/>
  <c r="W38" i="9"/>
  <c r="W37" i="9" s="1"/>
  <c r="S54" i="9"/>
  <c r="W54" i="9"/>
  <c r="W53" i="9" s="1"/>
  <c r="S46" i="9"/>
  <c r="W46" i="9"/>
  <c r="W45" i="9" s="1"/>
  <c r="S20" i="9"/>
  <c r="W20" i="9"/>
  <c r="W19" i="9" s="1"/>
  <c r="R38" i="9"/>
  <c r="R56" i="9"/>
  <c r="R48" i="9"/>
  <c r="R52" i="9"/>
  <c r="R46" i="9"/>
  <c r="R54" i="9"/>
  <c r="R20" i="9"/>
  <c r="P26" i="9"/>
  <c r="S30" i="9"/>
  <c r="R30" i="9"/>
  <c r="S22" i="9"/>
  <c r="R22" i="9"/>
  <c r="S40" i="9"/>
  <c r="R40" i="9"/>
  <c r="S32" i="9"/>
  <c r="R32" i="9"/>
  <c r="S60" i="9"/>
  <c r="R60" i="9"/>
  <c r="S28" i="9"/>
  <c r="R28" i="9"/>
  <c r="S34" i="9"/>
  <c r="R34" i="9"/>
  <c r="S58" i="9"/>
  <c r="R58" i="9"/>
  <c r="S42" i="9"/>
  <c r="R42" i="9"/>
  <c r="S44" i="9"/>
  <c r="R44" i="9"/>
  <c r="S36" i="9"/>
  <c r="R36" i="9"/>
  <c r="J821" i="1"/>
  <c r="H808" i="1"/>
  <c r="I808" i="1" s="1"/>
  <c r="S26" i="9" l="1"/>
  <c r="W26" i="9"/>
  <c r="W25" i="9" s="1"/>
  <c r="R26" i="9"/>
  <c r="H821" i="1"/>
  <c r="I821" i="1" s="1"/>
  <c r="J836" i="1"/>
  <c r="H836" i="1" l="1"/>
  <c r="I836" i="1" s="1"/>
  <c r="J851" i="1"/>
  <c r="H851" i="1" l="1"/>
  <c r="I851" i="1" s="1"/>
  <c r="J863" i="1"/>
  <c r="H863" i="1" s="1"/>
  <c r="I863" i="1" s="1"/>
  <c r="I745" i="1" l="1"/>
  <c r="I427" i="1" s="1"/>
  <c r="I240" i="1" s="1"/>
  <c r="L50" i="9" l="1"/>
  <c r="M50" i="9"/>
  <c r="G50" i="9"/>
  <c r="E50" i="9"/>
  <c r="K50" i="9"/>
  <c r="N50" i="9"/>
  <c r="H50" i="9"/>
  <c r="J50" i="9"/>
  <c r="I50" i="9"/>
  <c r="O50" i="9"/>
  <c r="O61" i="9" s="1"/>
  <c r="O67" i="9" s="1"/>
  <c r="K61" i="9" l="1"/>
  <c r="K67" i="9" s="1"/>
  <c r="L61" i="9"/>
  <c r="L67" i="9" s="1"/>
  <c r="J61" i="9"/>
  <c r="J67" i="9" s="1"/>
  <c r="N61" i="9"/>
  <c r="N67" i="9" s="1"/>
  <c r="M61" i="9"/>
  <c r="M67" i="9" s="1"/>
  <c r="H61" i="9"/>
  <c r="H67" i="9" s="1"/>
  <c r="G61" i="9"/>
  <c r="G67" i="9" s="1"/>
  <c r="I61" i="9"/>
  <c r="I67" i="9" s="1"/>
  <c r="P50" i="9"/>
  <c r="W50" i="9" s="1"/>
  <c r="W49" i="9" s="1"/>
  <c r="S50" i="9" l="1"/>
  <c r="R50" i="9"/>
  <c r="H23" i="15"/>
  <c r="H53" i="1"/>
  <c r="I53" i="1" s="1"/>
  <c r="I49" i="1" s="1"/>
  <c r="G10" i="4"/>
  <c r="G11" i="4" s="1"/>
  <c r="I1148" i="1" l="1"/>
  <c r="I23" i="15"/>
  <c r="I19" i="15" s="1"/>
  <c r="O23" i="15"/>
  <c r="O949" i="15" s="1"/>
  <c r="J23" i="15"/>
  <c r="J53" i="1"/>
  <c r="BF1156" i="1" l="1"/>
  <c r="BG1148" i="1"/>
  <c r="BG1147" i="1"/>
  <c r="BI1147" i="1" s="1"/>
  <c r="I950" i="15"/>
  <c r="O950" i="15"/>
  <c r="L1154" i="1"/>
  <c r="L1155" i="1" s="1"/>
  <c r="I953" i="15"/>
  <c r="I1146" i="1"/>
  <c r="J22" i="1"/>
  <c r="I951" i="15"/>
  <c r="J951" i="15"/>
  <c r="J950" i="15" s="1"/>
  <c r="P950" i="15" s="1"/>
  <c r="BF1157" i="1" l="1"/>
  <c r="I954" i="15"/>
  <c r="I1155" i="1"/>
  <c r="P949" i="15"/>
  <c r="I1153" i="1"/>
  <c r="I1154" i="1"/>
  <c r="E24" i="9"/>
  <c r="E61" i="9" s="1"/>
  <c r="E67" i="9" s="1"/>
  <c r="D24" i="9"/>
  <c r="D61" i="9" s="1"/>
  <c r="D67" i="9" s="1"/>
  <c r="F24" i="9"/>
  <c r="C61" i="9"/>
  <c r="I955" i="15" l="1"/>
  <c r="P24" i="9"/>
  <c r="F61" i="9"/>
  <c r="F67" i="9" s="1"/>
  <c r="D71" i="9" s="1"/>
  <c r="D62" i="9"/>
  <c r="E62" i="9" s="1"/>
  <c r="P61" i="9" l="1"/>
  <c r="W24" i="9"/>
  <c r="AK958" i="15"/>
  <c r="F62" i="9"/>
  <c r="G62" i="9" s="1"/>
  <c r="H62" i="9" s="1"/>
  <c r="I62" i="9" s="1"/>
  <c r="J62" i="9" s="1"/>
  <c r="K62" i="9" s="1"/>
  <c r="L62" i="9" s="1"/>
  <c r="M62" i="9" s="1"/>
  <c r="N62" i="9" s="1"/>
  <c r="O62" i="9" s="1"/>
  <c r="R24" i="9"/>
  <c r="S24" i="9"/>
  <c r="W23" i="9" l="1"/>
  <c r="W62" i="9"/>
  <c r="W61" i="9" s="1"/>
  <c r="P62" i="9"/>
  <c r="R61" i="9"/>
  <c r="R62" i="9"/>
</calcChain>
</file>

<file path=xl/sharedStrings.xml><?xml version="1.0" encoding="utf-8"?>
<sst xmlns="http://schemas.openxmlformats.org/spreadsheetml/2006/main" count="19340" uniqueCount="4129">
  <si>
    <t>ITEM</t>
  </si>
  <si>
    <t>CÓDIGO</t>
  </si>
  <si>
    <t>DESCRIÇÃO</t>
  </si>
  <si>
    <t>FONTE</t>
  </si>
  <si>
    <t>UNID</t>
  </si>
  <si>
    <t>PREÇO UNITÁRIO R$</t>
  </si>
  <si>
    <t>PREÇO
TOTAL R$</t>
  </si>
  <si>
    <t>SEM BDI</t>
  </si>
  <si>
    <t>BDI</t>
  </si>
  <si>
    <t>COM BDI</t>
  </si>
  <si>
    <t>ADMINISTRAÇÃO LOCAL</t>
  </si>
  <si>
    <t>ENGENHEIRO CIVIL DE SEGURANÇA DO TRABALHO JUNIOR COM ENCARGOS COMPLEMENTARES PARA EXECUÇÃO DE PCMAT E PCSMO</t>
  </si>
  <si>
    <t>SINAPI</t>
  </si>
  <si>
    <t>MES</t>
  </si>
  <si>
    <t>ENGENHEIRO CIVIL DE OBRA JUNIOR COM ENCARGOS COMPLEMENTARES</t>
  </si>
  <si>
    <t>ART DE EXECUÇÃO - TERESINA / CREA-PI</t>
  </si>
  <si>
    <t>PROPRIA</t>
  </si>
  <si>
    <t>UN</t>
  </si>
  <si>
    <t>ENGENHEIRO ELETRICISTA COM ENCARGOS COMPLEMENTARES</t>
  </si>
  <si>
    <t>H</t>
  </si>
  <si>
    <t>MESTRE DE OBRAS COM ENCARGOS COMPLEMENTARES</t>
  </si>
  <si>
    <t>APONTADOR OU APROPRIADOR COM ENCARGOS COMPLEMENTARES</t>
  </si>
  <si>
    <t>VIGIA NOTURNO COM ENCARGOS COMPLEMENTARES</t>
  </si>
  <si>
    <t>INSTALAÇÃO DO CANTEIRO</t>
  </si>
  <si>
    <t>CANTEIRO DE OBRAS</t>
  </si>
  <si>
    <t>PLACA DE OBRA EM CHAPA DE ACO GALVANIZADO</t>
  </si>
  <si>
    <t>M2</t>
  </si>
  <si>
    <t>SCO</t>
  </si>
  <si>
    <t>LOCAÇÃO DE OBRAS</t>
  </si>
  <si>
    <t>LOCACAO CONVENCIONAL DE OBRA, ATRAVÉS DE GABARITO DE TABUAS CORRIDAS PONTALETADAS A CADA 1,50M, SEM REAPROVEITAMENTO</t>
  </si>
  <si>
    <t>MOVIMENTO DE TERRA</t>
  </si>
  <si>
    <t>LIMPEZA E PREPARO DA ÁREA</t>
  </si>
  <si>
    <t>DESMATAMENTO E LIMPEZA MECANIZADA DE TERRENO COM REMOCAO DE CAMADA VEGETAL, UTILIZANDO TRATOR DE ESTEIRAS</t>
  </si>
  <si>
    <t>ESCAVAÇÕES</t>
  </si>
  <si>
    <t>ESCAVACAO MECANICA CAMPO ABERTO EM SOLO EXCETO ROCHA ATE 2,00M PROFUNDIDADE</t>
  </si>
  <si>
    <t>M3</t>
  </si>
  <si>
    <t>ATERRO COMPACTADO</t>
  </si>
  <si>
    <t>BOTA-FORA</t>
  </si>
  <si>
    <t>CARGA, MANOBRAS E DESCARGA DE MATERIAIS DIVERSOS, COM CAMINHAO BASCULANTE 6M3 (CARGA E DESCARGA MANUAIS)</t>
  </si>
  <si>
    <t>ESPALHAMENTO DE MATERIAL EM BOTA FORA, COM UTILIZACAO DE TRATOR DE ESTEIRAS DE 165 HP</t>
  </si>
  <si>
    <t>INFRAESTRUTURA</t>
  </si>
  <si>
    <t>FUNDAÇÕES DIRETAS</t>
  </si>
  <si>
    <t>LASTRO DE CONCRETO, ESPESSURA (5CM), PREPARO MECANICO, INCLUSO ADITIVO IMPERMEABILIZANTE</t>
  </si>
  <si>
    <t>FORMA TABUA P/CONCRETO EM FUNDAÇÃO S/REAPROVEITAMENTO</t>
  </si>
  <si>
    <t>ORSE</t>
  </si>
  <si>
    <t>KG</t>
  </si>
  <si>
    <t>74157/004</t>
  </si>
  <si>
    <t>LANCAMENTO/APLICACAO MANUAL DE CONCRETO EM FUNDACOES</t>
  </si>
  <si>
    <t>CINTAS E BALDRAMES</t>
  </si>
  <si>
    <t>LASTRO DE CONCRETO, PREPARO MECÂNICO, INCLUSOS ADITIVO IMPERMEABILIZANTE, LANÇAMENTO E ADENSAMENTO</t>
  </si>
  <si>
    <t>CISTERNAS</t>
  </si>
  <si>
    <t>PAREDES E PAINÉIS</t>
  </si>
  <si>
    <t>M</t>
  </si>
  <si>
    <t>CONTRAMARCO DE ALUMÍNIO, FIXAÇÃO COM PARAFUSO</t>
  </si>
  <si>
    <t>COBOGO DE CONCRETO (ELEMENTO VAZADO), 7X50X50CM, ASSENTADO COM ARGAMASSA TRACO 1:3 (CIMENTO E AREIA)</t>
  </si>
  <si>
    <t>BLOCOS DE VIDRO TIPO XADREZ 20X20X10CM, ASSENTADO COM ARGAMASSA TRACO 1:3 (CIMENTO E AREIA GROSSA) PREPARO MECANICO, COM REJUNTAMENTO EM CIMENTO BRANCO E BARRAS DE ACO</t>
  </si>
  <si>
    <t>SUPERESTRUTURA</t>
  </si>
  <si>
    <t>ESTRUTURAS DE CONCRETO</t>
  </si>
  <si>
    <t>PILARES</t>
  </si>
  <si>
    <t>VIGAS</t>
  </si>
  <si>
    <t>LAJES</t>
  </si>
  <si>
    <t>ARMACAO EM TELA DE ACO SOLDADA NERVURADA Q-92, ACO CA-60, 4,2MM, MALHA15X15CM PARA LAJE TRELIÇADA, COMO ARMAÇÃO NEGATIVA.</t>
  </si>
  <si>
    <t>ESCADAS</t>
  </si>
  <si>
    <t>CAIXAS D'ÁGUA</t>
  </si>
  <si>
    <t>ESTRUTURAS METÁLICAS</t>
  </si>
  <si>
    <t>FACHADAS</t>
  </si>
  <si>
    <t>ESTRUTURA METÁLICA P/ BRISES, EM PERFIS U DOBRADO DE CHAPA UDC 100X50X3 MM (4.50 KG/M) COMPOSTA DE MONTANTES VERTICAIS CONSTITUÍDOS POR 02 PERFIS UDC SOLDADOS ESPAÇADOS DE 1,40M, 02 PERFIS UDC SIMPLES DISTANCIADOS 1,70M, DENSIDADE DE UDC ATÉ 40KG/M2</t>
  </si>
  <si>
    <t>BRISE METÁLICO FIXO E LINEAR EM CHAPA MICROPERFURADA ALUMÍNIO PRÉ-PINTADA. FORNECIMENTO E INSTALAÇÃO.</t>
  </si>
  <si>
    <t>M²</t>
  </si>
  <si>
    <t>MARQUISES</t>
  </si>
  <si>
    <t>SEINFRA</t>
  </si>
  <si>
    <t>ESQUADRIAS DE MADEIRA</t>
  </si>
  <si>
    <t>PORTA DE MADEIRA FRISADA, SEMI-OCA (LEVE OU MÉDIA), PADRÃO MÉDIO, 80X210CM, ESPESSURA DE 3,5CM, ITENS INCLUSOS: DOBRADIÇAS, MONTAGEM E INSTALAÇÃO DO BATENTE, FECHADURA COM EXECUÇÃO DO FURO E ACABAMENTO EM MELAMINA COR CARVALHO- FORNECIMENTO E INSTALAÇÃO. (C01)</t>
  </si>
  <si>
    <t>PORTA DE MADEIRA FRISADA, SEMI-OCA (LEVE OU MÉDIA), PADRÃO MÉDIO, 80X210CM, ESPESSURA DE 3,5CM, ITENS INCLUSOS: DOBRADIÇAS, MONTAGEM E INSTALAÇÃO DO BATENTE, FECHADURA COM EXECUÇÃO DO FURO E ACABAMENTO MELAMÍNICO, COM CHAPA DE AÇO INOX NA BASE DA PORTA - FORNECIMENTO E INSTALAÇÃO. (C02)</t>
  </si>
  <si>
    <t>ESQUADRIAS METÁLICAS</t>
  </si>
  <si>
    <t>PORTAS</t>
  </si>
  <si>
    <t>PORTA DE ALUMÍNIO ANODIZADO DE ABRIR DE 1,60X2,10M COM DUAS FOLHAS NA COR BRANCA, COM GUARNIÇÃO E VIDRO TRANSPARENTE, FIXAÇÃO COM PARAFUSOS - FORNECIMENTO E INSTALAÇÃO. (C03)</t>
  </si>
  <si>
    <t>PORTA CORTA-FOGO 100X210X4CM - FORNECIMENTO E INSTALAÇÃO. (C04)</t>
  </si>
  <si>
    <t>PORTA DE ABRIR, DUAS FOLHAS E DIMENSÃO 1,72X2,12M. COM PUXADOR ANTIPÂNICO ROSETA INOX, ASSENTADA EM ALVENARIA.(C05)</t>
  </si>
  <si>
    <t>PORTA DE ABRIR, DUAS FOLHAS E DIMENSÃO 1,80X2,60M. COM PUXADOR ANTI-PÂNICO ROSETA INOX, ASSENTADA EM ALVENARIA.(C06)</t>
  </si>
  <si>
    <t>PORTA DE ABRIR, DUAS FOLHAS E DIMENSÃO 1,50X2,10M. COM PUXADOR ANTI-PÂNICO ROSETA INOX, ASSENTADA EM ALVENARIA.(C08)</t>
  </si>
  <si>
    <t>PORTA DE ALUMÍNIO, NA COR BRANCO COM PUXADOR DO TIPO ALAVANCA INOX, ROSETA INOX E FERRAGENS CROMADAS, DE ABRIR UMA FOLHA, DIMENSÃO: 0,90X2,10M (C09)</t>
  </si>
  <si>
    <t>JANELAS</t>
  </si>
  <si>
    <t>JANELA BASCULANTE EM ALUMÍNIO ANODIZADO COM VEDAÇÃO EM VIDRO TRANSPARENTE (REF. JC1,JC6,GJ6,GJ7,JC3,JC11,JC10,JC13)</t>
  </si>
  <si>
    <t>ESQUADRIAS DE VIDRO</t>
  </si>
  <si>
    <t>CORTINA DE VIDRO COM BASCULANTE E VEDAÇÃO COM VIDRO FUMÊ (REF.JC4, JC5, JC15, JC16, JC14)</t>
  </si>
  <si>
    <t>DIVISÓRIA EM ALUMÍNIO ANODIZADO NA COR BRANCA COM VEDAÇÃO EM VIDRO JATEADO (REF. JC9, JC26, JC27)</t>
  </si>
  <si>
    <t xml:space="preserve">VITRINE EM ALUMÍNIO NA COR BRANCA E VIDRO DUPLO ACÚSTICO TRANSPARENTE SOBRE CONTRAMARCO. FORNECIMENTO E INSTALAÇÃO (REF. JC2) </t>
  </si>
  <si>
    <t>VITRINE EM ALUMÍNIO NA COR BRANCA E VIDRO TEMPERADO DE 6MM TRANSPARENTE SOBRE CONTRAMARCO(INCLUSIVE). FORNECIMENTO E INSTALAÇÃO (REF.JC7)</t>
  </si>
  <si>
    <t>SBC</t>
  </si>
  <si>
    <t>VIDROS</t>
  </si>
  <si>
    <t>ESPELHO CRISTAL ESPESSURA 4MM, COM MOLDURA EM ALUMINIO E COMPENSADO 6MM PLASTIFICADO COLADO</t>
  </si>
  <si>
    <t>COBERTURAS E PROTEÇÕES</t>
  </si>
  <si>
    <t>CHAPIM DE CONCRETO APARENTE COM ACABAMENTO DESEMPENADO, FORMA DE COMPENSADO PLASTIFICADO (MADEIRIT) DE 14 X 10 CM, FUNDIDO NO LOCAL.</t>
  </si>
  <si>
    <t>CALHA EM CONCRETO SIMPLES, EM MEIA CANA, DIAMETRO 400 MM</t>
  </si>
  <si>
    <t>RUFO CHAPA ZINCADA COM ARREMATES ARGAMASSA</t>
  </si>
  <si>
    <t>FORROS</t>
  </si>
  <si>
    <t>ESTRUTURA METÁLICA GALVANIZADA, REVESTIDA POR PLACAS DE ACM (ALUMÍNIO COMPOSTO) RECORTADO, E=0,3MM, NA COR COBRE, 1,00 NX 1,00M, FIXAÇÃO DA ESTRUTURA METÁLICA SEM AVANÇO NA EST. ESPACIAL EXISTENTE NO LOCAL POR PARAFUSOS. - FORNECIMENTO E MONTAGEM</t>
  </si>
  <si>
    <t>REVESTIMENTOS</t>
  </si>
  <si>
    <t>REVESTIMENTO CERÂMICO PARA PAREDES INTERNAS COM PLACAS TIPO ESMALTADA EXTRA DE BRANCO MATE 15X15 CM APLICADAS EM AMBIENTES DE ÁREA MAIOR QUE 5 M² NA ALTURA INTEIRA DAS PAREDES.</t>
  </si>
  <si>
    <t>REVESTIMENTO CERÂMICO PARA PAREDES INTERNAS COM PLACAS TIPO ESMALTADA EXTRA DE DIMENSÕES 30X60 CM APLICADAS EM AMBIENTES DE ÁREA MAIOR QUE 5 M² NA ALTURA INTEIRA DAS PAREDES.</t>
  </si>
  <si>
    <t>REVESTIMENTO CERÂMICO PARA PAREDES INTERNAS COM PLACAS TIPO GRÊS OU SEMI-GRÊS-30X60 CM APLICADAS EM AMBIENTES DE ÁREA MAIOR QUE 10 M² NA ALTURA INTEIRA DAS PAREDES.</t>
  </si>
  <si>
    <t>FORNECIMENTO E INSTALAÇÃO DE FACHADA VENTILADA EM PLACAS DE GRÊS PORCELÂNICO EXTRUDADO (E=16MM), FIXADO COM SUBESTRUTURA DE ALUMÍNIO, DA TEMPIO, REF.: GRIS GR02-02</t>
  </si>
  <si>
    <t>CERÂMICA ESMALTADA C/ ARG. PRÉ-FABRICADA ATÉ 25X25CM - DECORATIVA - P/ PAREDE</t>
  </si>
  <si>
    <t>REVESTIMENTO COM PLACA MDF 6MM REVESTIDO COM LAMINADO MELAMINICO E FITA DE BORDO - ACABAMENTO: LINHO</t>
  </si>
  <si>
    <t>REVESTIMENTO COM PLACA MDF 6MM REVESTIDO COM LAMINADO MELAMINICO E FITA DE BORDO. ACABAMENTO: TEKA PROVENCE</t>
  </si>
  <si>
    <t>REVESTIMENTO METÁLICO EM ALUMÍNIO COMPOSTO (ALUCOBOND), E=0,3MM, PINTURA KAYNAR 500 COMPOSTA POR SEIS CAMADAS, INCLUSIVE ESTRUTURA METÁLICA AUXILIAR EM PERFIL DE VIGA "U" DE 2" - FORNECIMENTO E MONTAGEM (MARQUISES)</t>
  </si>
  <si>
    <t>PEITORIL EM GRANITO BRANCO CEARÁ POLIDO, C/LARGURA = 25 CM, ESP = 2,5 CM</t>
  </si>
  <si>
    <t>PISOS</t>
  </si>
  <si>
    <t>CONTRAPISO EM ARGAMASSA TRAÇO 1:4 (CIMENTO E AREIA), PREPARO MANUAL, APLICADO EM ÁREAS SECAS SOBRE LAJE, ADERIDO, ESPESSURA 2CM.</t>
  </si>
  <si>
    <t>PAVIMENTAÇÕES</t>
  </si>
  <si>
    <t>REGULARIZACAO E COMPACTACAO DE SUBLEITO ATE 20 CM DE ESPESSURA</t>
  </si>
  <si>
    <t>PISO CIMENTADO E=1,5CM C/ARGAMASSA 1:3 CIMENTO AREIA ALISADO COLHER SOBRE BASE EXISTENTE E ARGAMASSA EM PREPARO MECANIZADO</t>
  </si>
  <si>
    <t>PISO DE CONCRETO FCK=13,5MPA ESP=7 CM, INCL. PREPARO DE CAIXA, MOLDADO "IN LOCO", ESTAMPADO COM DESENHO TIPO ASSENTAMENTO ROMANO, COR CONCRETO NATURAL PARA AS CALÇADAS INTERNAS E EXTERNAS.</t>
  </si>
  <si>
    <t>INSTALAÇÕES E APARELHOS</t>
  </si>
  <si>
    <t>INSTALAÇÕES HIDRÁULICAS E SANITÁRIAS</t>
  </si>
  <si>
    <t>ÁGUA FRIA</t>
  </si>
  <si>
    <t>TUBULAÇÕES E CONEXÕES DE  PVC RÍGIDO</t>
  </si>
  <si>
    <t>ADAPTADOR PVC P/ REGISTRO 32MM (1")</t>
  </si>
  <si>
    <t>ADAPTADOR PVC P/ REGISTRO 40MM (1 1/4")</t>
  </si>
  <si>
    <t>ADAPTADOR PVC P/ REGISTRO 60MM (2")</t>
  </si>
  <si>
    <t>CAIXA SIFONADA, COM TAMPA CEGA, DE 250X230X75MM</t>
  </si>
  <si>
    <t>RALO HEMISFÉRICO EM FERRO FUNDIDO TIPO ABACAXI, DN=150MM</t>
  </si>
  <si>
    <t>LUVA DE CORRER, PVC, SOLDÁVEL, DN 40MM, INSTALADO EM RAMAL DE DISTRIBUIÇÃO DE ÁGUA FORNECIMENTO E INSTALAÇÃO.</t>
  </si>
  <si>
    <t>APARELHOS E ACESSÓRIOS SANITÁRIOS</t>
  </si>
  <si>
    <t>VASO SANITÁRIO SIFONADO COM DESCARGA EMBUTIDA DE DUPLO ACIONAMENTO 6 OU 10 LITROS, LOUÇA BRANCA, INCLUSO ASSENTO SANITÁRIO DE PLÁSTICO COM TAMPA - FORNECIMENTO E INSTALAÇÃO.</t>
  </si>
  <si>
    <t>TOALHEIRO PLASTICO TIPO DISPENSER PARA PAPEL TOALHA INTERFOLHADO INCLUSO FIXAÇÃO.</t>
  </si>
  <si>
    <t>C1619</t>
  </si>
  <si>
    <t>LAVATÓRIO DE LOUÇA BRANCA S/COLUNA C/TORNEIRA E ACESSÓRIOS - DE CANTO</t>
  </si>
  <si>
    <t>SIFÃO DO TIPO GARRAFA EM METAL CROMADO 1 X 1.1/4" - FORNECIMENTO E INSTALAÇÃO</t>
  </si>
  <si>
    <t>DUCHA P/ WC METALICA (INSTALADO)</t>
  </si>
  <si>
    <t>BARRA DE APOIO RETA, EM ACO INOX POLIDO, COMPRIMENTO 80CM, DIAMETRO MINIMO 3CM</t>
  </si>
  <si>
    <t>BARRA DE APOIO RETA, EM ACO INOX POLIDO, COMPRIMENTO 40CM, DIAMETRO MINIMO 3CM</t>
  </si>
  <si>
    <t>REGISTRO DE PRESSÃO</t>
  </si>
  <si>
    <t>REGISTRO DE GAVETA</t>
  </si>
  <si>
    <t>EQUIPAMENTOS</t>
  </si>
  <si>
    <t>CHAVE DE BOIA AUTOMÁTICA SUPERIOR 10A/250V - FORNECIMENTO E INSTALACAO</t>
  </si>
  <si>
    <t>BOMBA CENTRÍFUGA P/ PRESSURIZAÇÃO/HIDRANTE 3,0 CV</t>
  </si>
  <si>
    <t>BOMBA CENTRÍFUGA P/ PRESSURIZAÇÃO/HIDRANTE 1,5 CV</t>
  </si>
  <si>
    <t>DRENAGEM DE ÁGUAS PLUVIAIS</t>
  </si>
  <si>
    <t>TUBULAÇÕES E CONEXÕES DE PVC</t>
  </si>
  <si>
    <t>ACESSÓRIOS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</si>
  <si>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</si>
  <si>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CAIXA DE AREIA 40X40X40CM EM ALVENARIA - EXECUÇÃO</t>
  </si>
  <si>
    <t>BOMBA SUBMERSA P/ POÇO DE DRENAGEM/ESTAÇÃO ELEVATÓRIA/REUSO 2,0 CV - TRIFÁSICA</t>
  </si>
  <si>
    <t>ESGOTOS SANITÁRIOS</t>
  </si>
  <si>
    <t>JUNÇÃO SIMPLES DE REDUÇÃO PVC P/ESGOTO 100X50MM (4"X2")-C/ANÉIS</t>
  </si>
  <si>
    <t>TE PVC REDUÇÃO ESGOTO DE 100X50MM</t>
  </si>
  <si>
    <t>TE, PVC, SERIE NORMAL, ESGOTO PREDIAL, DN 100 X 50 MM, JUNTA ELÁSTICA, FORNECIDO E INSTALADO EM PRUMADA DE ESGOTO SANITÁRIO OU VENTILAÇÃO.</t>
  </si>
  <si>
    <t>REDUÇÃO EXCENTRICA EM PVC RÍGIDO SOLDÁVEL, PARA ESGOTO, D=150X100MM</t>
  </si>
  <si>
    <t>REDUÇÃO EXCENTRICA EM PVC RÍGIDO SOLDÁVEL, PARA ESGOTO PRIMÁRIO, DIÂM =   75 X 50MM</t>
  </si>
  <si>
    <t>CAP (TAMPÃO) OU PLUG (BUJÃO) PVC P/ESGOTO D=100MM SOLD.</t>
  </si>
  <si>
    <t>CAP (TAMPÃO) OU PLUG (BUJÃO) PVC P/ESGOTO D=50MM-SOLD.</t>
  </si>
  <si>
    <t>CAIXA DE GORDURA DUPLA EM CONCRETO PRE-MOLDADO DN 60MM COM TAMPA - FORNECIMENTO E INSTALACAO</t>
  </si>
  <si>
    <t>VEDACAO PVC, 100 MM, PARA SAIDA VASO SANITARIO</t>
  </si>
  <si>
    <t>SERVIÇOS DIVERSOS</t>
  </si>
  <si>
    <t>CAIXAS DE PASSAGEM</t>
  </si>
  <si>
    <t>ASSENTAMENTO DE TUBO DE QUEDA</t>
  </si>
  <si>
    <t>CAIXA EM ALVENARIA (80X80X60CM) DE 1 TIJOLO COMUM, LASTRO DE CONCRETO E TAMPA DE CONCRETO</t>
  </si>
  <si>
    <t>CAIXA DE GORDURA EM PVC, DIAMETRO MINIMO 300 MM, DIAMETRO DE SAIDA 100 MM,CAPACIDADE APROXIMADA 18 LITROS, COM TAMPA</t>
  </si>
  <si>
    <t>CAIXA DE INSPECAO EM ANEL DE CONCRETO PRE MOLDADO, COM 950MM DE ALTURA TOTAL. ANEIS COM ESP=50MM, DIAM.=600MM. EXCLUSIVE TAMPAO E ESCAVACAO - FORNECIMENTO E INSTALACAO</t>
  </si>
  <si>
    <t>POCO DE VISITA PARA REDE DE ESG. SANIT., EM ANEIS DE CONCRETO, DIÂMETRO = 110CM, PROF = 170CM, EXCLUINDO TAMPAO FERRO FUNDIDO.</t>
  </si>
  <si>
    <t>CAIXA DE GORDURA/SABÃO EM ALVENARIA</t>
  </si>
  <si>
    <t>GRELHA DE FERRO P/ CALHAS E CAIXAS</t>
  </si>
  <si>
    <t>DRENOS DE CONDICIONADORES DE AR</t>
  </si>
  <si>
    <t>INSTALAÇÕES DE PREVENÇÃO E COMBATE A INCÊNDIO</t>
  </si>
  <si>
    <t>PREVENÇÃO E COMBATE A INCÊNDIO</t>
  </si>
  <si>
    <t>TUBULAÇÕES E CONEXÕES DE FERRO FUNDIDO</t>
  </si>
  <si>
    <t>TUBO DE AÇO GALVANIZADO COM COSTURA, CLASSE MÉDIA, CONEXÃO RANHURADA,DN 75 (3"), INSTALADO EM PRUMADAS - FORNECIMENTO E INSTALAÇÃO.</t>
  </si>
  <si>
    <t>TUBO DE AÇO GALVANIZADO COM COSTURA, CLASSE MÉDIA, CONEXÃO RANHURADA,DN 40 (1.1/2"), INSTALADO EM PRUMADAS - FORNECIMENTO E INSTALAÇÃO.</t>
  </si>
  <si>
    <t>TUBO DE AÇO GALVANIZADO COM COSTURA, CLASSE MÉDIA, CONEXÃO RANHURADA,DN 32 (1.1/4"), INSTALADO EM PRUMADAS - FORNECIMENTO E INSTALAÇÃO.</t>
  </si>
  <si>
    <t>TUBO DE AÇO GALVANIZADO COM COSTURA, CLASSE MÉDIA, CONEXÃO RANHURADA,DN 25 (1"), INSTALADO EM PRUMADAS - FORNECIMENTO E INSTALAÇÃO.</t>
  </si>
  <si>
    <t>TUBO DE AÇO GALVANIZADO COM COSTURA, CLASSE MÉDIA, CONEXÃO RANHURADA,DN 100 (4"), INSTALADO EM PRUMADAS - FORNECIMENTO E INSTALAÇÃO.</t>
  </si>
  <si>
    <t>COTOVELO 90 GRAUS, EM FERRO GALVANIZADO, CONEXÃO ROSQUEADA, DN 25 (1"), INSTALADO EM RESERVAÇÃO DE ÁGUA DE EDIFICAÇÃO QUE POSSUA RESERVATÓRIO DE FIBRA/FIBROCIMENTO FORNECIMENTO E INSTALAÇÃO.</t>
  </si>
  <si>
    <t>TE AÇO GALVANIZADO DE 2 1/2'</t>
  </si>
  <si>
    <t>ADAPTADOR PVC SOLDAVEL, COM FLANGES LIVRES, 75 MM X 2 1/2", PARA CAIXA D' AGUA</t>
  </si>
  <si>
    <t>CHUMBADOR DE ACO 5/8" X 200MM C/ ROSCA E PORCA</t>
  </si>
  <si>
    <t>PINTURA ESMALTE FOSCO, DUAS DEMAOS, SOBRE SUPERFICIE METALICA</t>
  </si>
  <si>
    <t>EQUIPAMENTOS E ACESSÓRIOS</t>
  </si>
  <si>
    <t>PINTURA ACRILICA EM PISO CIMENTADO, TRES DEMAOS</t>
  </si>
  <si>
    <t>EXTINTOR INCENDIO TP PO QUIMICO 4KG FORNECIMENTO E COLOCACAO</t>
  </si>
  <si>
    <t>EXTINTOR DE CO2 6KG - FORNECIMENTO E INSTALACAO</t>
  </si>
  <si>
    <t>HIDRANTE C/REGISTRO GLOBO ANGULAR D= 65MM (2 1/2")</t>
  </si>
  <si>
    <t>SOBRETAMPA EM FERRO FUNDIDO C/ D=800 MM</t>
  </si>
  <si>
    <t>TAMPAO COM CORRENTE, EM LATAO, ENGATE RAPIDO 2 1/2", PARA INSTALACAO PREDIALDE COMBATE A INCENDIO</t>
  </si>
  <si>
    <t>VÁLVULA DE RETENÇÃO HORIZONTAL Ø 65MM (2.1/2") - FORNECIMENTO E INSTALAÇÃO</t>
  </si>
  <si>
    <t>MANOMETRO 0 A 200 PSI (0 A 14 KGF/CM2), D = 50MM - FORNECIMENTO E COLOCACAO</t>
  </si>
  <si>
    <t>ELETRODUTO EM FERRO GALVANIZADO PESADO SEM COSTURA 3/4"</t>
  </si>
  <si>
    <t>LÂMPADA SINALIZADORAS ATE 5W</t>
  </si>
  <si>
    <t>VALVULA DE ALÍVIO DN 3" COMPLETA</t>
  </si>
  <si>
    <t>VÁLVULA DE FLUXO EM AÇO GALVANIZADO DE (2 1/2")</t>
  </si>
  <si>
    <t>INSTALAÇÕES ELÉTRICAS E ELETRÔNICAS</t>
  </si>
  <si>
    <t>ALIMENTADORES DE QUADROS</t>
  </si>
  <si>
    <t>ELETRODUTOS E ELETROCALHAS</t>
  </si>
  <si>
    <t>ELETRODUTO DE PVC RÍGIDO ROSCÁVEL, DIÂM = 32MM (1")</t>
  </si>
  <si>
    <t>LUVA PARA ELETRODUTO DE PVC RÍGIDO ROSCÁVEL, DIÂM = 32MM (1")</t>
  </si>
  <si>
    <t>ELETRODUTO DE PVC RÍGIDO ROSCÁVEL, DIÂM = 50MM (1 1/2")</t>
  </si>
  <si>
    <t>LUVA PARA ELETRODUTO DE PVC RÍGIDO ROSCÁVEL, DIÂM = 50MM (1 1/2")</t>
  </si>
  <si>
    <t>FORNECIMENTO E INSTALAÇÃO DE ELETROCALHA METÁLICA 75 X 50 X 3000 MM</t>
  </si>
  <si>
    <t>CURVA HORIZONTAL PARA ELETROCALHA 75X50MM</t>
  </si>
  <si>
    <t>CURVA DE INVERSÃO 75 X 50 MM PARA ELETROCALHA METÁLICA</t>
  </si>
  <si>
    <t>FORNECIMENTO E INSTALAÇÃO DE ELETROCALHA METÁLICA 150 X 50 X 300 MM</t>
  </si>
  <si>
    <t>CURVA DE INVERSÃO 150 X 50 MM PARA ELETROCALHA METÁLICA</t>
  </si>
  <si>
    <t>FORNECIMENTO E INSTALAÇÃO DE ELETROCALHA PERFURADA 200 X 50 X 300 MM</t>
  </si>
  <si>
    <t>CURVA HORIZONTAL LISA P/A ELETROCALHA 400X50MM</t>
  </si>
  <si>
    <t>CURVA VERTICAL EXTERNA LISA P/A ELETROCALHA 700X50MM</t>
  </si>
  <si>
    <t>FORNECIMENTO E INSTALAÇÃO DE SAÍDA HORIZONTAL PARA ELETRODUTO 1"</t>
  </si>
  <si>
    <t>FORNECIMENTO E INSTALAÇÃO DE SAÍDA HORIZONTAL PARA ELETRODUTO 1 1/2"</t>
  </si>
  <si>
    <t>ENVELOPE DE CONCRETO P/PROTEÇÃO DE TUBO PVC ENTERRADO</t>
  </si>
  <si>
    <t>FIXAÇÃO DE ELETROCALHA</t>
  </si>
  <si>
    <t>FIXAÇÃO DE ELETROCALHA COM VERGALHÃO (TIRANTE) COM ROSCA TOTAL Ø 1/4"X1000MM</t>
  </si>
  <si>
    <t>SUPORTE VERTICAL 200 X 50 MM PARA FIXAÇÃO DE ELETROCALHA METÁLICA</t>
  </si>
  <si>
    <t>SUPORTE VERTICAL 400 X 50 MM PARA FIXAÇÃO DE ELETROCALHA METÁLICA</t>
  </si>
  <si>
    <t>SUPORTE VERTICAL 700 X 100 MM PARA FIXAÇÃO DE ELETROCALHA METÁLICA</t>
  </si>
  <si>
    <t>CABOS</t>
  </si>
  <si>
    <t>CABO DE COBRE FLEXÍVEL ISOLADO NA COR PRETA, 4 MM², ANTI-CHAMA 0,6/1,0 KV, PARA DISTRIBUIÇÃO - FORNECIMENTO E INSTALAÇÃO</t>
  </si>
  <si>
    <t>CAIXAS E ACESSÓRIOS</t>
  </si>
  <si>
    <t>CAIXA DE PASSAGEM COM TAMPA PARAFUSADA 300X300X100MM</t>
  </si>
  <si>
    <t>CABEAMENTO ESTRUTURADO</t>
  </si>
  <si>
    <t>RACK E ACESSÓRIOS</t>
  </si>
  <si>
    <t>RÉGUA DE TOMADAS ELÉTRICAS, COM 08 TOMADAS, PADRÃO RACK 19"</t>
  </si>
  <si>
    <t>UND.</t>
  </si>
  <si>
    <t>FORNECIMENTO E MONTAGEM DE GUIA DE CABOS HORIZONTAIS CORPO DE AÇO SAE 1020, PROF=40MM</t>
  </si>
  <si>
    <t>FORNECIMENTO E INSTALAÇÃO DE NO-BREAK 110/220 V, 1.2 KVA COM 03 SAÍDAS 110 V AC</t>
  </si>
  <si>
    <t>ELETRODUTOS</t>
  </si>
  <si>
    <t>TÊ HORIZONTAL 400 X 50 MM COM BASE LISA PERFURADA PARA ELETROCALHA METÁLICA</t>
  </si>
  <si>
    <t>CURVA PARA ELETRODUTO DE PVC RÍGIDO ROSCÁVEL, DIÂM = 32MM (1")</t>
  </si>
  <si>
    <t>TOMADA LÓGICA</t>
  </si>
  <si>
    <t>CAIXA DE PASSAGEM COM TAMPA PARAFUSADA 150X150X80MM</t>
  </si>
  <si>
    <t>FIXAÇÃO DE ELETROCALHAS COM VERGALHÃO (TIRANTE) COM ROSCA TOTAL Ø 1/4"X1000MM</t>
  </si>
  <si>
    <t>CFTV</t>
  </si>
  <si>
    <t>CÂMERAS E EQUIPAMENTOS PARA DETECÇÃO DE ALARME</t>
  </si>
  <si>
    <t>SENSOR DE PRESENÇA INFRAVERMELHO PASSIVO.</t>
  </si>
  <si>
    <t>CENTRAL DE CONTROLE DE ALARME DE INTRUSÃO</t>
  </si>
  <si>
    <t>FORNECIMENTO E INSTALAÇÃO DE CONECTOR RJ 45 MACHO CAT 6</t>
  </si>
  <si>
    <t>FORNECIMENTO E INSTALAÇÃO DE SAÍDA HORIZONTAL PARA ELETRODUTO 3/4"</t>
  </si>
  <si>
    <t>CONTROLE DE ACESSO</t>
  </si>
  <si>
    <t>FORÇA ESTABILIZADA</t>
  </si>
  <si>
    <t>UND</t>
  </si>
  <si>
    <t>FIXAÇÃO PARA ELETROCALHAS</t>
  </si>
  <si>
    <t>TOMADAS E INTERRUPTORES</t>
  </si>
  <si>
    <t>FOTOVOLTAICA</t>
  </si>
  <si>
    <t>MÓDULOS FOTOVOLTAICOS</t>
  </si>
  <si>
    <t>FORNECIMENTO E INSTALAÇÃO DE KIT GERADOR FOTOVOLTAICO 50,70KWP, INCLUINDO MÓDULOS, INVERSOR, CABOS, FIXAÇÃO E PROTEÇÃO</t>
  </si>
  <si>
    <t>ELETRODUTO DE ALUMÍNIO, INCLUSIVE CONEXÕES DE 3/4"</t>
  </si>
  <si>
    <t>ELETRODUTO DE ALUMÍNIO, INCLUSIVE CONEXÕES DE 1"</t>
  </si>
  <si>
    <t>TÊ HORIZONTAL PARA ELETROCALHA 75X50</t>
  </si>
  <si>
    <t>ILUMINAÇÃO E FORÇA COMUM</t>
  </si>
  <si>
    <t>LUMINÁRIAS</t>
  </si>
  <si>
    <t>LUMINÁRIA TIPO SPOT DE EMBUTIR COM LÂMPADA LED 8,5W</t>
  </si>
  <si>
    <t>LUMINÁRIA LED DE EMBUTIR NO PISO, COM CORPO EM ALUMÍNIO INJETADO, BORRACHA DE VEDAÇÃO, DIFUSOR EM VIDRO TEMPERADO, IP66, COM UMA LÂMPADA LED 50</t>
  </si>
  <si>
    <t>INTERRUPTOR INTERMEDIARIO (FOUR-WAY) - FORNECIMENTO E INSTALACAO</t>
  </si>
  <si>
    <t>DIVERSOS</t>
  </si>
  <si>
    <t>SENSOR DE PRESENÇA INSTALADO NO FORRO JUNTO A ILUMINAÇÃO.</t>
  </si>
  <si>
    <t>QUADROS</t>
  </si>
  <si>
    <t>QDJ5</t>
  </si>
  <si>
    <t>CAIXA EM CHAPA METÁLICA GALVANIZADA 60 X 50 X 20CM, PARA QUADRO DE DISTRIBUIÇÃO ELÉTRICA</t>
  </si>
  <si>
    <t>BARRAMENTO COBRE INTERLIGACAO 380V 2""X1.1/4""</t>
  </si>
  <si>
    <t>QDJ6</t>
  </si>
  <si>
    <t>DISJUNTOR TERMOMAGNETICO TRIPOLAR EM CAIXA MOLDADA 500 A 600A 600V, FORNECIMENTO E INSTALACAO</t>
  </si>
  <si>
    <t>DISJUNTOR TERMOMAGNÉTICO TRIPOLAR 100 A COM CAIXA MOLDADA 10 KA</t>
  </si>
  <si>
    <t>TERMINAL OU CONECTOR DE PRESSAO - PARA CABO 120MM2 - FORNECIMENTO E INSTALACAO</t>
  </si>
  <si>
    <t>TERMINAL OU CONECTOR DE PRESSAO - PARA CABO 16MM2 - FORNECIMENTO E INSTALACAO</t>
  </si>
  <si>
    <t>QDJ7</t>
  </si>
  <si>
    <t>1CQDFL - TÉRREO</t>
  </si>
  <si>
    <t>DISJUNTOR DIFERENCIAL DR-16A - 40A, 30MA</t>
  </si>
  <si>
    <t>DISJUNTOR TERMOMAGNÉTICO TRIPOLAR 63 A</t>
  </si>
  <si>
    <t>2CQDFL - PAV. 1</t>
  </si>
  <si>
    <t>3CQDFE - TÉRREO</t>
  </si>
  <si>
    <t>4EQDFE - PAV. 1</t>
  </si>
  <si>
    <t>DISJUNTOR TERMOMAGNETICO TRIPOLAR EM CAIXA MOLDADA 175 A 225A 240V, FORNECIMENTO E INSTALACAO</t>
  </si>
  <si>
    <t>5CQDCLIM - COBERTA</t>
  </si>
  <si>
    <t>6CQDCLIM - COBERTA</t>
  </si>
  <si>
    <t>DISJUNTOR TERMOMAGNETICO TRIPOLAR 80 A, PADRÃO DIN (EUROPEU - LINHA BRANCA), CURVA C, 5KA</t>
  </si>
  <si>
    <t>7CQDELEV - COBERTA</t>
  </si>
  <si>
    <t>8CQDELEV - COBERTA</t>
  </si>
  <si>
    <t>9CQBIN - TOPO</t>
  </si>
  <si>
    <t>RELÉ FALTA DE FASE 380/220V</t>
  </si>
  <si>
    <t>RELÉ DE SOBRECARGA TÉRMICA PARA MOTOR</t>
  </si>
  <si>
    <t>CONTATOR TRIPOLAR I NOMINAL 65A - FORNECIMENTO E INSTALACAO INCLUSIVE ELETROTÉCNICO</t>
  </si>
  <si>
    <t>CHAVE BLINDADA 3 POSICOES 30A PARA COMANDO DE BOMBAS</t>
  </si>
  <si>
    <t>RELÉ DE TEMPO 7PV00 20S 220V</t>
  </si>
  <si>
    <t>BOTÃO DE COMANDO 22,5MM</t>
  </si>
  <si>
    <t>SINALIZADOR LED DE COMANDO 22,5MM</t>
  </si>
  <si>
    <t>QD - ENTRADA - 1CQUPS</t>
  </si>
  <si>
    <t>QD - SAÍDA - 1CQUPS</t>
  </si>
  <si>
    <t>QD - ENTRADA - 2CQUPS</t>
  </si>
  <si>
    <t>QD - SAÍDA - 2CQUPS</t>
  </si>
  <si>
    <t>1GQDFL  - EXTERNO - GUARITA 03</t>
  </si>
  <si>
    <t>2GQDFE - EXTERNO - GUARITA 03</t>
  </si>
  <si>
    <t>10CQBR - TÉRREO</t>
  </si>
  <si>
    <t>CONTATOR TRIPOLAR I NOMINAL 22A - FORNECIMENTO E INSTALACAO INCLUSIVE ELETROTÉCNICO</t>
  </si>
  <si>
    <t>CONTATOR TRIPOLAR I NOMINAL 16A - FORNECIMENTO E INSTALACAO INCLUSIVE ELETROTÉCNICO</t>
  </si>
  <si>
    <t>11CQBRU - TÉRREO</t>
  </si>
  <si>
    <t>SONORIZAÇÃO</t>
  </si>
  <si>
    <t>FIO FLEXÍVEL 2 X 2,5MM2 PARA SOM</t>
  </si>
  <si>
    <t>EQUIPAMENTOS DE SONORIZAÇÃO</t>
  </si>
  <si>
    <t>MICROFONES GOOSENECK PARA JUIZ/PRESIDENTE</t>
  </si>
  <si>
    <t>PRE-AMPLIFICADOR COM GONGO (RECEIVER)</t>
  </si>
  <si>
    <t>SPDA</t>
  </si>
  <si>
    <t>MALHA DE CAPTAÇÃO</t>
  </si>
  <si>
    <t>TERMINAL AEREO EM ACO GALVANIZADO COM BASE DE FIXACAO H = 30CM</t>
  </si>
  <si>
    <t>CONECTOR MINI GAR - FORNECIMENTO E INSTALACAO</t>
  </si>
  <si>
    <t>DESCIDA</t>
  </si>
  <si>
    <t>FORNECIMENTO E INSTALAÇAO DE HASTE DE ATERRAMENTO GALVANIZADA A FOGO 3/8"X3,45M (RE-BAR) TEL-760, EXCLISIVE CLIPS</t>
  </si>
  <si>
    <t>MALHA DE ATERRAMENTO</t>
  </si>
  <si>
    <t>SOLDA EXOTÉRMICA</t>
  </si>
  <si>
    <t>SUBESTAÇÃO</t>
  </si>
  <si>
    <t>CUBICULOS E GERADOR</t>
  </si>
  <si>
    <t>CUBICULOS DE MT</t>
  </si>
  <si>
    <t>QUADROS DE BT</t>
  </si>
  <si>
    <t>ILUMINAÇÃO E TOMADAS</t>
  </si>
  <si>
    <t>LUMINÁRIA DE EMERGÊNCIA 2 X 55W</t>
  </si>
  <si>
    <t>ATERRAMENTO</t>
  </si>
  <si>
    <t>TRANSFORMADORES</t>
  </si>
  <si>
    <t>TRANSFORMADOR DE FORÇA À SECO 500 KVA/13.800-380/220V (FORNECIMENTO E MONTAGEM)</t>
  </si>
  <si>
    <t>TRANSFORMADOR DE FORÇA À SECO 300 KVA/13.800-380/220V (FORNECIMENTO E MONTAGEM)</t>
  </si>
  <si>
    <t>FIXAÇÃO DE DUTOS E ELETROCALHAS</t>
  </si>
  <si>
    <t>PERFILADO DE SEÇÃO 38X76 MM PARA SUPORTE DE LEITO PESADO, LARGURA ATE 50 MM.</t>
  </si>
  <si>
    <t>SUPORTE VERTICAL 50 X 50MM PARA FIXAÇÃO DE ELETROCALHA METÁLICA</t>
  </si>
  <si>
    <t>TELA DE AÇO GALVANIZADO FIO 13BWG, COM REVESTIMENTO EM PVC, MALHA 3"</t>
  </si>
  <si>
    <t>INSTALAÇÕES MECÂNICAS E DE UTILIDADES</t>
  </si>
  <si>
    <t>AR CONDICIONADO CENTRAL</t>
  </si>
  <si>
    <t>ELÉTRICA/FIXAÇÃO</t>
  </si>
  <si>
    <t>CABO SHIELDADO DE COMUNICAÇÃO DO SISTEMA DE VRV</t>
  </si>
  <si>
    <t>DUTOS, DIFUSORES E GRELHAS</t>
  </si>
  <si>
    <t>EXAUSTOR MULTIVAC MOD MURO 150A, VAZÃO 70M3/H, MOTOR POT. 12W 220V/1Ø/60HZ, COM SISTEMA INTERTRAVADO COM INTERRUPTOR DE LUZ.</t>
  </si>
  <si>
    <t>DRENO</t>
  </si>
  <si>
    <t>TUBULAÇÃO FRIGORÍGENA</t>
  </si>
  <si>
    <t>REDE FRIGORÍGENA C/ TUBO DE COBRE 1 1/8", ISOLADO COM BORRACHA ELASTOMÉRICA, SUSTENTAÇÃO, SOLDA E LIMPEZA</t>
  </si>
  <si>
    <t>REDE FRIGORÍGENA C/ TUBO DE COBRE 1/2" FLEXÍVEL, ISOLADO COM BORRACHA ELASTOMÉRICA, SUSTENTAÇÃO, SOLDA E LIMPEZA</t>
  </si>
  <si>
    <t>REDE FRIGORÍGENA C/ TUBO DE COBRE 1/4" FLEXÍVEL, ISOLADO COM BORRACHA ELASTOMÉRICA, SUSTENTAÇÃO, SOLDA E LIMPEZA</t>
  </si>
  <si>
    <t>REDE FRIGORÍGENA C/ TUBO DE COBRE 7/8" FLEXÍVEL, ISOLADO COM BORRACHA ELASTOMÉRICA, SUSTENTAÇÃO, SOLDA E LIMPEZA</t>
  </si>
  <si>
    <t>REDE FRIGORÍGENA C/ TUBO DE COBRE 5/8" FLEXÍVEL, ISOLADO COM BORRACHA ELASTOMÉRICA, SUSTENTAÇÃO, SOLDA E LIMPEZA</t>
  </si>
  <si>
    <t>REDE FRIGORÍGENA C/ TUBO DE COBRE 3/8" FLEXÍVEL, ISOLADO COM BORRACHA ELASTOMÉRICA, SUSTENTAÇÃO, SOLDA E LIMPEZA</t>
  </si>
  <si>
    <t>REDE FRIGORÍGENA C/ TUBO DE COBRE 3/4" FLEXÍVEL, ISOLADO COM BORRACHA ELASTOMÉRICA, SUSTENTAÇÃO, SOLDA E LIMPEZA</t>
  </si>
  <si>
    <t>REDE FRIGORÍGENA C/ TUBO DE COBRE 1", ISOLADO COM BORRACHA ELASTOMÉRICA, SUSTENTAÇÃO, SOLDA E LIMPEZA</t>
  </si>
  <si>
    <t>PAR</t>
  </si>
  <si>
    <t>PINTURAS</t>
  </si>
  <si>
    <t>PINTURA LISA COM TINTA ACRÍLICA NA COR BRANCO FOSCO</t>
  </si>
  <si>
    <t>PINTURA LISA COM TINTA ACRÍLICA NA COR BRANCO COM QUARTZO</t>
  </si>
  <si>
    <t>PINTURA LISA COM TINTA ACRÍLICA NA COR CINZA ESCURO</t>
  </si>
  <si>
    <t>PINTURA LISA COM TINTA ACRÍLICA PRETO MARFIM</t>
  </si>
  <si>
    <t xml:space="preserve">APLICAÇÃO MANUAL DE PINTURA COM TINTA LÁTEX ACRÍLICA EM PAREDES, DUAS DEMÃOS. BRANCO ACETINADO </t>
  </si>
  <si>
    <t>IMPERMEABILIZAÇÕES</t>
  </si>
  <si>
    <t>IMPERMEABILIZACAO DE ESTRUTURAS ENTERRADAS, COM TINTA ASFALTICA, DUAS DEMAOS.</t>
  </si>
  <si>
    <t>IMPERMEABILIZACAO DE SUPERFICIE COM ARGAMASSA DE CIMENTO E AREIA (MEDIA), TRACO 1:3, COM ADITIVO IMPERMEABILIZANTE, E=2CM.</t>
  </si>
  <si>
    <t>IMPERMEABILIZACAO DE SUPERFICIE COM MANTA ASFALTICA PROTEGIDA COM FILME DE ALUMINIO GOFRADO (DE ESPESSURA 0,8MM), INCLUSA APLICACAO DE EMULSAO ASFALTICA, E=3MM. (CALHAS E LAJE DA CAIXA DÁGUA)</t>
  </si>
  <si>
    <t>PEÇAS DE ACABAMENTO E/OU ARREMATES</t>
  </si>
  <si>
    <t>CORRIMÃO EM AÇO INOX Ø=1 1/2", DUPLO, H=90CM</t>
  </si>
  <si>
    <t>GUARDA-CORPO EM TUBO DE AÇO INOX Ø=1 1/2", DUPLO, COM MONTANTES E FECHAMENTO EM TUBO INOX Ø=1 1/2", H=96CM, C/ACABAMENTO POLIDO, P/FIXAÇÃO EM PISO</t>
  </si>
  <si>
    <t>SERVIÇOS COMPLEMENTARES</t>
  </si>
  <si>
    <t>PAISAGISMO</t>
  </si>
  <si>
    <t>ESCADA MARINHEIRO PERFIL 1.1/2"" DE ACO COM GUARDA CORPO</t>
  </si>
  <si>
    <t>ESCADA METÁLICA EM AÇO INOX</t>
  </si>
  <si>
    <t>ESCADA MARINHEIRO PERFIL DE FERRO C/ ANCORAGEM S/ PROTECAO</t>
  </si>
  <si>
    <t>COMUNICAÇÃO VISUAL</t>
  </si>
  <si>
    <t>SINALIZACAO HORIZONTAL COM TINTA RETRORREFLETIVA A BASE DE RESINA ACRILICA COM MICROESFERAS DE VIDRO - VAGAS DE ESTACIONAMENTO</t>
  </si>
  <si>
    <t>SINALIZACAO HORIZONTAL COM TINTA RETRORREFLETIVA A BASE DE RESINA ACRILICA COM MICROESFERAS DE VIDRO - TRANSFERÊNCIA DEFICIENTE</t>
  </si>
  <si>
    <t>SINALIZACAO HORIZONTAL COM TINTA RETRORREFLETIVA A BASE DE RESINA ACRILICA COM MICROESFERAS DE VIDRO - SIMBOLO DE ACESSIBILIDADE</t>
  </si>
  <si>
    <t>SERVIÇOS FINAIS</t>
  </si>
  <si>
    <t>ELABORAÇÃO DE PROJETO "AS BUILT" DE TODA A EDIFICAÇÃO.</t>
  </si>
  <si>
    <t>LIMPEZA FINAL DA OBRA</t>
  </si>
  <si>
    <t>MÃO DE OBRA</t>
  </si>
  <si>
    <t>MATERIAL</t>
  </si>
  <si>
    <t>EQUIPAMENTO</t>
  </si>
  <si>
    <t>GERAL</t>
  </si>
  <si>
    <t>PREÇO UNITÁRIO</t>
  </si>
  <si>
    <t>TOTAL</t>
  </si>
  <si>
    <t>MAO DE OBRA</t>
  </si>
  <si>
    <t>SERVICO</t>
  </si>
  <si>
    <t>CONSUMO</t>
  </si>
  <si>
    <t>CUSTO UNITÁRIO</t>
  </si>
  <si>
    <t>SARRAFO DE MADEIRA NAO APARELHADA *2,5 X 7* CM, MACARANDUBA, ANGELIM OU EQUIVALENTE DA REGIAO</t>
  </si>
  <si>
    <t>PLACA DE OBRA (PARA CONSTRUCAO CIVIL) EM CHAPA GALVANIZADA *N. 22*, DE *2,0 X 1,125* M</t>
  </si>
  <si>
    <t>PREGO DE ACO POLIDO COM CABECA 18 X 30 (2 3/4 X 10)</t>
  </si>
  <si>
    <t>CARPINTEIRO DE FORMAS COM ENCARGOS COMPLEMENTARES</t>
  </si>
  <si>
    <t>SERVENTE COM ENCARGOS COMPLEMENTARES</t>
  </si>
  <si>
    <t>ARRUELA REDONDA DE LATAO, DIAMETRO EXTERNO = 34 MM, ESPESSURA = 2,5 MM, DIAMETRO DO FURO = 17 MM</t>
  </si>
  <si>
    <t>ELETRICISTA COM ENCARGOS COMPLEMENTARES</t>
  </si>
  <si>
    <t>PREGO DE ACO POLIDO COM CABECA 17 X 27 (2 1/2 X 11)</t>
  </si>
  <si>
    <t>L</t>
  </si>
  <si>
    <t>PINTOR COM ENCARGOS COMPLEMENTARES</t>
  </si>
  <si>
    <t>CJ</t>
  </si>
  <si>
    <t>TABUA MADEIRA 2A QUALIDADE 2,5 X 20,0CM (1 X 8") NAO APARELHADA</t>
  </si>
  <si>
    <t>ARAME RECOZIDO 18 BWG, 1,25 MM (0,01 KG/M)</t>
  </si>
  <si>
    <t>PREGO DE ACO POLIDO COM CABECA 18 X 27 (2 1/2 X 10)</t>
  </si>
  <si>
    <t>TABUA MADEIRA 2A QUALIDADE 2,5 X 30,0CM (1 X 12") NAO APARELHADA</t>
  </si>
  <si>
    <t>CHP</t>
  </si>
  <si>
    <t>CHI</t>
  </si>
  <si>
    <t>PEDREIRO COM ENCARGOS COMPLEMENTARES</t>
  </si>
  <si>
    <t>ADITIVO IMPERMEABILIZANTE DE PEGA NORMAL PARA ARGAMASSAS E  CONCRETOS SEM ARMACAO</t>
  </si>
  <si>
    <t>PECA DE MADEIRA 3A QUALIDADE 2,5 X 10CM NAO APARELHADA</t>
  </si>
  <si>
    <t>AJUDANTE DE CARPINTEIRO COM ENCARGOS COMPLEMENTARES</t>
  </si>
  <si>
    <t>AJUDANTE DE ARMADOR COM ENCARGOS COMPLEMENTARES</t>
  </si>
  <si>
    <t>ARMADOR COM ENCARGOS COMPLEMENTARES</t>
  </si>
  <si>
    <t>AREIA MEDIA - POSTO JAZIDA/FORNECEDOR (RETIRADO NA JAZIDA, SEM TRANSPORTE)</t>
  </si>
  <si>
    <t>CIMENTO PORTLAND COMPOSTO CP II-32</t>
  </si>
  <si>
    <t>PEDRA BRITADA N. 1 (9,5 A 19 MM) POSTO PEDREIRA/FORNECEDOR, SEM FRETE</t>
  </si>
  <si>
    <t>DESMOLDANTE PROTETOR PARA FORMAS DE MADEIRA, DE BASE OLEOSA EMULSIONADA EM AGUA</t>
  </si>
  <si>
    <t>PREGO DE ACO POLIDO COM CABECA DUPLA 17 X 27 (2 1/2 X 11)</t>
  </si>
  <si>
    <t>CONCRETO USINADO BOMBEAVEL, CLASSE DE RESISTENCIA C30, COM BRITA 0 E 1, SLUMP = 100 +/- 20 MM, INCLUI SERVICO DE BOMBEAMENTO (NBR 8953)</t>
  </si>
  <si>
    <t>BLOCO CERAMICO (ALVENARIA VEDACAO), 6 FUROS, DE 9 X 14 X 19 CM</t>
  </si>
  <si>
    <t>TIJOLO CERAMICO MACICO *5 X 10 X 20* CM</t>
  </si>
  <si>
    <t>BUCHA DE NYLON SEM ABA S6, COM PARAFUSO DE 4,20 X 40 MM EM ACO ZINCADO COM ROSCA SOBERBA, CABECA CHATA E FENDA PHILLIPS</t>
  </si>
  <si>
    <t>SILICONE ACETICO USO GERAL INCOLOR 280 G</t>
  </si>
  <si>
    <t>GUARNICAO/MOLDURA DE ACABAMENTO PARA ESQUADRIA DE ALUMINIO ANODIZADO NATURAL, PARA 1 FACE</t>
  </si>
  <si>
    <t>ACO CA-60, 4,2 MM, VERGALHAO</t>
  </si>
  <si>
    <t>BLOCO DE VIDRO INCOLOR XADREZ, DE *20 X 20 X 10* CM</t>
  </si>
  <si>
    <t>CIMENTO BRANCO</t>
  </si>
  <si>
    <t>LOCACAO DE ESCORA METALICA TELESCOPICA, COM ALTURA REGULAVEL DE *1,80* A *3,20* M, COM CAPACIDADE DE CARGA DE NO MINIMO 1000 KGF (10 KN), INCLUSO TRIPE E FORCADO</t>
  </si>
  <si>
    <t>VIGA DE ESCORAMAENTO H20, DE MADEIRA, PESO DE 5,00 A 5,20 KG/M, COM EXTREMIDADES PLASTICAS</t>
  </si>
  <si>
    <t>LOCACAO DE FORMA PLASTICA PARA LAJE NERVURADA, DIMENSOES *60* X *60* X *16* CM</t>
  </si>
  <si>
    <t>TELA DE ACO SOLDADA NERVURADA CA-60, Q-92, (1,48 KG/M2), DIAMETRO DO FIO = 4,2 MM, LARGURA =  2,45 X 60 M DE COMPRIMENTO, ESPACAMENTO DA MALHA = 15  X 15 CM</t>
  </si>
  <si>
    <t>PREGO DE ACO POLIDO COM CABECA 15 X 18 (1 1/2 X 13)</t>
  </si>
  <si>
    <t>SOLDADOR COM ENCARGOS COMPLEMENTARES</t>
  </si>
  <si>
    <t>AJUDANTE ESPECIALIZADO COM ENCARGOS COMPLEMENTARES</t>
  </si>
  <si>
    <t>ALUGUEL DE LIXADEIRA INDUSTRIAL MARCA BOSCH</t>
  </si>
  <si>
    <t>DISCO DE DESBASTE 7", PARA FERRO</t>
  </si>
  <si>
    <t>PERFIL AÇO, U DOBRADO DE CHAPA - UDC SIMPLES - 100 X 50 X 3 MM (4.48 KG/M)</t>
  </si>
  <si>
    <t>SERRALHEIRO COM ENCARGOS COMPLEMENTARES</t>
  </si>
  <si>
    <t>EXECUÇÃO DE SOLDA CONTÍNUA MIG</t>
  </si>
  <si>
    <t>CHAPA ACO INOX AISI 304 NUMERO 9 (E = 4 MM), ACABAMENTO NUMERO 1 (LAMINADO A QUENTE, FOSCO)</t>
  </si>
  <si>
    <t>SELANTE ELASTICO MONOCOMPONENTE A BASE DE POLIURETANO PARA JUNTAS DIVERSAS</t>
  </si>
  <si>
    <t>310ML</t>
  </si>
  <si>
    <t>BUCHA DE NYLON SEM ABA S10, COM PARAFUSO DE 6,10 X 65 MM EM ACO ZINCADO COM ROSCA SOBERBA, CABECA CHATA E FENDA PHILLIPS</t>
  </si>
  <si>
    <t>PORTA DE ABRIR EM ALUMINIO COM DIVISAO HORIZONTAL  PARA VIDROS,  ACABAMENTO ANODIZADO NATURAL, VIDROS INCLUSOS, SEM GUARNICAO/ALIZAR/VISTA , 87 X 210 CM</t>
  </si>
  <si>
    <t>PORTA CORTA-FOGO PARA SAIDA DE EMERGENCIA, COM FECHADURA, VAO LUZ DE 90 X 210 CM, CLASSE P-90 (NBR 11742)</t>
  </si>
  <si>
    <t>BARRA ANTIPANICO DUPLA, CEGA LADO OPOSTO, COR CINZA</t>
  </si>
  <si>
    <t>ROSETA REDONDA DE SOBREPOR, SEM FUROS, EM ACO INOX POLIDO, DIAMETRO APROXIMADO DE 50 MM, PARA FECHADURA DE PORTA - PARAFUSOS INCLUIDOS</t>
  </si>
  <si>
    <t>FECHADURA DE EMBUTIR PARA PORTA EXTERNA / ENTRADA, MAQUINA 55 MM, COM CILINDRO, MACANETA ALAVANCA E ESPELHO EM METAL CROMADO - NIVEL SEGURANCA MEDIO - COMPLETA</t>
  </si>
  <si>
    <t>PORTA DE MADEIRA, FOLHA MEDIA (NBR 15930) DE 100 X 210 CM, E = 35 MM, NUCLEO SARRAFEADO, CAPA LISA EM HDF, ACABAMENTO EM PRIMER PARA PINTURA</t>
  </si>
  <si>
    <t>DOBRADICA EM ACO/FERRO, 3 1/2" X  3", E= 1,9  A 2 MM, COM ANEL,  CROMADO OU ZINCADO, TAMPA BOLA, COM PARAFUSOS</t>
  </si>
  <si>
    <t>PARAFUSO ROSCA SOBERBA ZINCADO CABECA CHATA FENDA SIMPLES 3,5 X 25 MM (1 ")</t>
  </si>
  <si>
    <t>BARRA ANTIPANICO SIMPLES, CEGA LADO OPOSTO, COR CINZA</t>
  </si>
  <si>
    <t>CARPINTEIRO DE ESQUADRIA COM ENCARGOS COMPLEMENTARES</t>
  </si>
  <si>
    <t>PORTA DE ABRIR EM GRADIL COM BARRA CHATA 3 CM X 1/4", COM REQUADRO E GUARNICAO - COMPLETO - ACABAMENTO NATURAL</t>
  </si>
  <si>
    <t>PUXADOR CENTRAL, TIPO ALCA, EM ZAMAC CROMADO, COM ROSETAS, COMPRIMENTO *100* MM, PARA PORTA / JANELA EM MADEIRA OU METALICA - INCLUI PARAFUSOS</t>
  </si>
  <si>
    <t>JANELA MAXIM AR EM ALUMINIO, 80 X 60 CM (A X L), BATENTE/REQUADRO DE 4 A 14 CM, COM VIDRO, SEM GUARNICAO/ALIZAR</t>
  </si>
  <si>
    <t>JANELA FIXA EM ALUMINIO, 60  X 80 CM (A X L), BATENTE/REQUADRO DE 3 A 14 CM, COM VIDRO, SEM GUARNICAO/ALIZAR</t>
  </si>
  <si>
    <t>PELICULA ADESIVA PARA VIDROS INSULFILM</t>
  </si>
  <si>
    <t>JATEAMENTO SOBRE VIDRO TEMPERADO</t>
  </si>
  <si>
    <t>PARAFUSO DE ACO ZINCADO COM ROSCA SOBERBA, CABECA CHATA E FENDA SIMPLES, DIAMETRO 4,2 MM, COMPRIMENTO * 32 * MM</t>
  </si>
  <si>
    <t>CIMENTO PORTLAND DE ALTO FORNO (AF) CP III-32</t>
  </si>
  <si>
    <t>AREIA GROSSA - POSTO JAZIDA/FORNECEDOR (RETIRADO NA JAZIDA, SEM TRANSPORTE)</t>
  </si>
  <si>
    <t>AUXILIAR DE SERRALHEIRO COM ENCARGOS COMPLEMENTARES</t>
  </si>
  <si>
    <t>CANTONEIRA ALUMINIO ABAS DESIGUAIS 1" X 3/4 ", E = 1/8 "</t>
  </si>
  <si>
    <t>CHAPA DE MADEIRA COMPENSADA NAVAL (COM COLA FENOLICA), E = 6 MM, DE *1,60 X 2,20* M</t>
  </si>
  <si>
    <t>ADITIVO ADESIVO LIQUIDO PARA ARGAMASSAS DE REVESTIMENTOS CIMENTICIOS</t>
  </si>
  <si>
    <t>ESPELHO CRISTAL E = 4 MM</t>
  </si>
  <si>
    <t>VIDRACEIRO COM ENCARGOS COMPLEMENTARES</t>
  </si>
  <si>
    <t>CHAPA DE MADEIRA COMPENSADA PLASTIFICADA PARA FORMA DE CONCRETO, DE 2,20 X 1,10 M, E = 10 MM</t>
  </si>
  <si>
    <t>TABUA MADEIRA 3A QUALIDADE 2,5 X 23,0CM (1 X 9") NAO APARELHADA</t>
  </si>
  <si>
    <t>CALHA/CANALETA DE CONCRETO SIMPLES, TIPO MEIA CANA, D= 40 CM, PARA AGUA PLUVIAL</t>
  </si>
  <si>
    <t>CHAPA DE ACO GALVANIZADA BITOLA GSG 19, E = 1,11 MM (8,88 KG/M2)</t>
  </si>
  <si>
    <t>AZULEJISTA OU LADRILHISTA COM ENCARGOS COMPLEMENTARES</t>
  </si>
  <si>
    <t>ARGAMASSA PRONTA PARA REJUNTAMENTO CERAMICO(0,45KG/M2)</t>
  </si>
  <si>
    <t>CERAMICA 29,5X29,5CM PORTOBELLO CARGA PESADA</t>
  </si>
  <si>
    <t>ARGAMASSA COLANTE TIPO ACIII E</t>
  </si>
  <si>
    <t>AJUDANTE DE PEDREIRO COM ENCARGOS COMPLEMENTARES</t>
  </si>
  <si>
    <t>AUXILIAR DE SERVIÇOS GERAIS COM ENCARGOS COMPLEMENTARES</t>
  </si>
  <si>
    <t>FITA ACABAMENTO BORDO, EM PVC, COR BRANCA, E=19MM</t>
  </si>
  <si>
    <t>CHAPA DE MDF CRU, E = 6 MM, DE *2,75 X 1,85* M</t>
  </si>
  <si>
    <t>COLA A BASE DE RESINA SINTETICA PARA CHAPA DE LAMINADO MELAMINICO</t>
  </si>
  <si>
    <t>CHAPA DE LAMINADO MELAMINICO, LISO FOSCO, DE *1,25 X 3,08* M, E = 0,8 MM</t>
  </si>
  <si>
    <t>ARGAMASSA COLANTE TIPO ACIII</t>
  </si>
  <si>
    <t>PREGO DE ACO POLIDO COM CABECA 16 X 24 (2 1/4 X 12)</t>
  </si>
  <si>
    <t>PEDRA BRITADA GRADUADA, CLASSIFICADA (POSTO PEDREIRA/FORNECEDOR, SEM FRETE)</t>
  </si>
  <si>
    <t>RIPA DE MADEIRA NAO APARELHADA *1,5 X 5* CM, MACARANDUBA, ANGELIM OU EQUIVALENTE DA REGIAO</t>
  </si>
  <si>
    <t>ADESIVO PLASTICO PARA PVC, BISNAGA COM 75 GR</t>
  </si>
  <si>
    <t>ADAPTADOR PVC SOLDAVEL CURTO COM BOLSA E ROSCA, 32 MM X 1", PARA AGUA FRIA</t>
  </si>
  <si>
    <t>FITA VEDA ROSCA EM ROLOS DE 18 MM X 10 M (L X C)</t>
  </si>
  <si>
    <t>ENCANADOR OU BOMBEIRO HIDRÁULICO COM ENCARGOS COMPLEMENTARES</t>
  </si>
  <si>
    <t>AUXILIAR DE ENCANADOR OU BOMBEIRO HIDRÁULICO COM ENCARGOS COMPLEMENTARES</t>
  </si>
  <si>
    <t>ADAPTADOR PVC SOLDAVEL CURTO COM BOLSA E ROSCA, 40 MM X 1 1/2", PARA AGUA FRIA</t>
  </si>
  <si>
    <t>ADESIVO PLASTICO PARA PVC, FRASCO COM 175 GR</t>
  </si>
  <si>
    <t>ADAPTADOR PVC SOLDAVEL CURTO COM BOLSA E ROSCA, 60 MM X 2", PARA AGUA FRIA</t>
  </si>
  <si>
    <t>ADESIVO PLASTICO PARA PVC, FRASCO COM 850 GR</t>
  </si>
  <si>
    <t>PASTA LUBRIFICANTE PARA TUBOS E CONEXOES COM JUNTA ELASTICA (USO EM PVC, ACO, POLIETILENO E OUTROS) ( DE *400* G)</t>
  </si>
  <si>
    <t>SOLUCAO LIMPADORA PARA PVC, FRASCO COM 1000 CM3</t>
  </si>
  <si>
    <t>LIXA D'AGUA EM FOLHA, GRAO 100</t>
  </si>
  <si>
    <t>ANEL BORRACHA, DN 50 MM, PARA TUBO SERIE REFORCADA ESGOTO PREDIAL</t>
  </si>
  <si>
    <t>CAIXA SIFONADA PVC, 250 X 230 X 75 MM, COM TAMPA E PORTA TAMPA QUADRADA BRANCA</t>
  </si>
  <si>
    <t>RALO FOFO SEMIESFERICO, 150 MM, PARA LAJES/ CALHAS</t>
  </si>
  <si>
    <t>LUVA DE CORRER PARA TUBO SOLDAVEL, PVC, 50 MM, PARA AGUA FRIA PREDIAL</t>
  </si>
  <si>
    <t>BUCHA DE REDUCAO DE PVC, SOLDAVEL, CURTA, COM 32 X 25 MM, PARA AGUA FRIA PREDIAL</t>
  </si>
  <si>
    <t>BUCHA DE REDUCAO DE PVC, SOLDAVEL, LONGA, COM 40 X 25 MM, PARA AGUA FRIA PREDIAL</t>
  </si>
  <si>
    <t>BUCHA DE REDUCAO DE PVC, SOLDAVEL, LONGA, COM 50 X 32 MM, PARA AGUA FRIA PREDIAL</t>
  </si>
  <si>
    <t>BUCHA DE REDUCAO DE PVC, SOLDAVEL, CURTA, COM 50 X 40 MM, PARA AGUA FRIA PREDIAL</t>
  </si>
  <si>
    <t>TE DE REDUCAO, PVC, SOLDAVEL, 90 GRAUS, 32 MM X 25 MM, PARA AGUA FRIA PREDIAL</t>
  </si>
  <si>
    <t>TE DE REDUCAO, PVC, SOLDAVEL, 90 GRAUS, 40 MM X 32 MM, PARA AGUA FRIA PREDIAL</t>
  </si>
  <si>
    <t>TE DE REDUCAO, PVC, SOLDAVEL, 90 GRAUS, 50 MM X 40 MM, PARA AGUA FRIA PREDIAL</t>
  </si>
  <si>
    <t>PARAFUSO NIQUELADO COM ACABAMENTO CROMADO PARA FIXAR PECA SANITARIA, INCLUI PORCA CEGA, ARRUELA E BUCHA DE NYLON TAMANHO S-10</t>
  </si>
  <si>
    <t>REJUNTE EPOXI BRANCO</t>
  </si>
  <si>
    <t>CAIXA DE DESCARGA PLASTICA DE EMBUTIR COMPLETA, COM ESPELHO PLASTICO, CAPACIDADE 6 A 10 L, ACESSORIOS INCLUSOS</t>
  </si>
  <si>
    <t>BACIA SANITARIA (VASO) CONVENCIONAL DE LOUCA BRANCA</t>
  </si>
  <si>
    <t>ASSENTO SANITARIO DE PLASTICO, TIPO CONVENCIONAL</t>
  </si>
  <si>
    <t>MASSA PLASTICA PARA MARMORE/GRANITO</t>
  </si>
  <si>
    <t>GRANITO PARA BANCADA, POLIDO, TIPO ANDORINHA/ QUARTZ/ CASTELO/ CORUMBA OU OUTROS EQUIVALENTES DA REGIAO, E=  *2,5* CM</t>
  </si>
  <si>
    <t>SUPORTE MAO-FRANCESA EM ACO, ABAS IGUAIS 30 CM, CAPACIDADE MINIMA 60 KG, BRANCO</t>
  </si>
  <si>
    <t>CUBA DE SEMI-ENCAIXE, DIM. 49 X 40CM, INCEPA, LINHA OCEAN PACIFIC, REF. 63027 OU SIIMILAR</t>
  </si>
  <si>
    <t>MARMORISTA/GRANITEIRO COM ENCARGOS COMPLEMENTARES</t>
  </si>
  <si>
    <t>LAVATORIO LOUCA BRANCA SUSPENSO *40 X 30* CM</t>
  </si>
  <si>
    <t>ENGATE / RABICHO FLEXIVEL INOX 1/2 " X 30 CM</t>
  </si>
  <si>
    <t>PARAFUSO NIQUELADO 3 1/2" COM ACABAMENTO CROMADO PARA FIXAR PECA SANITARIA, INCLUI PORCA CEGA, ARRUELA E BUCHA DE NYLON TAMANHO S-8</t>
  </si>
  <si>
    <t>SIFAO EM METAL CROMADO PARA PIA OU LAVATORIO, 1 X 1.1/2 "</t>
  </si>
  <si>
    <t>TORNEIRA CROMADA DE MESA PARA LAVATORIO, PADRAO POPULAR, 1/2 " OU 3/4 " (REF 1193)</t>
  </si>
  <si>
    <t>VALVULA DE DESCARGA METALICA, BASE 1 1/2 " E ACABAMENTO METALICO CROMADO</t>
  </si>
  <si>
    <t>TORNEIRA CROMADA DE MESA PARA LAVATORIO TEMPORIZADA PRESSAO BICA BAIXA</t>
  </si>
  <si>
    <t>FITA VEDA ROSCA EM ROLOS DE 18 MM X 50 M (L X C)</t>
  </si>
  <si>
    <t>AUXILIAR DE ELETRICISTA COM ENCARGOS COMPLEMENTARES</t>
  </si>
  <si>
    <t>ANEL BORRACHA PARA TUBO ESGOTO PREDIAL, DN 100 MM (NBR 5688)</t>
  </si>
  <si>
    <t>TERMINAL DE VENTILACAO, 50 MM, SERIE NORMAL, ESGOTO PREDIAL</t>
  </si>
  <si>
    <t>TERMINAL DE VENTILACAO, 100 MM, SERIE NORMAL, ESGOTO PREDIAL</t>
  </si>
  <si>
    <t>TAMPA EM CONCRETO ARMADO 60X60X5CM P/CX INSPECAO/FOSSA SEPTICA</t>
  </si>
  <si>
    <t>CIMENTO PORTLAND POZOLANICO CP IV- 32</t>
  </si>
  <si>
    <t>50KG</t>
  </si>
  <si>
    <t>BLOCO CERAMICO (ALVENARIA DE VEDACAO), 8 FUROS, DE 9 X 19 X 19 CM</t>
  </si>
  <si>
    <t>TUBO PVC SERIE NORMAL, DN 75 MM, PARA ESGOTO PREDIAL (NBR 5688)</t>
  </si>
  <si>
    <t>ANEL BORRACHA PARA TUBO ESGOTO PREDIAL DN 75 MM (NBR 5688)</t>
  </si>
  <si>
    <t>ANEL BORRACHA, PARA TUBO PVC, REDE COLETOR ESGOTO, DN 150 MM (NBR 7362)</t>
  </si>
  <si>
    <t>ANEL DE BORRACHA P/TUBO PVC 100MM (4'')</t>
  </si>
  <si>
    <t>ANEL DE BORRACHA P/TUBO PVC 50MM (2'')</t>
  </si>
  <si>
    <t>JUNCAO DE REDUCAO INVERTIDA, PVC SOLDAVEL, 100 X 50 MM, SERIE NORMAL PARA ESGOTO PREDIAL</t>
  </si>
  <si>
    <t>TE SANITARIO, PVC, DN 100 X 50 MM, SERIE NORMAL, PARA ESGOTO PREDIAL</t>
  </si>
  <si>
    <t>TE SANITARIO, PVC, DN 75 X 50 MM, SERIE NORMAL PARA ESGOTO PREDIAL</t>
  </si>
  <si>
    <t>TE, PVC LEVE, CURTO, 90 GRAUS, 150 MM, PARA ESGOTO</t>
  </si>
  <si>
    <t>REDUCAO EXCENTRICA PVC P/ ESG PREDIAL DN 75 X 50MM</t>
  </si>
  <si>
    <t>PLUG PVC ESGOTO DE 100MM</t>
  </si>
  <si>
    <t>PLUG PVC ESGOTO DE 50MM</t>
  </si>
  <si>
    <t>CAIXA DE GORDURA EM PVC, DIAMETRO MINIMO 300 MM, DIAMETRO DE SAIDA 100 MM, CAPACIDADE  APROXIMADA 18 LITROS, COM TAMPA</t>
  </si>
  <si>
    <t>TABUA MADEIRA 3A QUALIDADE 2,5 X 30CM (1 X 12 ) NAO APARELHADA</t>
  </si>
  <si>
    <t>PECA DE MADEIRA NAO APARELHADA *7,5 X 7,5* CM (3 X 3 ") MACARANDUBA, ANGELIM OU EQUIVALENTE DA REGIAO</t>
  </si>
  <si>
    <t>CHAPA COMPENSADO RESINADO 12MM (1.10 X 2.20M)</t>
  </si>
  <si>
    <t>TABUA DE MADEIRA APARELHADA *2,5 X 30* CM, MACARANDUBA, ANGELIM OU EQUIVALENTE DA REGIAO</t>
  </si>
  <si>
    <t>CAL HIDRATADA CH-I PARA ARGAMASSAS</t>
  </si>
  <si>
    <t>PEDRA BRITADA N. 2 (19 A 38 MM) POSTO PEDREIRA/FORNECEDOR, SEM FRETE</t>
  </si>
  <si>
    <t>ACO CA-60, 5,0 MM, VERGALHAO</t>
  </si>
  <si>
    <t>ANEL DE CONCRETO ARMADO, D = 0,60 M, H = 0,30 M</t>
  </si>
  <si>
    <t>ANEL DE CONCRETO ARMADO, D = 0,60 M, H = 0,10 M</t>
  </si>
  <si>
    <t>ANEL DE CONCRETO ARMADO, D = 0,60 M, H = 0,15 M</t>
  </si>
  <si>
    <t>LAJE PRE-MOLDADA DE TRANSICAO EXCENTRICA EM CONCRETO ARMADO, DN 1200 MM, FURO CIRCULAR DN 600 MM, ESPESSURA 12 CM</t>
  </si>
  <si>
    <t>ANEL DE CONCRETO ARMADO, D = *1,10* M, H = 0,30 M</t>
  </si>
  <si>
    <t>CAIACAO INT OU EXT SOBRE REVESTIMENTO LISO C/ADOCAO DE FIXADOR COM    COM DUAS DEMAOS</t>
  </si>
  <si>
    <t>PEDRA BRITADA N. 0, OU PEDRISCO (4,8 A 9,5 MM) POSTO PEDREIRA/FORNECEDOR, SEM FRETE</t>
  </si>
  <si>
    <t>GRADIL DE FERRO</t>
  </si>
  <si>
    <t>TUBO ACO GALVANIZADO COM COSTURA, CLASSE MEDIA, DN 3", E = *4,05* MM, PESO *8,47* KG/M (NBR 5580)</t>
  </si>
  <si>
    <t>TUBO ACO GALVANIZADO COM COSTURA, CLASSE MEDIA, DN 1.1/2", E = *3,25* MM, PESO *3,61* KG/M (NBR 5580)</t>
  </si>
  <si>
    <t>TUBO ACO GALVANIZADO COM COSTURA, CLASSE MEDIA, DN 1.1/4", E = *3,25* MM, PESO *3,14* KG/M (NBR 5580)</t>
  </si>
  <si>
    <t>TUBO ACO GALVANIZADO COM COSTURA, CLASSE MEDIA, DN 1", E = 3,38 MM, PESO 2,50 KG/M (NBR 5580)</t>
  </si>
  <si>
    <t>TUBO ACO GALVANIZADO COM COSTURA, CLASSE MEDIA, DN 4", E = 4,50* MM, PESO 12,10* KG/M (NBR 5580)</t>
  </si>
  <si>
    <t>FUNDO ANTICORROSIVO PARA METAIS FERROSOS (ZARCAO)</t>
  </si>
  <si>
    <t>COTOVELO 90 GRAUS DE FERRO GALVANIZADO, COM ROSCA BSP, DE 1"</t>
  </si>
  <si>
    <t>TE 45 GRAUS DE FERRO GALVANIZADO, COM ROSCA BSP, DE 2 1/2"</t>
  </si>
  <si>
    <t>ADAPTADOR PVC SOLDAVEL, COM FLANGES LIVRES, 75 MM X 2  1/2", PARA CAIXA D' AGUA</t>
  </si>
  <si>
    <t>CHUMBADOR DE ACO TIPO PARABOLT, * 5/8" X 200* MM,  COM PORCA E ARRUELA</t>
  </si>
  <si>
    <t>LIXA EM FOLHA PARA FERRO, NUMERO 150</t>
  </si>
  <si>
    <t>SOLVENTE DILUENTE A BASE DE AGUARRAS</t>
  </si>
  <si>
    <t>TINTA ESMALTE SINTETICO PREMIUM FOSCO</t>
  </si>
  <si>
    <t>FITA DE VEDAÇÃO</t>
  </si>
  <si>
    <t>HIDRANTE COM REGISTRO GLOBO AMARELO 2 1/2''</t>
  </si>
  <si>
    <t>AUXILIAR DE ENCANADOR OU BOMBEIRO HIDRAULICO</t>
  </si>
  <si>
    <t>ENCANADOR OU BOMBEIRO HIDRAULICO</t>
  </si>
  <si>
    <t>TAMPAO COM CORRENTE, EM LATAO, ENGATE RAPIDO 2 1/2", PARA INSTALACAO PREDIAL DE COMBATE A INCENDIO</t>
  </si>
  <si>
    <t>ELETRODUTO EM FERRO GALVANIZADO PESADO SEM COSTURA 3/4" X 3M</t>
  </si>
  <si>
    <t>I5739</t>
  </si>
  <si>
    <t>VÁLVULA DE FLUXO EM AÇO GALV. (2 1/2")</t>
  </si>
  <si>
    <t>TUBO DRENO, CORRUGADO, ESPIRALADO, FLEXIVEL, PERFURADO, EM POLIETILENO DE ALTA DENSIDADE (PEAD), DN 65 MM, (2 1/2") PARA DRENAGEM - EM ROLO (NORMA DNIT 093/2006 - EM)</t>
  </si>
  <si>
    <t>ELETROCALHA METÁLICA PERFURADA 75 X 50 X 3000 MM (REF. VL 3.01 75/50 GE VALEMAM OU SIMILAR)</t>
  </si>
  <si>
    <t>TÊ HORIZONTAL 150 X 50MM PARA ELETROCALHA METÁLICA</t>
  </si>
  <si>
    <t>ELETROTÉCNICO COM ENCARGOS COMPLEMENTARES</t>
  </si>
  <si>
    <t>VERGALHÃO (TIRANTE) COM ROSCA TOTAL Ø 1/4"X1000MM (MARVITEC REF. 1431 OU SIMILAR)</t>
  </si>
  <si>
    <t>CAIXA DE PASSAGEM METALICA DE SOBREPOR COM TAMPA PARAFUSADA, DIMENSOES 30 X 30 X 10 CM</t>
  </si>
  <si>
    <t>CAIXA PASSAG. CHAPA C/TAMPA PARAF. 150X150X800MM</t>
  </si>
  <si>
    <t>SENSOR DE PRESENÇA</t>
  </si>
  <si>
    <t>CENTRAL DE ALARME DIGITAL COM 2 BATERIAS ADEMCO VISTA 50 OU SIMILAR (ATÉ 40 PONTOS)</t>
  </si>
  <si>
    <t>I1067</t>
  </si>
  <si>
    <t>ELETRODUTO DE ALUMINIO DE 3/4"</t>
  </si>
  <si>
    <t>I1064</t>
  </si>
  <si>
    <t>ELETRODUTO DE ALUMINIO DE 1"</t>
  </si>
  <si>
    <t>LUMINÁRIA TIPO SPOT DE EMBUTIR COM LÂMPADA LED 15W</t>
  </si>
  <si>
    <t>CAIXA P/QUADRO ELETRICO EM CHAPA METALICA D=60 X 50 X 20CM</t>
  </si>
  <si>
    <t>CONTATOR TRIPOLAR, CORRENTE DE *65* A, TENSAO NOMINAL DE *500* V, CATEGORIA AC-2 E AC-3</t>
  </si>
  <si>
    <t>CHAVE BLINDADA BIPOLAR 30A</t>
  </si>
  <si>
    <t>SINALIZADOR 22,5 MM</t>
  </si>
  <si>
    <t>CONTATOR TRIPOLAR, CORRENTE DE *22* A, TENSAO NOMINAL DE *500* V, CATEGORIA AC-2 E AC-3</t>
  </si>
  <si>
    <t>CONTATOR TRIPOLAR, CORRENTE DE 12 A, TENSAO NOMINAL DE *500* V, CATEGORIA AC-2 E AC-3</t>
  </si>
  <si>
    <t>CABO BALANCEADO 2 X 0,30MM (PARA MICROFONE)</t>
  </si>
  <si>
    <t>PRÉ-AMPLIFICADOR GONGO PGH-3000 AMBIENCE LINE HAYONIK</t>
  </si>
  <si>
    <t>PARAFUSO DE FIXAÇÃO COM BUCHA PLÁSTICA 8 MM</t>
  </si>
  <si>
    <t>HASTE DE ATERRAMENTO GALVANIZADA A FOGO 3/8" X 3,45M (RE-BAR) TEL-760</t>
  </si>
  <si>
    <t>CLIPS 3/8" , P/HASTE DE ATERRAMENTO GALVANIZADA, REF:TEL-5238</t>
  </si>
  <si>
    <t>CARTUCHO DE SOLDA EXOTÉRMICA N.º 90</t>
  </si>
  <si>
    <t>I7378</t>
  </si>
  <si>
    <t>MOLDE P/ SOLDA TIPO "T" ATÉ 35MM²</t>
  </si>
  <si>
    <t>I0457</t>
  </si>
  <si>
    <t>CANALETA 25X30MM PARA CABOS</t>
  </si>
  <si>
    <t>LUMINÁRIA AUTONOMA DE EMERGÊNCIA 2 X 55W, LUXTRON OU SIMILAR</t>
  </si>
  <si>
    <t>CABO DE COBRE ISOLADO EPR, FLEXIVEL,  25MM²,  12/20KV / 90º C (EPROTENAX OU SIMILAR)</t>
  </si>
  <si>
    <t>TRANSFORMADO A SECO 500KVA 13800-380/220V</t>
  </si>
  <si>
    <t>TRANSFORMADOR A SECO 300KVA 13800-380/220V</t>
  </si>
  <si>
    <t>CHUMBADOR, DIAMETRO 1/4" COM PARAFUSO 1/4" X 40 MM</t>
  </si>
  <si>
    <t>PERFILADO PERFURADO DUPLO 38 X 76 MM, CHAPA 22</t>
  </si>
  <si>
    <t>VERGALHAO ZINCADO ROSCA TOTAL, 1/4 " (6,3 MM)</t>
  </si>
  <si>
    <t>PORCA ZINCADA, SEXTAVADA, DIAMETRO 1/4"</t>
  </si>
  <si>
    <t>ARAME GALVANIZADO 12 BWG, 2,76 MM (0,048 KG/M)</t>
  </si>
  <si>
    <t>TELA DE ARAME GALV REVESTIDO EM PVC, QUADRANGULAR / LOSANGULAR,  FIO 2,77 MM (12 BWG), BITOLA FINAL = *3,8* MM, MALHA  7,5 X 7,5 CM, H = 2 M</t>
  </si>
  <si>
    <t>MECÂNICO DE REFRIGERAÇÃO COM ENCARGOS COMPLEMENTARES</t>
  </si>
  <si>
    <t>AUXILIAR DE MECÂNICO COM ENCARGOS COMPLEMENTARES</t>
  </si>
  <si>
    <t>EXAUSTOR AXIAL MULTIVAC MOD MURO 150A</t>
  </si>
  <si>
    <t>I1179</t>
  </si>
  <si>
    <t>FITA DE CALDEAÇÃO</t>
  </si>
  <si>
    <t>MANTA BUTILICA. ESPESSURA 0.8MM</t>
  </si>
  <si>
    <t>PASTA PARA SOLDAR</t>
  </si>
  <si>
    <t>I1872</t>
  </si>
  <si>
    <t>SOLDA 50X50</t>
  </si>
  <si>
    <t>ISOLAMENTO ESPONJOSO ELASTOMÉRICO PARA TUBO DE COBRE 1 1/8"</t>
  </si>
  <si>
    <t>ISOLAMENTO ESPONJOSO ELASTOMÉRICO PARA TUBO DE COBRE 7/8"</t>
  </si>
  <si>
    <t>ISOLAMENTO ESPONJOSO ELASTOMÉRICO PARA TUBO DE COBRE 1"</t>
  </si>
  <si>
    <t>TINTA ASFALTICA IMPERMEABILIZANTE DISPERSA EM AGUA, PARA MATERIAIS CIMENTICIOS</t>
  </si>
  <si>
    <t>MANTA LIQUIDA DE BASE ASFALTICA MODIFICADA COM A ADICAO DE ELASTOMEROS DILUIDOS EM SOLVENTE ORGANICO, APLICACAO A FRIO (MEMBRANA IMPERMEABILIZANTE ASFASTICA)</t>
  </si>
  <si>
    <t>MANTA ASFALTICA ELASTOMERICA EM POLIESTER ALUMINIZADA 3 MM, TIPO III, CLASSE B (NBR 9952)</t>
  </si>
  <si>
    <t>IMPERMEABILIZADOR COM ENCARGOS COMPLEMENTARES</t>
  </si>
  <si>
    <t>GUARDA-CORPO EM TUBO DE AÇO INOX Ø=1 1/2", DUPLO, MONTANTES E FECHAMENTO EM TUBO 1 1/2", H= 96CM, C/ACABAMENTO POLIDO, P/FIXAÇÃO EM PISO</t>
  </si>
  <si>
    <t>CHAPA ACO XADREZ 1/8" (28KG/M2)</t>
  </si>
  <si>
    <t>CHAPA ACO FINA A QUENTE 3/16" 4,75MM (38,00KG/M2)</t>
  </si>
  <si>
    <t>TUBO ACO GALVANIZADO DIN 2440 NBR 5580 1/2" (1.267KG/M)</t>
  </si>
  <si>
    <t>ESCADA MARINHEIRO PERFIL ACO SOLDADO COM GUARDA CORPO</t>
  </si>
  <si>
    <t>LETRA ACO INOX (AISI 304), CHAPA NUM. 22, RECORTADO, H= 20 CM (SEM RELEVO)</t>
  </si>
  <si>
    <t>SALÁRIO HORA</t>
  </si>
  <si>
    <t>CUSTO HORÁRIO</t>
  </si>
  <si>
    <t>ACIDO MURIATICO, DILUICAO 10% A 12% PARA USO EM LIMPEZA</t>
  </si>
  <si>
    <t>C1619 - LAVATÓRIO DE LOUÇA BRANCA S/COLUNA C/TORNEIRA E ACESSÓRIOS - DE CANTO (UN)</t>
  </si>
  <si>
    <t>CHAPA DE LAMINADO MELAMINICO, TEXTURIZADO, DE *1,25 X 3,08* M, E = 0,8 MM</t>
  </si>
  <si>
    <t>PRÓPRIA</t>
  </si>
  <si>
    <t>VALOR (R$)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</si>
  <si>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</si>
  <si>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</si>
  <si>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</si>
  <si>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</si>
  <si>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</si>
  <si>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</si>
  <si>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</si>
  <si>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</si>
  <si>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</si>
  <si>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</si>
  <si>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</si>
  <si>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</si>
  <si>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TOTAL PARCELA</t>
  </si>
  <si>
    <r>
      <rPr>
        <sz val="11"/>
        <rFont val="Times New Roman"/>
        <family val="1"/>
      </rPr>
      <t>1.1.1</t>
    </r>
  </si>
  <si>
    <r>
      <rPr>
        <sz val="11"/>
        <rFont val="Times New Roman"/>
        <family val="1"/>
      </rPr>
      <t>1.1.2</t>
    </r>
  </si>
  <si>
    <r>
      <rPr>
        <sz val="11"/>
        <rFont val="Times New Roman"/>
        <family val="1"/>
      </rPr>
      <t>1.1.3</t>
    </r>
  </si>
  <si>
    <r>
      <rPr>
        <sz val="11"/>
        <rFont val="Times New Roman"/>
        <family val="1"/>
      </rPr>
      <t>1.1.4</t>
    </r>
  </si>
  <si>
    <r>
      <rPr>
        <sz val="11"/>
        <rFont val="Times New Roman"/>
        <family val="1"/>
      </rPr>
      <t>1.1.5</t>
    </r>
  </si>
  <si>
    <r>
      <rPr>
        <sz val="11"/>
        <rFont val="Times New Roman"/>
        <family val="1"/>
      </rPr>
      <t>1.1.6</t>
    </r>
  </si>
  <si>
    <r>
      <rPr>
        <b/>
        <sz val="11"/>
        <rFont val="Times New Roman"/>
        <family val="1"/>
      </rPr>
      <t>2</t>
    </r>
  </si>
  <si>
    <r>
      <rPr>
        <b/>
        <sz val="11"/>
        <rFont val="Times New Roman"/>
        <family val="1"/>
      </rPr>
      <t>2.1</t>
    </r>
  </si>
  <si>
    <r>
      <rPr>
        <sz val="11"/>
        <rFont val="Times New Roman"/>
        <family val="1"/>
      </rPr>
      <t>2.1.1</t>
    </r>
  </si>
  <si>
    <r>
      <rPr>
        <sz val="11"/>
        <rFont val="Times New Roman"/>
        <family val="1"/>
      </rPr>
      <t>2.1.2</t>
    </r>
  </si>
  <si>
    <r>
      <rPr>
        <sz val="11"/>
        <rFont val="Times New Roman"/>
        <family val="1"/>
      </rPr>
      <t>2.1.3</t>
    </r>
  </si>
  <si>
    <r>
      <rPr>
        <sz val="11"/>
        <rFont val="Times New Roman"/>
        <family val="1"/>
      </rPr>
      <t>2.1.4</t>
    </r>
  </si>
  <si>
    <r>
      <rPr>
        <sz val="11"/>
        <rFont val="Times New Roman"/>
        <family val="1"/>
      </rPr>
      <t>2.1.5</t>
    </r>
  </si>
  <si>
    <r>
      <rPr>
        <sz val="11"/>
        <rFont val="Times New Roman"/>
        <family val="1"/>
      </rPr>
      <t>2.1.6</t>
    </r>
  </si>
  <si>
    <r>
      <rPr>
        <sz val="11"/>
        <rFont val="Times New Roman"/>
        <family val="1"/>
      </rPr>
      <t>2.1.7</t>
    </r>
  </si>
  <si>
    <r>
      <rPr>
        <sz val="11"/>
        <rFont val="Times New Roman"/>
        <family val="1"/>
      </rPr>
      <t>2.1.8</t>
    </r>
  </si>
  <si>
    <r>
      <rPr>
        <sz val="11"/>
        <rFont val="Times New Roman"/>
        <family val="1"/>
      </rPr>
      <t>2.1.9</t>
    </r>
  </si>
  <si>
    <r>
      <rPr>
        <b/>
        <sz val="11"/>
        <rFont val="Times New Roman"/>
        <family val="1"/>
      </rPr>
      <t>2.2</t>
    </r>
  </si>
  <si>
    <r>
      <rPr>
        <sz val="11"/>
        <rFont val="Times New Roman"/>
        <family val="1"/>
      </rPr>
      <t>2.2.1</t>
    </r>
  </si>
  <si>
    <r>
      <rPr>
        <b/>
        <sz val="11"/>
        <rFont val="Times New Roman"/>
        <family val="1"/>
      </rPr>
      <t>3</t>
    </r>
  </si>
  <si>
    <r>
      <rPr>
        <b/>
        <sz val="11"/>
        <rFont val="Times New Roman"/>
        <family val="1"/>
      </rPr>
      <t>3.1</t>
    </r>
  </si>
  <si>
    <r>
      <rPr>
        <sz val="11"/>
        <rFont val="Times New Roman"/>
        <family val="1"/>
      </rPr>
      <t>3.1.1</t>
    </r>
  </si>
  <si>
    <r>
      <rPr>
        <b/>
        <sz val="11"/>
        <rFont val="Times New Roman"/>
        <family val="1"/>
      </rPr>
      <t>3.2</t>
    </r>
  </si>
  <si>
    <r>
      <rPr>
        <sz val="11"/>
        <rFont val="Times New Roman"/>
        <family val="1"/>
      </rPr>
      <t>3.2.1</t>
    </r>
  </si>
  <si>
    <r>
      <rPr>
        <b/>
        <sz val="11"/>
        <rFont val="Times New Roman"/>
        <family val="1"/>
      </rPr>
      <t>3.3</t>
    </r>
  </si>
  <si>
    <r>
      <rPr>
        <sz val="11"/>
        <rFont val="Times New Roman"/>
        <family val="1"/>
      </rPr>
      <t>3.3.1</t>
    </r>
  </si>
  <si>
    <r>
      <rPr>
        <sz val="11"/>
        <rFont val="Times New Roman"/>
        <family val="1"/>
      </rPr>
      <t>3.3.2</t>
    </r>
  </si>
  <si>
    <r>
      <rPr>
        <b/>
        <sz val="11"/>
        <rFont val="Times New Roman"/>
        <family val="1"/>
      </rPr>
      <t>3.4</t>
    </r>
  </si>
  <si>
    <r>
      <rPr>
        <sz val="11"/>
        <rFont val="Times New Roman"/>
        <family val="1"/>
      </rPr>
      <t>3.4.1</t>
    </r>
  </si>
  <si>
    <r>
      <rPr>
        <sz val="11"/>
        <rFont val="Times New Roman"/>
        <family val="1"/>
      </rPr>
      <t>3.4.2</t>
    </r>
  </si>
  <si>
    <r>
      <rPr>
        <b/>
        <sz val="11"/>
        <rFont val="Times New Roman"/>
        <family val="1"/>
      </rPr>
      <t>4</t>
    </r>
  </si>
  <si>
    <r>
      <rPr>
        <b/>
        <sz val="11"/>
        <rFont val="Times New Roman"/>
        <family val="1"/>
      </rPr>
      <t>4.1</t>
    </r>
  </si>
  <si>
    <r>
      <rPr>
        <sz val="11"/>
        <rFont val="Times New Roman"/>
        <family val="1"/>
      </rPr>
      <t>4.1.1</t>
    </r>
  </si>
  <si>
    <r>
      <rPr>
        <sz val="11"/>
        <rFont val="Times New Roman"/>
        <family val="1"/>
      </rPr>
      <t>4.1.2</t>
    </r>
  </si>
  <si>
    <r>
      <rPr>
        <sz val="11"/>
        <rFont val="Times New Roman"/>
        <family val="1"/>
      </rPr>
      <t>4.1.3</t>
    </r>
  </si>
  <si>
    <r>
      <rPr>
        <b/>
        <sz val="11"/>
        <rFont val="Times New Roman"/>
        <family val="1"/>
      </rPr>
      <t>4.2</t>
    </r>
  </si>
  <si>
    <r>
      <rPr>
        <sz val="11"/>
        <rFont val="Times New Roman"/>
        <family val="1"/>
      </rPr>
      <t>4.2.1</t>
    </r>
  </si>
  <si>
    <r>
      <rPr>
        <sz val="11"/>
        <rFont val="Times New Roman"/>
        <family val="1"/>
      </rPr>
      <t>4.2.2</t>
    </r>
  </si>
  <si>
    <r>
      <rPr>
        <sz val="11"/>
        <rFont val="Times New Roman"/>
        <family val="1"/>
      </rPr>
      <t>4.2.3</t>
    </r>
  </si>
  <si>
    <r>
      <rPr>
        <sz val="11"/>
        <rFont val="Times New Roman"/>
        <family val="1"/>
      </rPr>
      <t>4.2.4</t>
    </r>
  </si>
  <si>
    <r>
      <rPr>
        <sz val="11"/>
        <rFont val="Times New Roman"/>
        <family val="1"/>
      </rPr>
      <t>4.2.5</t>
    </r>
  </si>
  <si>
    <r>
      <rPr>
        <sz val="11"/>
        <rFont val="Times New Roman"/>
        <family val="1"/>
      </rPr>
      <t>4.2.6</t>
    </r>
  </si>
  <si>
    <r>
      <rPr>
        <sz val="11"/>
        <rFont val="Times New Roman"/>
        <family val="1"/>
      </rPr>
      <t>4.2.7</t>
    </r>
  </si>
  <si>
    <r>
      <rPr>
        <sz val="11"/>
        <rFont val="Times New Roman"/>
        <family val="1"/>
      </rPr>
      <t>4.2.8</t>
    </r>
  </si>
  <si>
    <r>
      <rPr>
        <sz val="11"/>
        <rFont val="Times New Roman"/>
        <family val="1"/>
      </rPr>
      <t>4.2.9</t>
    </r>
  </si>
  <si>
    <r>
      <rPr>
        <sz val="11"/>
        <rFont val="Times New Roman"/>
        <family val="1"/>
      </rPr>
      <t>4.2.10</t>
    </r>
  </si>
  <si>
    <r>
      <rPr>
        <sz val="11"/>
        <rFont val="Times New Roman"/>
        <family val="1"/>
      </rPr>
      <t>4.2.11</t>
    </r>
  </si>
  <si>
    <r>
      <rPr>
        <sz val="11"/>
        <rFont val="Times New Roman"/>
        <family val="1"/>
      </rPr>
      <t>4.2.12</t>
    </r>
  </si>
  <si>
    <r>
      <rPr>
        <b/>
        <sz val="11"/>
        <rFont val="Times New Roman"/>
        <family val="1"/>
      </rPr>
      <t>4.3</t>
    </r>
  </si>
  <si>
    <r>
      <rPr>
        <sz val="11"/>
        <rFont val="Times New Roman"/>
        <family val="1"/>
      </rPr>
      <t>4.3.1</t>
    </r>
  </si>
  <si>
    <r>
      <rPr>
        <sz val="11"/>
        <rFont val="Times New Roman"/>
        <family val="1"/>
      </rPr>
      <t>4.3.2</t>
    </r>
  </si>
  <si>
    <r>
      <rPr>
        <sz val="11"/>
        <rFont val="Times New Roman"/>
        <family val="1"/>
      </rPr>
      <t>4.3.3</t>
    </r>
  </si>
  <si>
    <r>
      <rPr>
        <sz val="11"/>
        <rFont val="Times New Roman"/>
        <family val="1"/>
      </rPr>
      <t>4.3.4</t>
    </r>
  </si>
  <si>
    <r>
      <rPr>
        <sz val="11"/>
        <rFont val="Times New Roman"/>
        <family val="1"/>
      </rPr>
      <t>4.3.5</t>
    </r>
  </si>
  <si>
    <r>
      <rPr>
        <sz val="11"/>
        <rFont val="Times New Roman"/>
        <family val="1"/>
      </rPr>
      <t>4.3.6</t>
    </r>
  </si>
  <si>
    <r>
      <rPr>
        <sz val="11"/>
        <rFont val="Times New Roman"/>
        <family val="1"/>
      </rPr>
      <t>4.3.7</t>
    </r>
  </si>
  <si>
    <r>
      <rPr>
        <sz val="11"/>
        <rFont val="Times New Roman"/>
        <family val="1"/>
      </rPr>
      <t>4.3.8</t>
    </r>
  </si>
  <si>
    <r>
      <rPr>
        <sz val="11"/>
        <rFont val="Times New Roman"/>
        <family val="1"/>
      </rPr>
      <t>4.3.9</t>
    </r>
  </si>
  <si>
    <r>
      <rPr>
        <b/>
        <sz val="11"/>
        <rFont val="Times New Roman"/>
        <family val="1"/>
      </rPr>
      <t>5</t>
    </r>
  </si>
  <si>
    <r>
      <rPr>
        <sz val="11"/>
        <rFont val="Times New Roman"/>
        <family val="1"/>
      </rPr>
      <t>5.1</t>
    </r>
  </si>
  <si>
    <r>
      <rPr>
        <sz val="11"/>
        <rFont val="Times New Roman"/>
        <family val="1"/>
      </rPr>
      <t>5.2</t>
    </r>
  </si>
  <si>
    <r>
      <rPr>
        <sz val="11"/>
        <rFont val="Times New Roman"/>
        <family val="1"/>
      </rPr>
      <t>5.4</t>
    </r>
  </si>
  <si>
    <r>
      <rPr>
        <sz val="11"/>
        <rFont val="Times New Roman"/>
        <family val="1"/>
      </rPr>
      <t>5.5</t>
    </r>
  </si>
  <si>
    <r>
      <rPr>
        <sz val="11"/>
        <rFont val="Times New Roman"/>
        <family val="1"/>
      </rPr>
      <t>5.6</t>
    </r>
  </si>
  <si>
    <r>
      <rPr>
        <sz val="11"/>
        <rFont val="Times New Roman"/>
        <family val="1"/>
      </rPr>
      <t>5.7</t>
    </r>
  </si>
  <si>
    <r>
      <rPr>
        <sz val="11"/>
        <rFont val="Times New Roman"/>
        <family val="1"/>
      </rPr>
      <t>5.8</t>
    </r>
  </si>
  <si>
    <r>
      <rPr>
        <sz val="11"/>
        <rFont val="Times New Roman"/>
        <family val="1"/>
      </rPr>
      <t>5.9</t>
    </r>
  </si>
  <si>
    <r>
      <rPr>
        <sz val="11"/>
        <rFont val="Times New Roman"/>
        <family val="1"/>
      </rPr>
      <t>5.10</t>
    </r>
  </si>
  <si>
    <r>
      <rPr>
        <sz val="11"/>
        <rFont val="Times New Roman"/>
        <family val="1"/>
      </rPr>
      <t>5.11</t>
    </r>
  </si>
  <si>
    <r>
      <rPr>
        <sz val="11"/>
        <rFont val="Times New Roman"/>
        <family val="1"/>
      </rPr>
      <t>5.12</t>
    </r>
  </si>
  <si>
    <r>
      <rPr>
        <sz val="11"/>
        <rFont val="Times New Roman"/>
        <family val="1"/>
      </rPr>
      <t>5.13</t>
    </r>
  </si>
  <si>
    <r>
      <rPr>
        <b/>
        <sz val="11"/>
        <rFont val="Times New Roman"/>
        <family val="1"/>
      </rPr>
      <t>6</t>
    </r>
  </si>
  <si>
    <r>
      <rPr>
        <b/>
        <sz val="11"/>
        <rFont val="Times New Roman"/>
        <family val="1"/>
      </rPr>
      <t>6.1</t>
    </r>
  </si>
  <si>
    <r>
      <rPr>
        <b/>
        <sz val="11"/>
        <rFont val="Times New Roman"/>
        <family val="1"/>
      </rPr>
      <t>6.1.1</t>
    </r>
  </si>
  <si>
    <r>
      <rPr>
        <sz val="11"/>
        <rFont val="Times New Roman"/>
        <family val="1"/>
      </rPr>
      <t>6.1.1.1</t>
    </r>
  </si>
  <si>
    <r>
      <rPr>
        <sz val="11"/>
        <rFont val="Times New Roman"/>
        <family val="1"/>
      </rPr>
      <t>6.1.1.2</t>
    </r>
  </si>
  <si>
    <r>
      <rPr>
        <sz val="11"/>
        <rFont val="Times New Roman"/>
        <family val="1"/>
      </rPr>
      <t>6.1.1.3</t>
    </r>
  </si>
  <si>
    <r>
      <rPr>
        <sz val="11"/>
        <rFont val="Times New Roman"/>
        <family val="1"/>
      </rPr>
      <t>6.1.1.4</t>
    </r>
  </si>
  <si>
    <r>
      <rPr>
        <sz val="11"/>
        <rFont val="Times New Roman"/>
        <family val="1"/>
      </rPr>
      <t>6.1.1.5</t>
    </r>
  </si>
  <si>
    <r>
      <rPr>
        <sz val="11"/>
        <rFont val="Times New Roman"/>
        <family val="1"/>
      </rPr>
      <t>6.1.1.6</t>
    </r>
  </si>
  <si>
    <r>
      <rPr>
        <sz val="11"/>
        <rFont val="Times New Roman"/>
        <family val="1"/>
      </rPr>
      <t>6.1.1.7</t>
    </r>
  </si>
  <si>
    <r>
      <rPr>
        <sz val="11"/>
        <rFont val="Times New Roman"/>
        <family val="1"/>
      </rPr>
      <t>6.1.1.8</t>
    </r>
  </si>
  <si>
    <r>
      <rPr>
        <sz val="11"/>
        <rFont val="Times New Roman"/>
        <family val="1"/>
      </rPr>
      <t>6.1.1.9</t>
    </r>
  </si>
  <si>
    <r>
      <rPr>
        <sz val="11"/>
        <rFont val="Times New Roman"/>
        <family val="1"/>
      </rPr>
      <t>6.1.1.10</t>
    </r>
  </si>
  <si>
    <r>
      <rPr>
        <b/>
        <sz val="11"/>
        <rFont val="Times New Roman"/>
        <family val="1"/>
      </rPr>
      <t>6.1.2</t>
    </r>
  </si>
  <si>
    <r>
      <rPr>
        <sz val="11"/>
        <rFont val="Times New Roman"/>
        <family val="1"/>
      </rPr>
      <t>6.1.2.1</t>
    </r>
  </si>
  <si>
    <r>
      <rPr>
        <sz val="11"/>
        <rFont val="Times New Roman"/>
        <family val="1"/>
      </rPr>
      <t>6.1.2.2</t>
    </r>
  </si>
  <si>
    <r>
      <rPr>
        <sz val="11"/>
        <rFont val="Times New Roman"/>
        <family val="1"/>
      </rPr>
      <t>6.1.2.3</t>
    </r>
  </si>
  <si>
    <r>
      <rPr>
        <sz val="11"/>
        <rFont val="Times New Roman"/>
        <family val="1"/>
      </rPr>
      <t>6.1.2.4</t>
    </r>
  </si>
  <si>
    <r>
      <rPr>
        <sz val="11"/>
        <rFont val="Times New Roman"/>
        <family val="1"/>
      </rPr>
      <t>6.1.2.5</t>
    </r>
  </si>
  <si>
    <r>
      <rPr>
        <sz val="11"/>
        <rFont val="Times New Roman"/>
        <family val="1"/>
      </rPr>
      <t>6.1.2.6</t>
    </r>
  </si>
  <si>
    <r>
      <rPr>
        <sz val="11"/>
        <rFont val="Times New Roman"/>
        <family val="1"/>
      </rPr>
      <t>6.1.2.7</t>
    </r>
  </si>
  <si>
    <r>
      <rPr>
        <sz val="11"/>
        <rFont val="Times New Roman"/>
        <family val="1"/>
      </rPr>
      <t>6.1.2.8</t>
    </r>
  </si>
  <si>
    <r>
      <rPr>
        <sz val="11"/>
        <rFont val="Times New Roman"/>
        <family val="1"/>
      </rPr>
      <t>6.1.2.9</t>
    </r>
  </si>
  <si>
    <r>
      <rPr>
        <sz val="11"/>
        <rFont val="Times New Roman"/>
        <family val="1"/>
      </rPr>
      <t>6.1.2.10</t>
    </r>
  </si>
  <si>
    <r>
      <rPr>
        <b/>
        <sz val="11"/>
        <rFont val="Times New Roman"/>
        <family val="1"/>
      </rPr>
      <t>6.1.3</t>
    </r>
  </si>
  <si>
    <r>
      <rPr>
        <sz val="11"/>
        <rFont val="Times New Roman"/>
        <family val="1"/>
      </rPr>
      <t>6.1.3.1</t>
    </r>
  </si>
  <si>
    <r>
      <rPr>
        <sz val="11"/>
        <rFont val="Times New Roman"/>
        <family val="1"/>
      </rPr>
      <t>6.1.3.2</t>
    </r>
  </si>
  <si>
    <r>
      <rPr>
        <b/>
        <sz val="11"/>
        <rFont val="Times New Roman"/>
        <family val="1"/>
      </rPr>
      <t>6.1.4</t>
    </r>
  </si>
  <si>
    <r>
      <rPr>
        <sz val="11"/>
        <rFont val="Times New Roman"/>
        <family val="1"/>
      </rPr>
      <t>6.1.4.1</t>
    </r>
  </si>
  <si>
    <r>
      <rPr>
        <sz val="11"/>
        <rFont val="Times New Roman"/>
        <family val="1"/>
      </rPr>
      <t>6.1.4.2</t>
    </r>
  </si>
  <si>
    <r>
      <rPr>
        <sz val="11"/>
        <rFont val="Times New Roman"/>
        <family val="1"/>
      </rPr>
      <t>6.1.4.3</t>
    </r>
  </si>
  <si>
    <r>
      <rPr>
        <sz val="11"/>
        <rFont val="Times New Roman"/>
        <family val="1"/>
      </rPr>
      <t>6.1.4.4</t>
    </r>
  </si>
  <si>
    <r>
      <rPr>
        <b/>
        <sz val="11"/>
        <rFont val="Times New Roman"/>
        <family val="1"/>
      </rPr>
      <t>6.1.5</t>
    </r>
  </si>
  <si>
    <r>
      <rPr>
        <sz val="11"/>
        <rFont val="Times New Roman"/>
        <family val="1"/>
      </rPr>
      <t>6.1.5.1</t>
    </r>
  </si>
  <si>
    <r>
      <rPr>
        <sz val="11"/>
        <rFont val="Times New Roman"/>
        <family val="1"/>
      </rPr>
      <t>6.1.5.2</t>
    </r>
  </si>
  <si>
    <r>
      <rPr>
        <sz val="11"/>
        <rFont val="Times New Roman"/>
        <family val="1"/>
      </rPr>
      <t>6.1.5.3</t>
    </r>
  </si>
  <si>
    <r>
      <rPr>
        <sz val="11"/>
        <rFont val="Times New Roman"/>
        <family val="1"/>
      </rPr>
      <t>6.1.5.4</t>
    </r>
  </si>
  <si>
    <r>
      <rPr>
        <sz val="11"/>
        <rFont val="Times New Roman"/>
        <family val="1"/>
      </rPr>
      <t>6.1.5.5</t>
    </r>
  </si>
  <si>
    <r>
      <rPr>
        <sz val="11"/>
        <rFont val="Times New Roman"/>
        <family val="1"/>
      </rPr>
      <t>6.1.5.6</t>
    </r>
  </si>
  <si>
    <r>
      <rPr>
        <sz val="11"/>
        <rFont val="Times New Roman"/>
        <family val="1"/>
      </rPr>
      <t>6.1.5.7</t>
    </r>
  </si>
  <si>
    <r>
      <rPr>
        <sz val="11"/>
        <rFont val="Times New Roman"/>
        <family val="1"/>
      </rPr>
      <t>6.1.5.8</t>
    </r>
  </si>
  <si>
    <r>
      <rPr>
        <sz val="11"/>
        <rFont val="Times New Roman"/>
        <family val="1"/>
      </rPr>
      <t>6.1.5.9</t>
    </r>
  </si>
  <si>
    <r>
      <rPr>
        <sz val="11"/>
        <rFont val="Times New Roman"/>
        <family val="1"/>
      </rPr>
      <t>6.1.5.10</t>
    </r>
  </si>
  <si>
    <r>
      <rPr>
        <b/>
        <sz val="11"/>
        <rFont val="Times New Roman"/>
        <family val="1"/>
      </rPr>
      <t>6.2</t>
    </r>
  </si>
  <si>
    <r>
      <rPr>
        <b/>
        <sz val="11"/>
        <rFont val="Times New Roman"/>
        <family val="1"/>
      </rPr>
      <t>6.2.1</t>
    </r>
  </si>
  <si>
    <r>
      <rPr>
        <sz val="11"/>
        <rFont val="Times New Roman"/>
        <family val="1"/>
      </rPr>
      <t>6.2.1.1</t>
    </r>
  </si>
  <si>
    <r>
      <rPr>
        <b/>
        <sz val="11"/>
        <rFont val="Times New Roman"/>
        <family val="1"/>
      </rPr>
      <t>7</t>
    </r>
  </si>
  <si>
    <r>
      <rPr>
        <sz val="11"/>
        <rFont val="Times New Roman"/>
        <family val="1"/>
      </rPr>
      <t>7.1</t>
    </r>
  </si>
  <si>
    <r>
      <rPr>
        <sz val="11"/>
        <rFont val="Times New Roman"/>
        <family val="1"/>
      </rPr>
      <t>7.2</t>
    </r>
  </si>
  <si>
    <r>
      <rPr>
        <b/>
        <sz val="11"/>
        <rFont val="Times New Roman"/>
        <family val="1"/>
      </rPr>
      <t>8</t>
    </r>
  </si>
  <si>
    <r>
      <rPr>
        <b/>
        <sz val="11"/>
        <rFont val="Times New Roman"/>
        <family val="1"/>
      </rPr>
      <t>8.1</t>
    </r>
  </si>
  <si>
    <r>
      <rPr>
        <sz val="11"/>
        <rFont val="Times New Roman"/>
        <family val="1"/>
      </rPr>
      <t>8.1.1</t>
    </r>
  </si>
  <si>
    <r>
      <rPr>
        <sz val="11"/>
        <rFont val="Times New Roman"/>
        <family val="1"/>
      </rPr>
      <t>8.1.2</t>
    </r>
  </si>
  <si>
    <r>
      <rPr>
        <sz val="11"/>
        <rFont val="Times New Roman"/>
        <family val="1"/>
      </rPr>
      <t>8.1.3</t>
    </r>
  </si>
  <si>
    <r>
      <rPr>
        <sz val="11"/>
        <rFont val="Times New Roman"/>
        <family val="1"/>
      </rPr>
      <t>8.1.4</t>
    </r>
  </si>
  <si>
    <r>
      <rPr>
        <sz val="11"/>
        <rFont val="Times New Roman"/>
        <family val="1"/>
      </rPr>
      <t>8.1.5</t>
    </r>
  </si>
  <si>
    <r>
      <rPr>
        <sz val="11"/>
        <rFont val="Times New Roman"/>
        <family val="1"/>
      </rPr>
      <t>8.1.6</t>
    </r>
  </si>
  <si>
    <r>
      <rPr>
        <sz val="11"/>
        <rFont val="Times New Roman"/>
        <family val="1"/>
      </rPr>
      <t>8.1.7</t>
    </r>
  </si>
  <si>
    <r>
      <rPr>
        <b/>
        <sz val="11"/>
        <rFont val="Times New Roman"/>
        <family val="1"/>
      </rPr>
      <t>8.2</t>
    </r>
  </si>
  <si>
    <r>
      <rPr>
        <sz val="11"/>
        <rFont val="Times New Roman"/>
        <family val="1"/>
      </rPr>
      <t>8.2.1</t>
    </r>
  </si>
  <si>
    <r>
      <rPr>
        <b/>
        <sz val="11"/>
        <rFont val="Times New Roman"/>
        <family val="1"/>
      </rPr>
      <t>9</t>
    </r>
  </si>
  <si>
    <r>
      <rPr>
        <sz val="11"/>
        <rFont val="Times New Roman"/>
        <family val="1"/>
      </rPr>
      <t>9.1</t>
    </r>
  </si>
  <si>
    <r>
      <rPr>
        <sz val="11"/>
        <rFont val="Times New Roman"/>
        <family val="1"/>
      </rPr>
      <t>9.2</t>
    </r>
  </si>
  <si>
    <r>
      <rPr>
        <b/>
        <sz val="11"/>
        <rFont val="Times New Roman"/>
        <family val="1"/>
      </rPr>
      <t>10</t>
    </r>
  </si>
  <si>
    <r>
      <rPr>
        <sz val="11"/>
        <rFont val="Times New Roman"/>
        <family val="1"/>
      </rPr>
      <t>10.1</t>
    </r>
  </si>
  <si>
    <r>
      <rPr>
        <b/>
        <sz val="11"/>
        <rFont val="Times New Roman"/>
        <family val="1"/>
      </rPr>
      <t>11</t>
    </r>
  </si>
  <si>
    <r>
      <rPr>
        <sz val="11"/>
        <rFont val="Times New Roman"/>
        <family val="1"/>
      </rPr>
      <t>11.1</t>
    </r>
  </si>
  <si>
    <r>
      <rPr>
        <sz val="11"/>
        <rFont val="Times New Roman"/>
        <family val="1"/>
      </rPr>
      <t>11.2</t>
    </r>
  </si>
  <si>
    <r>
      <rPr>
        <sz val="11"/>
        <rFont val="Times New Roman"/>
        <family val="1"/>
      </rPr>
      <t>11.3</t>
    </r>
  </si>
  <si>
    <r>
      <rPr>
        <sz val="11"/>
        <rFont val="Times New Roman"/>
        <family val="1"/>
      </rPr>
      <t>11.4</t>
    </r>
  </si>
  <si>
    <r>
      <rPr>
        <sz val="11"/>
        <rFont val="Times New Roman"/>
        <family val="1"/>
      </rPr>
      <t>11.5</t>
    </r>
  </si>
  <si>
    <r>
      <rPr>
        <sz val="11"/>
        <rFont val="Times New Roman"/>
        <family val="1"/>
      </rPr>
      <t>11.6</t>
    </r>
  </si>
  <si>
    <r>
      <rPr>
        <b/>
        <sz val="11"/>
        <rFont val="Times New Roman"/>
        <family val="1"/>
      </rPr>
      <t>12</t>
    </r>
  </si>
  <si>
    <r>
      <rPr>
        <sz val="11"/>
        <rFont val="Times New Roman"/>
        <family val="1"/>
      </rPr>
      <t>12.1</t>
    </r>
  </si>
  <si>
    <r>
      <rPr>
        <sz val="11"/>
        <rFont val="Times New Roman"/>
        <family val="1"/>
      </rPr>
      <t>12.2</t>
    </r>
  </si>
  <si>
    <r>
      <rPr>
        <b/>
        <sz val="11"/>
        <rFont val="Times New Roman"/>
        <family val="1"/>
      </rPr>
      <t>13</t>
    </r>
  </si>
  <si>
    <r>
      <rPr>
        <sz val="11"/>
        <rFont val="Times New Roman"/>
        <family val="1"/>
      </rPr>
      <t>13.1</t>
    </r>
  </si>
  <si>
    <r>
      <rPr>
        <sz val="11"/>
        <rFont val="Times New Roman"/>
        <family val="1"/>
      </rPr>
      <t>13.2</t>
    </r>
  </si>
  <si>
    <r>
      <rPr>
        <sz val="11"/>
        <rFont val="Times New Roman"/>
        <family val="1"/>
      </rPr>
      <t>13.3</t>
    </r>
  </si>
  <si>
    <r>
      <rPr>
        <sz val="11"/>
        <rFont val="Times New Roman"/>
        <family val="1"/>
      </rPr>
      <t>13.4</t>
    </r>
  </si>
  <si>
    <r>
      <rPr>
        <sz val="11"/>
        <rFont val="Times New Roman"/>
        <family val="1"/>
      </rPr>
      <t>13.5</t>
    </r>
  </si>
  <si>
    <r>
      <rPr>
        <sz val="11"/>
        <rFont val="Times New Roman"/>
        <family val="1"/>
      </rPr>
      <t>13.6</t>
    </r>
  </si>
  <si>
    <r>
      <rPr>
        <sz val="11"/>
        <rFont val="Times New Roman"/>
        <family val="1"/>
      </rPr>
      <t>13.7</t>
    </r>
  </si>
  <si>
    <r>
      <rPr>
        <sz val="11"/>
        <rFont val="Times New Roman"/>
        <family val="1"/>
      </rPr>
      <t>13.8</t>
    </r>
  </si>
  <si>
    <r>
      <rPr>
        <sz val="11"/>
        <rFont val="Times New Roman"/>
        <family val="1"/>
      </rPr>
      <t>13.10</t>
    </r>
  </si>
  <si>
    <r>
      <rPr>
        <b/>
        <sz val="11"/>
        <rFont val="Times New Roman"/>
        <family val="1"/>
      </rPr>
      <t>14</t>
    </r>
  </si>
  <si>
    <r>
      <rPr>
        <sz val="11"/>
        <rFont val="Times New Roman"/>
        <family val="1"/>
      </rPr>
      <t>14.1</t>
    </r>
  </si>
  <si>
    <r>
      <rPr>
        <sz val="11"/>
        <rFont val="Times New Roman"/>
        <family val="1"/>
      </rPr>
      <t>14.2</t>
    </r>
  </si>
  <si>
    <r>
      <rPr>
        <sz val="11"/>
        <rFont val="Times New Roman"/>
        <family val="1"/>
      </rPr>
      <t>14.3</t>
    </r>
  </si>
  <si>
    <r>
      <rPr>
        <sz val="11"/>
        <rFont val="Times New Roman"/>
        <family val="1"/>
      </rPr>
      <t>14.4</t>
    </r>
  </si>
  <si>
    <r>
      <rPr>
        <sz val="11"/>
        <rFont val="Times New Roman"/>
        <family val="1"/>
      </rPr>
      <t>14.5</t>
    </r>
  </si>
  <si>
    <r>
      <rPr>
        <b/>
        <sz val="11"/>
        <rFont val="Times New Roman"/>
        <family val="1"/>
      </rPr>
      <t>15</t>
    </r>
  </si>
  <si>
    <r>
      <rPr>
        <sz val="11"/>
        <rFont val="Times New Roman"/>
        <family val="1"/>
      </rPr>
      <t>15.1</t>
    </r>
  </si>
  <si>
    <r>
      <rPr>
        <sz val="11"/>
        <rFont val="Times New Roman"/>
        <family val="1"/>
      </rPr>
      <t>15.2</t>
    </r>
  </si>
  <si>
    <r>
      <rPr>
        <sz val="11"/>
        <rFont val="Times New Roman"/>
        <family val="1"/>
      </rPr>
      <t>15.3</t>
    </r>
  </si>
  <si>
    <r>
      <rPr>
        <sz val="11"/>
        <rFont val="Times New Roman"/>
        <family val="1"/>
      </rPr>
      <t>15.4</t>
    </r>
  </si>
  <si>
    <r>
      <rPr>
        <sz val="11"/>
        <rFont val="Times New Roman"/>
        <family val="1"/>
      </rPr>
      <t>15.5</t>
    </r>
  </si>
  <si>
    <r>
      <rPr>
        <b/>
        <sz val="11"/>
        <rFont val="Times New Roman"/>
        <family val="1"/>
      </rPr>
      <t>16</t>
    </r>
  </si>
  <si>
    <r>
      <rPr>
        <b/>
        <sz val="11"/>
        <rFont val="Times New Roman"/>
        <family val="1"/>
      </rPr>
      <t>16.1</t>
    </r>
  </si>
  <si>
    <r>
      <rPr>
        <b/>
        <sz val="11"/>
        <rFont val="Times New Roman"/>
        <family val="1"/>
      </rPr>
      <t>16.1.1</t>
    </r>
  </si>
  <si>
    <r>
      <rPr>
        <b/>
        <sz val="11"/>
        <rFont val="Times New Roman"/>
        <family val="1"/>
      </rPr>
      <t>16.1.1.1</t>
    </r>
  </si>
  <si>
    <r>
      <rPr>
        <sz val="11"/>
        <rFont val="Times New Roman"/>
        <family val="1"/>
      </rPr>
      <t>16.1.1.1.1</t>
    </r>
  </si>
  <si>
    <r>
      <rPr>
        <sz val="11"/>
        <rFont val="Times New Roman"/>
        <family val="1"/>
      </rPr>
      <t>16.1.1.1.2</t>
    </r>
  </si>
  <si>
    <r>
      <rPr>
        <sz val="11"/>
        <rFont val="Times New Roman"/>
        <family val="1"/>
      </rPr>
      <t>16.1.1.1.3</t>
    </r>
  </si>
  <si>
    <r>
      <rPr>
        <sz val="11"/>
        <rFont val="Times New Roman"/>
        <family val="1"/>
      </rPr>
      <t>16.1.1.1.4</t>
    </r>
  </si>
  <si>
    <r>
      <rPr>
        <sz val="11"/>
        <rFont val="Times New Roman"/>
        <family val="1"/>
      </rPr>
      <t>16.1.1.1.5</t>
    </r>
  </si>
  <si>
    <r>
      <rPr>
        <sz val="11"/>
        <rFont val="Times New Roman"/>
        <family val="1"/>
      </rPr>
      <t>16.1.1.1.6</t>
    </r>
  </si>
  <si>
    <r>
      <rPr>
        <sz val="11"/>
        <rFont val="Times New Roman"/>
        <family val="1"/>
      </rPr>
      <t>16.1.1.1.7</t>
    </r>
  </si>
  <si>
    <r>
      <rPr>
        <sz val="11"/>
        <rFont val="Times New Roman"/>
        <family val="1"/>
      </rPr>
      <t>16.1.1.1.8</t>
    </r>
  </si>
  <si>
    <r>
      <rPr>
        <sz val="11"/>
        <rFont val="Times New Roman"/>
        <family val="1"/>
      </rPr>
      <t>16.1.1.1.9</t>
    </r>
  </si>
  <si>
    <r>
      <rPr>
        <sz val="11"/>
        <rFont val="Times New Roman"/>
        <family val="1"/>
      </rPr>
      <t>16.1.1.1.10</t>
    </r>
  </si>
  <si>
    <r>
      <rPr>
        <sz val="11"/>
        <rFont val="Times New Roman"/>
        <family val="1"/>
      </rPr>
      <t>16.1.1.1.11</t>
    </r>
  </si>
  <si>
    <r>
      <rPr>
        <sz val="11"/>
        <rFont val="Times New Roman"/>
        <family val="1"/>
      </rPr>
      <t>16.1.1.1.12</t>
    </r>
  </si>
  <si>
    <r>
      <rPr>
        <sz val="11"/>
        <rFont val="Times New Roman"/>
        <family val="1"/>
      </rPr>
      <t>16.1.1.1.13</t>
    </r>
  </si>
  <si>
    <r>
      <rPr>
        <sz val="11"/>
        <rFont val="Times New Roman"/>
        <family val="1"/>
      </rPr>
      <t>16.1.1.1.14</t>
    </r>
  </si>
  <si>
    <r>
      <rPr>
        <sz val="11"/>
        <rFont val="Times New Roman"/>
        <family val="1"/>
      </rPr>
      <t>16.1.1.1.15</t>
    </r>
  </si>
  <si>
    <r>
      <rPr>
        <sz val="11"/>
        <rFont val="Times New Roman"/>
        <family val="1"/>
      </rPr>
      <t>16.1.1.1.16</t>
    </r>
  </si>
  <si>
    <r>
      <rPr>
        <sz val="11"/>
        <rFont val="Times New Roman"/>
        <family val="1"/>
      </rPr>
      <t>16.1.1.1.17</t>
    </r>
  </si>
  <si>
    <r>
      <rPr>
        <sz val="11"/>
        <rFont val="Times New Roman"/>
        <family val="1"/>
      </rPr>
      <t>16.1.1.1.18</t>
    </r>
  </si>
  <si>
    <r>
      <rPr>
        <sz val="11"/>
        <rFont val="Times New Roman"/>
        <family val="1"/>
      </rPr>
      <t>16.1.1.1.19</t>
    </r>
  </si>
  <si>
    <r>
      <rPr>
        <sz val="11"/>
        <rFont val="Times New Roman"/>
        <family val="1"/>
      </rPr>
      <t>16.1.1.1.20</t>
    </r>
  </si>
  <si>
    <r>
      <rPr>
        <sz val="11"/>
        <rFont val="Times New Roman"/>
        <family val="1"/>
      </rPr>
      <t>16.1.1.1.21</t>
    </r>
  </si>
  <si>
    <r>
      <rPr>
        <sz val="11"/>
        <rFont val="Times New Roman"/>
        <family val="1"/>
      </rPr>
      <t>16.1.1.1.22</t>
    </r>
  </si>
  <si>
    <r>
      <rPr>
        <sz val="11"/>
        <rFont val="Times New Roman"/>
        <family val="1"/>
      </rPr>
      <t>16.1.1.1.23</t>
    </r>
  </si>
  <si>
    <r>
      <rPr>
        <sz val="11"/>
        <rFont val="Times New Roman"/>
        <family val="1"/>
      </rPr>
      <t>16.1.1.1.24</t>
    </r>
  </si>
  <si>
    <r>
      <rPr>
        <sz val="11"/>
        <rFont val="Times New Roman"/>
        <family val="1"/>
      </rPr>
      <t>16.1.1.1.25</t>
    </r>
  </si>
  <si>
    <r>
      <rPr>
        <sz val="11"/>
        <rFont val="Times New Roman"/>
        <family val="1"/>
      </rPr>
      <t>16.1.1.1.26</t>
    </r>
  </si>
  <si>
    <r>
      <rPr>
        <sz val="11"/>
        <rFont val="Times New Roman"/>
        <family val="1"/>
      </rPr>
      <t>16.1.1.1.27</t>
    </r>
  </si>
  <si>
    <r>
      <rPr>
        <sz val="11"/>
        <rFont val="Times New Roman"/>
        <family val="1"/>
      </rPr>
      <t>16.1.1.1.28</t>
    </r>
  </si>
  <si>
    <r>
      <rPr>
        <sz val="11"/>
        <rFont val="Times New Roman"/>
        <family val="1"/>
      </rPr>
      <t>16.1.1.1.29</t>
    </r>
  </si>
  <si>
    <r>
      <rPr>
        <sz val="11"/>
        <rFont val="Times New Roman"/>
        <family val="1"/>
      </rPr>
      <t>16.1.1.1.30</t>
    </r>
  </si>
  <si>
    <r>
      <rPr>
        <sz val="11"/>
        <rFont val="Times New Roman"/>
        <family val="1"/>
      </rPr>
      <t>16.1.1.1.31</t>
    </r>
  </si>
  <si>
    <r>
      <rPr>
        <sz val="11"/>
        <rFont val="Times New Roman"/>
        <family val="1"/>
      </rPr>
      <t>16.1.1.1.32</t>
    </r>
  </si>
  <si>
    <r>
      <rPr>
        <sz val="11"/>
        <rFont val="Times New Roman"/>
        <family val="1"/>
      </rPr>
      <t>16.1.1.1.33</t>
    </r>
  </si>
  <si>
    <r>
      <rPr>
        <sz val="11"/>
        <rFont val="Times New Roman"/>
        <family val="1"/>
      </rPr>
      <t>16.1.1.1.34</t>
    </r>
  </si>
  <si>
    <r>
      <rPr>
        <b/>
        <sz val="11"/>
        <rFont val="Times New Roman"/>
        <family val="1"/>
      </rPr>
      <t>16.1.1.2</t>
    </r>
  </si>
  <si>
    <r>
      <rPr>
        <sz val="11"/>
        <rFont val="Times New Roman"/>
        <family val="1"/>
      </rPr>
      <t>16.1.1.2.1</t>
    </r>
  </si>
  <si>
    <r>
      <rPr>
        <sz val="11"/>
        <rFont val="Times New Roman"/>
        <family val="1"/>
      </rPr>
      <t>16.1.1.2.2</t>
    </r>
  </si>
  <si>
    <r>
      <rPr>
        <sz val="11"/>
        <rFont val="Times New Roman"/>
        <family val="1"/>
      </rPr>
      <t>16.1.1.2.3</t>
    </r>
  </si>
  <si>
    <r>
      <rPr>
        <sz val="11"/>
        <rFont val="Times New Roman"/>
        <family val="1"/>
      </rPr>
      <t>16.1.1.2.4</t>
    </r>
  </si>
  <si>
    <r>
      <rPr>
        <sz val="11"/>
        <rFont val="Times New Roman"/>
        <family val="1"/>
      </rPr>
      <t>16.1.1.2.5</t>
    </r>
  </si>
  <si>
    <r>
      <rPr>
        <sz val="11"/>
        <rFont val="Times New Roman"/>
        <family val="1"/>
      </rPr>
      <t>16.1.1.2.6</t>
    </r>
  </si>
  <si>
    <r>
      <rPr>
        <sz val="11"/>
        <rFont val="Times New Roman"/>
        <family val="1"/>
      </rPr>
      <t>16.1.1.2.7</t>
    </r>
  </si>
  <si>
    <r>
      <rPr>
        <sz val="11"/>
        <rFont val="Times New Roman"/>
        <family val="1"/>
      </rPr>
      <t>16.1.1.2.8</t>
    </r>
  </si>
  <si>
    <r>
      <rPr>
        <sz val="11"/>
        <rFont val="Times New Roman"/>
        <family val="1"/>
      </rPr>
      <t>16.1.1.2.9</t>
    </r>
  </si>
  <si>
    <r>
      <rPr>
        <sz val="11"/>
        <rFont val="Times New Roman"/>
        <family val="1"/>
      </rPr>
      <t>16.1.1.2.10</t>
    </r>
  </si>
  <si>
    <r>
      <rPr>
        <sz val="11"/>
        <rFont val="Times New Roman"/>
        <family val="1"/>
      </rPr>
      <t>16.1.1.2.11</t>
    </r>
  </si>
  <si>
    <r>
      <rPr>
        <sz val="11"/>
        <rFont val="Times New Roman"/>
        <family val="1"/>
      </rPr>
      <t>16.1.1.2.12</t>
    </r>
  </si>
  <si>
    <r>
      <rPr>
        <sz val="11"/>
        <rFont val="Times New Roman"/>
        <family val="1"/>
      </rPr>
      <t>16.1.1.2.13</t>
    </r>
  </si>
  <si>
    <r>
      <rPr>
        <b/>
        <sz val="11"/>
        <rFont val="Times New Roman"/>
        <family val="1"/>
      </rPr>
      <t>16.1.1.3</t>
    </r>
  </si>
  <si>
    <r>
      <rPr>
        <sz val="11"/>
        <rFont val="Times New Roman"/>
        <family val="1"/>
      </rPr>
      <t>16.1.1.3.1</t>
    </r>
  </si>
  <si>
    <r>
      <rPr>
        <b/>
        <sz val="11"/>
        <rFont val="Times New Roman"/>
        <family val="1"/>
      </rPr>
      <t>16.1.1.4</t>
    </r>
  </si>
  <si>
    <r>
      <rPr>
        <sz val="11"/>
        <rFont val="Times New Roman"/>
        <family val="1"/>
      </rPr>
      <t>16.1.1.4.1</t>
    </r>
  </si>
  <si>
    <r>
      <rPr>
        <sz val="11"/>
        <rFont val="Times New Roman"/>
        <family val="1"/>
      </rPr>
      <t>16.1.1.4.2</t>
    </r>
  </si>
  <si>
    <r>
      <rPr>
        <sz val="11"/>
        <rFont val="Times New Roman"/>
        <family val="1"/>
      </rPr>
      <t>16.1.1.4.3</t>
    </r>
  </si>
  <si>
    <r>
      <rPr>
        <sz val="11"/>
        <rFont val="Times New Roman"/>
        <family val="1"/>
      </rPr>
      <t>16.1.1.4.4</t>
    </r>
  </si>
  <si>
    <r>
      <rPr>
        <sz val="11"/>
        <rFont val="Times New Roman"/>
        <family val="1"/>
      </rPr>
      <t>16.1.1.4.5</t>
    </r>
  </si>
  <si>
    <r>
      <rPr>
        <sz val="11"/>
        <rFont val="Times New Roman"/>
        <family val="1"/>
      </rPr>
      <t>16.1.1.4.6</t>
    </r>
  </si>
  <si>
    <r>
      <rPr>
        <b/>
        <sz val="11"/>
        <rFont val="Times New Roman"/>
        <family val="1"/>
      </rPr>
      <t>16.1.1.5</t>
    </r>
  </si>
  <si>
    <r>
      <rPr>
        <sz val="11"/>
        <rFont val="Times New Roman"/>
        <family val="1"/>
      </rPr>
      <t>16.1.1.5.1</t>
    </r>
  </si>
  <si>
    <r>
      <rPr>
        <sz val="11"/>
        <rFont val="Times New Roman"/>
        <family val="1"/>
      </rPr>
      <t>16.1.1.5.2</t>
    </r>
  </si>
  <si>
    <r>
      <rPr>
        <b/>
        <sz val="11"/>
        <rFont val="Times New Roman"/>
        <family val="1"/>
      </rPr>
      <t>16.1.2</t>
    </r>
  </si>
  <si>
    <r>
      <rPr>
        <b/>
        <sz val="11"/>
        <rFont val="Times New Roman"/>
        <family val="1"/>
      </rPr>
      <t>16.1.2.1</t>
    </r>
  </si>
  <si>
    <r>
      <rPr>
        <sz val="11"/>
        <rFont val="Times New Roman"/>
        <family val="1"/>
      </rPr>
      <t>16.1.2.1.1</t>
    </r>
  </si>
  <si>
    <r>
      <rPr>
        <sz val="11"/>
        <rFont val="Times New Roman"/>
        <family val="1"/>
      </rPr>
      <t>16.1.2.1.2</t>
    </r>
  </si>
  <si>
    <r>
      <rPr>
        <sz val="11"/>
        <rFont val="Times New Roman"/>
        <family val="1"/>
      </rPr>
      <t>16.1.2.1.3</t>
    </r>
  </si>
  <si>
    <r>
      <rPr>
        <sz val="11"/>
        <rFont val="Times New Roman"/>
        <family val="1"/>
      </rPr>
      <t>16.1.2.1.4</t>
    </r>
  </si>
  <si>
    <r>
      <rPr>
        <sz val="11"/>
        <rFont val="Times New Roman"/>
        <family val="1"/>
      </rPr>
      <t>16.1.2.1.5</t>
    </r>
  </si>
  <si>
    <r>
      <rPr>
        <sz val="11"/>
        <rFont val="Times New Roman"/>
        <family val="1"/>
      </rPr>
      <t>16.1.2.1.6</t>
    </r>
  </si>
  <si>
    <r>
      <rPr>
        <sz val="11"/>
        <rFont val="Times New Roman"/>
        <family val="1"/>
      </rPr>
      <t>16.1.2.1.7</t>
    </r>
  </si>
  <si>
    <r>
      <rPr>
        <sz val="11"/>
        <rFont val="Times New Roman"/>
        <family val="1"/>
      </rPr>
      <t>16.1.2.1.8</t>
    </r>
  </si>
  <si>
    <r>
      <rPr>
        <sz val="11"/>
        <rFont val="Times New Roman"/>
        <family val="1"/>
      </rPr>
      <t>16.1.2.1.9</t>
    </r>
  </si>
  <si>
    <r>
      <rPr>
        <sz val="11"/>
        <rFont val="Times New Roman"/>
        <family val="1"/>
      </rPr>
      <t>16.1.2.1.10</t>
    </r>
  </si>
  <si>
    <r>
      <rPr>
        <sz val="11"/>
        <rFont val="Times New Roman"/>
        <family val="1"/>
      </rPr>
      <t>16.1.2.1.11</t>
    </r>
  </si>
  <si>
    <r>
      <rPr>
        <sz val="11"/>
        <rFont val="Times New Roman"/>
        <family val="1"/>
      </rPr>
      <t>16.1.2.1.12</t>
    </r>
  </si>
  <si>
    <r>
      <rPr>
        <sz val="11"/>
        <rFont val="Times New Roman"/>
        <family val="1"/>
      </rPr>
      <t>16.1.2.1.13</t>
    </r>
  </si>
  <si>
    <r>
      <rPr>
        <sz val="11"/>
        <rFont val="Times New Roman"/>
        <family val="1"/>
      </rPr>
      <t>16.1.2.1.14</t>
    </r>
  </si>
  <si>
    <r>
      <rPr>
        <sz val="11"/>
        <rFont val="Times New Roman"/>
        <family val="1"/>
      </rPr>
      <t>16.1.2.1.15</t>
    </r>
  </si>
  <si>
    <r>
      <rPr>
        <sz val="11"/>
        <rFont val="Times New Roman"/>
        <family val="1"/>
      </rPr>
      <t>16.1.2.1.16</t>
    </r>
  </si>
  <si>
    <r>
      <rPr>
        <sz val="11"/>
        <rFont val="Times New Roman"/>
        <family val="1"/>
      </rPr>
      <t>16.1.2.1.17</t>
    </r>
  </si>
  <si>
    <r>
      <rPr>
        <sz val="11"/>
        <rFont val="Times New Roman"/>
        <family val="1"/>
      </rPr>
      <t>16.1.2.1.18</t>
    </r>
  </si>
  <si>
    <r>
      <rPr>
        <sz val="11"/>
        <rFont val="Times New Roman"/>
        <family val="1"/>
      </rPr>
      <t>16.1.2.1.19</t>
    </r>
  </si>
  <si>
    <r>
      <rPr>
        <sz val="11"/>
        <rFont val="Times New Roman"/>
        <family val="1"/>
      </rPr>
      <t>16.1.2.1.20</t>
    </r>
  </si>
  <si>
    <r>
      <rPr>
        <b/>
        <sz val="11"/>
        <rFont val="Times New Roman"/>
        <family val="1"/>
      </rPr>
      <t>16.1.2.2</t>
    </r>
  </si>
  <si>
    <r>
      <rPr>
        <sz val="11"/>
        <rFont val="Times New Roman"/>
        <family val="1"/>
      </rPr>
      <t>16.1.2.2.1</t>
    </r>
  </si>
  <si>
    <r>
      <rPr>
        <sz val="11"/>
        <rFont val="Times New Roman"/>
        <family val="1"/>
      </rPr>
      <t>16.1.2.2.2</t>
    </r>
  </si>
  <si>
    <r>
      <rPr>
        <sz val="11"/>
        <rFont val="Times New Roman"/>
        <family val="1"/>
      </rPr>
      <t>16.1.2.2.3</t>
    </r>
  </si>
  <si>
    <r>
      <rPr>
        <sz val="11"/>
        <rFont val="Times New Roman"/>
        <family val="1"/>
      </rPr>
      <t>16.1.2.2.4</t>
    </r>
  </si>
  <si>
    <r>
      <rPr>
        <b/>
        <sz val="11"/>
        <rFont val="Times New Roman"/>
        <family val="1"/>
      </rPr>
      <t>16.1.3</t>
    </r>
  </si>
  <si>
    <r>
      <rPr>
        <b/>
        <sz val="11"/>
        <rFont val="Times New Roman"/>
        <family val="1"/>
      </rPr>
      <t>16.1.3.1</t>
    </r>
  </si>
  <si>
    <r>
      <rPr>
        <sz val="11"/>
        <rFont val="Times New Roman"/>
        <family val="1"/>
      </rPr>
      <t>16.1.3.1.1</t>
    </r>
  </si>
  <si>
    <r>
      <rPr>
        <sz val="11"/>
        <rFont val="Times New Roman"/>
        <family val="1"/>
      </rPr>
      <t>16.1.3.1.2</t>
    </r>
  </si>
  <si>
    <r>
      <rPr>
        <sz val="11"/>
        <rFont val="Times New Roman"/>
        <family val="1"/>
      </rPr>
      <t>16.1.3.1.3</t>
    </r>
  </si>
  <si>
    <r>
      <rPr>
        <sz val="11"/>
        <rFont val="Times New Roman"/>
        <family val="1"/>
      </rPr>
      <t>16.1.3.1.4</t>
    </r>
  </si>
  <si>
    <r>
      <rPr>
        <sz val="11"/>
        <rFont val="Times New Roman"/>
        <family val="1"/>
      </rPr>
      <t>16.1.3.1.5</t>
    </r>
  </si>
  <si>
    <r>
      <rPr>
        <sz val="11"/>
        <rFont val="Times New Roman"/>
        <family val="1"/>
      </rPr>
      <t>16.1.3.1.6</t>
    </r>
  </si>
  <si>
    <r>
      <rPr>
        <sz val="11"/>
        <rFont val="Times New Roman"/>
        <family val="1"/>
      </rPr>
      <t>16.1.3.1.7</t>
    </r>
  </si>
  <si>
    <r>
      <rPr>
        <sz val="11"/>
        <rFont val="Times New Roman"/>
        <family val="1"/>
      </rPr>
      <t>16.1.3.1.8</t>
    </r>
  </si>
  <si>
    <r>
      <rPr>
        <sz val="11"/>
        <rFont val="Times New Roman"/>
        <family val="1"/>
      </rPr>
      <t>16.1.3.1.9</t>
    </r>
  </si>
  <si>
    <r>
      <rPr>
        <sz val="11"/>
        <rFont val="Times New Roman"/>
        <family val="1"/>
      </rPr>
      <t>16.1.3.1.10</t>
    </r>
  </si>
  <si>
    <r>
      <rPr>
        <sz val="11"/>
        <rFont val="Times New Roman"/>
        <family val="1"/>
      </rPr>
      <t>16.1.3.1.11</t>
    </r>
  </si>
  <si>
    <r>
      <rPr>
        <sz val="11"/>
        <rFont val="Times New Roman"/>
        <family val="1"/>
      </rPr>
      <t>16.1.3.1.12</t>
    </r>
  </si>
  <si>
    <r>
      <rPr>
        <sz val="11"/>
        <rFont val="Times New Roman"/>
        <family val="1"/>
      </rPr>
      <t>16.1.3.1.13</t>
    </r>
  </si>
  <si>
    <r>
      <rPr>
        <sz val="11"/>
        <rFont val="Times New Roman"/>
        <family val="1"/>
      </rPr>
      <t>16.1.3.1.14</t>
    </r>
  </si>
  <si>
    <r>
      <rPr>
        <sz val="11"/>
        <rFont val="Times New Roman"/>
        <family val="1"/>
      </rPr>
      <t>16.1.3.1.15</t>
    </r>
  </si>
  <si>
    <r>
      <rPr>
        <sz val="11"/>
        <rFont val="Times New Roman"/>
        <family val="1"/>
      </rPr>
      <t>16.1.3.1.16</t>
    </r>
  </si>
  <si>
    <r>
      <rPr>
        <sz val="11"/>
        <rFont val="Times New Roman"/>
        <family val="1"/>
      </rPr>
      <t>16.1.3.1.17</t>
    </r>
  </si>
  <si>
    <r>
      <rPr>
        <sz val="11"/>
        <rFont val="Times New Roman"/>
        <family val="1"/>
      </rPr>
      <t>16.1.3.1.18</t>
    </r>
  </si>
  <si>
    <r>
      <rPr>
        <sz val="11"/>
        <rFont val="Times New Roman"/>
        <family val="1"/>
      </rPr>
      <t>16.1.3.1.19</t>
    </r>
  </si>
  <si>
    <r>
      <rPr>
        <sz val="11"/>
        <rFont val="Times New Roman"/>
        <family val="1"/>
      </rPr>
      <t>16.1.3.1.20</t>
    </r>
  </si>
  <si>
    <r>
      <rPr>
        <sz val="11"/>
        <rFont val="Times New Roman"/>
        <family val="1"/>
      </rPr>
      <t>16.1.3.1.21</t>
    </r>
  </si>
  <si>
    <r>
      <rPr>
        <sz val="11"/>
        <rFont val="Times New Roman"/>
        <family val="1"/>
      </rPr>
      <t>16.1.3.1.22</t>
    </r>
  </si>
  <si>
    <r>
      <rPr>
        <sz val="11"/>
        <rFont val="Times New Roman"/>
        <family val="1"/>
      </rPr>
      <t>16.1.3.1.23</t>
    </r>
  </si>
  <si>
    <r>
      <rPr>
        <sz val="11"/>
        <rFont val="Times New Roman"/>
        <family val="1"/>
      </rPr>
      <t>16.1.3.1.24</t>
    </r>
  </si>
  <si>
    <r>
      <rPr>
        <sz val="11"/>
        <rFont val="Times New Roman"/>
        <family val="1"/>
      </rPr>
      <t>16.1.3.1.25</t>
    </r>
  </si>
  <si>
    <r>
      <rPr>
        <sz val="11"/>
        <rFont val="Times New Roman"/>
        <family val="1"/>
      </rPr>
      <t>16.1.3.1.26</t>
    </r>
  </si>
  <si>
    <r>
      <rPr>
        <sz val="11"/>
        <rFont val="Times New Roman"/>
        <family val="1"/>
      </rPr>
      <t>16.1.3.1.27</t>
    </r>
  </si>
  <si>
    <r>
      <rPr>
        <sz val="11"/>
        <rFont val="Times New Roman"/>
        <family val="1"/>
      </rPr>
      <t>16.1.3.1.28</t>
    </r>
  </si>
  <si>
    <r>
      <rPr>
        <sz val="11"/>
        <rFont val="Times New Roman"/>
        <family val="1"/>
      </rPr>
      <t>16.1.3.1.29</t>
    </r>
  </si>
  <si>
    <r>
      <rPr>
        <sz val="11"/>
        <rFont val="Times New Roman"/>
        <family val="1"/>
      </rPr>
      <t>16.1.3.1.30</t>
    </r>
  </si>
  <si>
    <r>
      <rPr>
        <sz val="11"/>
        <rFont val="Times New Roman"/>
        <family val="1"/>
      </rPr>
      <t>16.1.3.1.31</t>
    </r>
  </si>
  <si>
    <r>
      <rPr>
        <sz val="11"/>
        <rFont val="Times New Roman"/>
        <family val="1"/>
      </rPr>
      <t>16.1.3.1.32</t>
    </r>
  </si>
  <si>
    <r>
      <rPr>
        <sz val="11"/>
        <rFont val="Times New Roman"/>
        <family val="1"/>
      </rPr>
      <t>16.1.3.1.33</t>
    </r>
  </si>
  <si>
    <r>
      <rPr>
        <b/>
        <sz val="11"/>
        <rFont val="Times New Roman"/>
        <family val="1"/>
      </rPr>
      <t>16.1.3.2</t>
    </r>
  </si>
  <si>
    <r>
      <rPr>
        <sz val="11"/>
        <rFont val="Times New Roman"/>
        <family val="1"/>
      </rPr>
      <t>16.1.3.2.1</t>
    </r>
  </si>
  <si>
    <r>
      <rPr>
        <sz val="11"/>
        <rFont val="Times New Roman"/>
        <family val="1"/>
      </rPr>
      <t>16.1.3.2.2</t>
    </r>
  </si>
  <si>
    <r>
      <rPr>
        <sz val="11"/>
        <rFont val="Times New Roman"/>
        <family val="1"/>
      </rPr>
      <t>16.1.3.2.3</t>
    </r>
  </si>
  <si>
    <r>
      <rPr>
        <b/>
        <sz val="11"/>
        <rFont val="Times New Roman"/>
        <family val="1"/>
      </rPr>
      <t>16.1.4</t>
    </r>
  </si>
  <si>
    <r>
      <rPr>
        <b/>
        <sz val="11"/>
        <rFont val="Times New Roman"/>
        <family val="1"/>
      </rPr>
      <t>16.1.4.1</t>
    </r>
  </si>
  <si>
    <r>
      <rPr>
        <sz val="11"/>
        <rFont val="Times New Roman"/>
        <family val="1"/>
      </rPr>
      <t>16.1.4.1.1</t>
    </r>
  </si>
  <si>
    <r>
      <rPr>
        <sz val="11"/>
        <rFont val="Times New Roman"/>
        <family val="1"/>
      </rPr>
      <t>16.1.4.1.2</t>
    </r>
  </si>
  <si>
    <r>
      <rPr>
        <sz val="11"/>
        <rFont val="Times New Roman"/>
        <family val="1"/>
      </rPr>
      <t>16.1.4.1.3</t>
    </r>
  </si>
  <si>
    <r>
      <rPr>
        <sz val="11"/>
        <rFont val="Times New Roman"/>
        <family val="1"/>
      </rPr>
      <t>16.1.4.1.4</t>
    </r>
  </si>
  <si>
    <r>
      <rPr>
        <sz val="11"/>
        <rFont val="Times New Roman"/>
        <family val="1"/>
      </rPr>
      <t>16.1.4.1.5</t>
    </r>
  </si>
  <si>
    <r>
      <rPr>
        <sz val="11"/>
        <rFont val="Times New Roman"/>
        <family val="1"/>
      </rPr>
      <t>16.1.4.1.6</t>
    </r>
  </si>
  <si>
    <r>
      <rPr>
        <sz val="11"/>
        <rFont val="Times New Roman"/>
        <family val="1"/>
      </rPr>
      <t>16.1.4.1.7</t>
    </r>
  </si>
  <si>
    <r>
      <rPr>
        <b/>
        <sz val="11"/>
        <rFont val="Times New Roman"/>
        <family val="1"/>
      </rPr>
      <t>16.1.5</t>
    </r>
  </si>
  <si>
    <r>
      <rPr>
        <sz val="11"/>
        <rFont val="Times New Roman"/>
        <family val="1"/>
      </rPr>
      <t>16.1.5.1</t>
    </r>
  </si>
  <si>
    <r>
      <rPr>
        <sz val="11"/>
        <rFont val="Times New Roman"/>
        <family val="1"/>
      </rPr>
      <t>16.1.5.2</t>
    </r>
  </si>
  <si>
    <r>
      <rPr>
        <sz val="11"/>
        <rFont val="Times New Roman"/>
        <family val="1"/>
      </rPr>
      <t>16.1.5.3</t>
    </r>
  </si>
  <si>
    <r>
      <rPr>
        <sz val="11"/>
        <rFont val="Times New Roman"/>
        <family val="1"/>
      </rPr>
      <t>16.1.5.4</t>
    </r>
  </si>
  <si>
    <r>
      <rPr>
        <b/>
        <sz val="11"/>
        <rFont val="Times New Roman"/>
        <family val="1"/>
      </rPr>
      <t>16.2</t>
    </r>
  </si>
  <si>
    <r>
      <rPr>
        <b/>
        <sz val="11"/>
        <rFont val="Times New Roman"/>
        <family val="1"/>
      </rPr>
      <t>16.2.1</t>
    </r>
  </si>
  <si>
    <r>
      <rPr>
        <b/>
        <sz val="11"/>
        <rFont val="Times New Roman"/>
        <family val="1"/>
      </rPr>
      <t>16.2.1.1</t>
    </r>
  </si>
  <si>
    <r>
      <rPr>
        <sz val="11"/>
        <rFont val="Times New Roman"/>
        <family val="1"/>
      </rPr>
      <t>16.2.1.1.1</t>
    </r>
  </si>
  <si>
    <r>
      <rPr>
        <sz val="11"/>
        <rFont val="Times New Roman"/>
        <family val="1"/>
      </rPr>
      <t>16.2.1.1.2</t>
    </r>
  </si>
  <si>
    <r>
      <rPr>
        <sz val="11"/>
        <rFont val="Times New Roman"/>
        <family val="1"/>
      </rPr>
      <t>16.2.1.1.3</t>
    </r>
  </si>
  <si>
    <r>
      <rPr>
        <sz val="11"/>
        <rFont val="Times New Roman"/>
        <family val="1"/>
      </rPr>
      <t>16.2.1.1.4</t>
    </r>
  </si>
  <si>
    <r>
      <rPr>
        <sz val="11"/>
        <rFont val="Times New Roman"/>
        <family val="1"/>
      </rPr>
      <t>16.2.1.1.5</t>
    </r>
  </si>
  <si>
    <r>
      <rPr>
        <sz val="11"/>
        <rFont val="Times New Roman"/>
        <family val="1"/>
      </rPr>
      <t>16.2.1.1.6</t>
    </r>
  </si>
  <si>
    <r>
      <rPr>
        <sz val="11"/>
        <rFont val="Times New Roman"/>
        <family val="1"/>
      </rPr>
      <t>16.2.1.1.7</t>
    </r>
  </si>
  <si>
    <r>
      <rPr>
        <sz val="11"/>
        <rFont val="Times New Roman"/>
        <family val="1"/>
      </rPr>
      <t>16.2.1.1.8</t>
    </r>
  </si>
  <si>
    <r>
      <rPr>
        <sz val="11"/>
        <rFont val="Times New Roman"/>
        <family val="1"/>
      </rPr>
      <t>16.2.1.1.9</t>
    </r>
  </si>
  <si>
    <r>
      <rPr>
        <sz val="11"/>
        <rFont val="Times New Roman"/>
        <family val="1"/>
      </rPr>
      <t>16.2.1.1.10</t>
    </r>
  </si>
  <si>
    <r>
      <rPr>
        <sz val="11"/>
        <rFont val="Times New Roman"/>
        <family val="1"/>
      </rPr>
      <t>16.2.1.1.11</t>
    </r>
  </si>
  <si>
    <r>
      <rPr>
        <sz val="11"/>
        <rFont val="Times New Roman"/>
        <family val="1"/>
      </rPr>
      <t>16.2.1.1.12</t>
    </r>
  </si>
  <si>
    <r>
      <rPr>
        <sz val="11"/>
        <rFont val="Times New Roman"/>
        <family val="1"/>
      </rPr>
      <t>16.2.1.1.13</t>
    </r>
  </si>
  <si>
    <r>
      <rPr>
        <sz val="11"/>
        <rFont val="Times New Roman"/>
        <family val="1"/>
      </rPr>
      <t>16.2.1.1.14</t>
    </r>
  </si>
  <si>
    <r>
      <rPr>
        <b/>
        <sz val="11"/>
        <rFont val="Times New Roman"/>
        <family val="1"/>
      </rPr>
      <t>16.2.1.2</t>
    </r>
  </si>
  <si>
    <r>
      <rPr>
        <sz val="11"/>
        <rFont val="Times New Roman"/>
        <family val="1"/>
      </rPr>
      <t>16.2.1.2.2</t>
    </r>
  </si>
  <si>
    <r>
      <rPr>
        <sz val="11"/>
        <rFont val="Times New Roman"/>
        <family val="1"/>
      </rPr>
      <t>16.2.1.2.3</t>
    </r>
  </si>
  <si>
    <r>
      <rPr>
        <b/>
        <sz val="11"/>
        <rFont val="Times New Roman"/>
        <family val="1"/>
      </rPr>
      <t>16.3</t>
    </r>
  </si>
  <si>
    <r>
      <rPr>
        <b/>
        <sz val="11"/>
        <rFont val="Times New Roman"/>
        <family val="1"/>
      </rPr>
      <t>16.3.1</t>
    </r>
  </si>
  <si>
    <r>
      <rPr>
        <b/>
        <sz val="11"/>
        <rFont val="Times New Roman"/>
        <family val="1"/>
      </rPr>
      <t>16.3.1.1</t>
    </r>
  </si>
  <si>
    <r>
      <rPr>
        <sz val="11"/>
        <rFont val="Times New Roman"/>
        <family val="1"/>
      </rPr>
      <t>16.3.1.1.1</t>
    </r>
  </si>
  <si>
    <r>
      <rPr>
        <sz val="11"/>
        <rFont val="Times New Roman"/>
        <family val="1"/>
      </rPr>
      <t>16.3.1.1.2</t>
    </r>
  </si>
  <si>
    <r>
      <rPr>
        <sz val="11"/>
        <rFont val="Times New Roman"/>
        <family val="1"/>
      </rPr>
      <t>16.3.1.1.3</t>
    </r>
  </si>
  <si>
    <r>
      <rPr>
        <sz val="11"/>
        <rFont val="Times New Roman"/>
        <family val="1"/>
      </rPr>
      <t>16.3.1.1.4</t>
    </r>
  </si>
  <si>
    <r>
      <rPr>
        <sz val="11"/>
        <rFont val="Times New Roman"/>
        <family val="1"/>
      </rPr>
      <t>16.3.1.1.5</t>
    </r>
  </si>
  <si>
    <r>
      <rPr>
        <sz val="11"/>
        <rFont val="Times New Roman"/>
        <family val="1"/>
      </rPr>
      <t>16.3.1.1.6</t>
    </r>
  </si>
  <si>
    <r>
      <rPr>
        <sz val="11"/>
        <rFont val="Times New Roman"/>
        <family val="1"/>
      </rPr>
      <t>16.3.1.1.7</t>
    </r>
  </si>
  <si>
    <r>
      <rPr>
        <sz val="11"/>
        <rFont val="Times New Roman"/>
        <family val="1"/>
      </rPr>
      <t>16.3.1.1.8</t>
    </r>
  </si>
  <si>
    <r>
      <rPr>
        <sz val="11"/>
        <rFont val="Times New Roman"/>
        <family val="1"/>
      </rPr>
      <t>16.3.1.1.9</t>
    </r>
  </si>
  <si>
    <r>
      <rPr>
        <b/>
        <sz val="11"/>
        <rFont val="Times New Roman"/>
        <family val="1"/>
      </rPr>
      <t>16.3.1.2</t>
    </r>
  </si>
  <si>
    <r>
      <rPr>
        <sz val="11"/>
        <rFont val="Times New Roman"/>
        <family val="1"/>
      </rPr>
      <t>16.3.1.2.1</t>
    </r>
  </si>
  <si>
    <r>
      <rPr>
        <sz val="11"/>
        <rFont val="Times New Roman"/>
        <family val="1"/>
      </rPr>
      <t>16.3.1.2.2</t>
    </r>
  </si>
  <si>
    <r>
      <rPr>
        <sz val="11"/>
        <rFont val="Times New Roman"/>
        <family val="1"/>
      </rPr>
      <t>16.3.1.2.3</t>
    </r>
  </si>
  <si>
    <r>
      <rPr>
        <sz val="11"/>
        <rFont val="Times New Roman"/>
        <family val="1"/>
      </rPr>
      <t>16.3.1.2.4</t>
    </r>
  </si>
  <si>
    <r>
      <rPr>
        <sz val="11"/>
        <rFont val="Times New Roman"/>
        <family val="1"/>
      </rPr>
      <t>16.3.1.2.5</t>
    </r>
  </si>
  <si>
    <r>
      <rPr>
        <sz val="11"/>
        <rFont val="Times New Roman"/>
        <family val="1"/>
      </rPr>
      <t>16.3.1.2.7</t>
    </r>
  </si>
  <si>
    <r>
      <rPr>
        <b/>
        <sz val="11"/>
        <rFont val="Times New Roman"/>
        <family val="1"/>
      </rPr>
      <t>16.3.1.3</t>
    </r>
  </si>
  <si>
    <r>
      <rPr>
        <sz val="11"/>
        <rFont val="Times New Roman"/>
        <family val="1"/>
      </rPr>
      <t>16.3.1.3.1</t>
    </r>
  </si>
  <si>
    <r>
      <rPr>
        <sz val="11"/>
        <rFont val="Times New Roman"/>
        <family val="1"/>
      </rPr>
      <t>16.3.1.3.2</t>
    </r>
  </si>
  <si>
    <r>
      <rPr>
        <sz val="11"/>
        <rFont val="Times New Roman"/>
        <family val="1"/>
      </rPr>
      <t>16.3.1.3.3</t>
    </r>
  </si>
  <si>
    <r>
      <rPr>
        <sz val="11"/>
        <rFont val="Times New Roman"/>
        <family val="1"/>
      </rPr>
      <t>16.3.1.3.4</t>
    </r>
  </si>
  <si>
    <r>
      <rPr>
        <sz val="11"/>
        <rFont val="Times New Roman"/>
        <family val="1"/>
      </rPr>
      <t>16.3.1.3.5</t>
    </r>
  </si>
  <si>
    <r>
      <rPr>
        <sz val="11"/>
        <rFont val="Times New Roman"/>
        <family val="1"/>
      </rPr>
      <t>16.3.1.3.6</t>
    </r>
  </si>
  <si>
    <r>
      <rPr>
        <sz val="11"/>
        <rFont val="Times New Roman"/>
        <family val="1"/>
      </rPr>
      <t>16.3.1.3.7</t>
    </r>
  </si>
  <si>
    <r>
      <rPr>
        <sz val="11"/>
        <rFont val="Times New Roman"/>
        <family val="1"/>
      </rPr>
      <t>16.3.1.3.8</t>
    </r>
  </si>
  <si>
    <r>
      <rPr>
        <sz val="11"/>
        <rFont val="Times New Roman"/>
        <family val="1"/>
      </rPr>
      <t>16.3.1.3.9</t>
    </r>
  </si>
  <si>
    <r>
      <rPr>
        <sz val="11"/>
        <rFont val="Times New Roman"/>
        <family val="1"/>
      </rPr>
      <t>16.3.1.3.10</t>
    </r>
  </si>
  <si>
    <r>
      <rPr>
        <b/>
        <sz val="11"/>
        <rFont val="Times New Roman"/>
        <family val="1"/>
      </rPr>
      <t>16.3.1.4</t>
    </r>
  </si>
  <si>
    <r>
      <rPr>
        <sz val="11"/>
        <rFont val="Times New Roman"/>
        <family val="1"/>
      </rPr>
      <t>16.3.1.4.1</t>
    </r>
  </si>
  <si>
    <r>
      <rPr>
        <sz val="11"/>
        <rFont val="Times New Roman"/>
        <family val="1"/>
      </rPr>
      <t>16.3.1.4.2</t>
    </r>
  </si>
  <si>
    <r>
      <rPr>
        <sz val="11"/>
        <rFont val="Times New Roman"/>
        <family val="1"/>
      </rPr>
      <t>16.3.1.4.3</t>
    </r>
  </si>
  <si>
    <r>
      <rPr>
        <sz val="11"/>
        <rFont val="Times New Roman"/>
        <family val="1"/>
      </rPr>
      <t>16.3.1.4.4</t>
    </r>
  </si>
  <si>
    <r>
      <rPr>
        <sz val="11"/>
        <rFont val="Times New Roman"/>
        <family val="1"/>
      </rPr>
      <t>16.3.1.4.5</t>
    </r>
  </si>
  <si>
    <r>
      <rPr>
        <sz val="11"/>
        <rFont val="Times New Roman"/>
        <family val="1"/>
      </rPr>
      <t>16.3.1.4.6</t>
    </r>
  </si>
  <si>
    <r>
      <rPr>
        <b/>
        <sz val="11"/>
        <rFont val="Times New Roman"/>
        <family val="1"/>
      </rPr>
      <t>16.3.2</t>
    </r>
  </si>
  <si>
    <r>
      <rPr>
        <b/>
        <sz val="11"/>
        <rFont val="Times New Roman"/>
        <family val="1"/>
      </rPr>
      <t>16.3.2.1</t>
    </r>
  </si>
  <si>
    <r>
      <rPr>
        <sz val="11"/>
        <rFont val="Times New Roman"/>
        <family val="1"/>
      </rPr>
      <t>16.3.2.1.1</t>
    </r>
  </si>
  <si>
    <r>
      <rPr>
        <sz val="11"/>
        <rFont val="Times New Roman"/>
        <family val="1"/>
      </rPr>
      <t>16.3.2.1.2</t>
    </r>
  </si>
  <si>
    <r>
      <rPr>
        <sz val="11"/>
        <rFont val="Times New Roman"/>
        <family val="1"/>
      </rPr>
      <t>16.3.2.1.3</t>
    </r>
  </si>
  <si>
    <r>
      <rPr>
        <b/>
        <sz val="11"/>
        <rFont val="Times New Roman"/>
        <family val="1"/>
      </rPr>
      <t>16.3.2.2</t>
    </r>
  </si>
  <si>
    <r>
      <rPr>
        <sz val="11"/>
        <rFont val="Times New Roman"/>
        <family val="1"/>
      </rPr>
      <t>16.3.2.2.1</t>
    </r>
  </si>
  <si>
    <r>
      <rPr>
        <sz val="11"/>
        <rFont val="Times New Roman"/>
        <family val="1"/>
      </rPr>
      <t>16.3.2.2.2</t>
    </r>
  </si>
  <si>
    <r>
      <rPr>
        <sz val="11"/>
        <rFont val="Times New Roman"/>
        <family val="1"/>
      </rPr>
      <t>16.3.2.2.3</t>
    </r>
  </si>
  <si>
    <r>
      <rPr>
        <sz val="11"/>
        <rFont val="Times New Roman"/>
        <family val="1"/>
      </rPr>
      <t>16.3.2.2.4</t>
    </r>
  </si>
  <si>
    <r>
      <rPr>
        <sz val="11"/>
        <rFont val="Times New Roman"/>
        <family val="1"/>
      </rPr>
      <t>16.3.2.2.5</t>
    </r>
  </si>
  <si>
    <r>
      <rPr>
        <sz val="11"/>
        <rFont val="Times New Roman"/>
        <family val="1"/>
      </rPr>
      <t>16.3.2.2.6</t>
    </r>
  </si>
  <si>
    <r>
      <rPr>
        <sz val="11"/>
        <rFont val="Times New Roman"/>
        <family val="1"/>
      </rPr>
      <t>16.3.2.2.7</t>
    </r>
  </si>
  <si>
    <r>
      <rPr>
        <sz val="11"/>
        <rFont val="Times New Roman"/>
        <family val="1"/>
      </rPr>
      <t>16.3.2.2.8</t>
    </r>
  </si>
  <si>
    <r>
      <rPr>
        <sz val="11"/>
        <rFont val="Times New Roman"/>
        <family val="1"/>
      </rPr>
      <t>16.3.2.2.9</t>
    </r>
  </si>
  <si>
    <r>
      <rPr>
        <sz val="11"/>
        <rFont val="Times New Roman"/>
        <family val="1"/>
      </rPr>
      <t>16.3.2.2.10</t>
    </r>
  </si>
  <si>
    <r>
      <rPr>
        <sz val="11"/>
        <rFont val="Times New Roman"/>
        <family val="1"/>
      </rPr>
      <t>16.3.2.2.11</t>
    </r>
  </si>
  <si>
    <r>
      <rPr>
        <sz val="11"/>
        <rFont val="Times New Roman"/>
        <family val="1"/>
      </rPr>
      <t>16.3.2.2.12</t>
    </r>
  </si>
  <si>
    <r>
      <rPr>
        <sz val="11"/>
        <rFont val="Times New Roman"/>
        <family val="1"/>
      </rPr>
      <t>16.3.2.2.13</t>
    </r>
  </si>
  <si>
    <r>
      <rPr>
        <sz val="11"/>
        <rFont val="Times New Roman"/>
        <family val="1"/>
      </rPr>
      <t>16.3.2.2.17</t>
    </r>
  </si>
  <si>
    <r>
      <rPr>
        <sz val="11"/>
        <rFont val="Times New Roman"/>
        <family val="1"/>
      </rPr>
      <t>16.3.2.2.18</t>
    </r>
  </si>
  <si>
    <r>
      <rPr>
        <sz val="11"/>
        <rFont val="Times New Roman"/>
        <family val="1"/>
      </rPr>
      <t>16.3.2.2.19</t>
    </r>
  </si>
  <si>
    <r>
      <rPr>
        <sz val="11"/>
        <rFont val="Times New Roman"/>
        <family val="1"/>
      </rPr>
      <t>16.3.2.2.20</t>
    </r>
  </si>
  <si>
    <r>
      <rPr>
        <sz val="11"/>
        <rFont val="Times New Roman"/>
        <family val="1"/>
      </rPr>
      <t>16.3.2.2.21</t>
    </r>
  </si>
  <si>
    <r>
      <rPr>
        <sz val="11"/>
        <rFont val="Times New Roman"/>
        <family val="1"/>
      </rPr>
      <t>16.3.2.2.22</t>
    </r>
  </si>
  <si>
    <r>
      <rPr>
        <sz val="11"/>
        <rFont val="Times New Roman"/>
        <family val="1"/>
      </rPr>
      <t>16.3.2.2.25</t>
    </r>
  </si>
  <si>
    <r>
      <rPr>
        <sz val="11"/>
        <rFont val="Times New Roman"/>
        <family val="1"/>
      </rPr>
      <t>16.3.2.2.26</t>
    </r>
  </si>
  <si>
    <r>
      <rPr>
        <sz val="11"/>
        <rFont val="Times New Roman"/>
        <family val="1"/>
      </rPr>
      <t>16.3.2.2.27</t>
    </r>
  </si>
  <si>
    <r>
      <rPr>
        <sz val="11"/>
        <rFont val="Times New Roman"/>
        <family val="1"/>
      </rPr>
      <t>16.3.2.2.28</t>
    </r>
  </si>
  <si>
    <r>
      <rPr>
        <sz val="11"/>
        <rFont val="Times New Roman"/>
        <family val="1"/>
      </rPr>
      <t>16.3.2.2.29</t>
    </r>
  </si>
  <si>
    <r>
      <rPr>
        <sz val="11"/>
        <rFont val="Times New Roman"/>
        <family val="1"/>
      </rPr>
      <t>16.3.2.2.30</t>
    </r>
  </si>
  <si>
    <r>
      <rPr>
        <sz val="11"/>
        <rFont val="Times New Roman"/>
        <family val="1"/>
      </rPr>
      <t>16.3.2.2.31</t>
    </r>
  </si>
  <si>
    <r>
      <rPr>
        <sz val="11"/>
        <rFont val="Times New Roman"/>
        <family val="1"/>
      </rPr>
      <t>16.3.2.2.32</t>
    </r>
  </si>
  <si>
    <r>
      <rPr>
        <sz val="11"/>
        <rFont val="Times New Roman"/>
        <family val="1"/>
      </rPr>
      <t>16.3.2.2.33</t>
    </r>
  </si>
  <si>
    <r>
      <rPr>
        <b/>
        <sz val="11"/>
        <rFont val="Times New Roman"/>
        <family val="1"/>
      </rPr>
      <t>16.3.2.3</t>
    </r>
  </si>
  <si>
    <r>
      <rPr>
        <sz val="11"/>
        <rFont val="Times New Roman"/>
        <family val="1"/>
      </rPr>
      <t>16.3.2.3.1</t>
    </r>
  </si>
  <si>
    <r>
      <rPr>
        <sz val="11"/>
        <rFont val="Times New Roman"/>
        <family val="1"/>
      </rPr>
      <t>16.3.2.3.2</t>
    </r>
  </si>
  <si>
    <r>
      <rPr>
        <sz val="11"/>
        <rFont val="Times New Roman"/>
        <family val="1"/>
      </rPr>
      <t>16.3.2.3.3</t>
    </r>
  </si>
  <si>
    <r>
      <rPr>
        <b/>
        <sz val="11"/>
        <rFont val="Times New Roman"/>
        <family val="1"/>
      </rPr>
      <t>16.3.2.4</t>
    </r>
  </si>
  <si>
    <r>
      <rPr>
        <sz val="11"/>
        <rFont val="Times New Roman"/>
        <family val="1"/>
      </rPr>
      <t>16.3.2.4.1</t>
    </r>
  </si>
  <si>
    <r>
      <rPr>
        <sz val="11"/>
        <rFont val="Times New Roman"/>
        <family val="1"/>
      </rPr>
      <t>16.3.2.4.2</t>
    </r>
  </si>
  <si>
    <r>
      <rPr>
        <b/>
        <sz val="11"/>
        <rFont val="Times New Roman"/>
        <family val="1"/>
      </rPr>
      <t>16.3.2.5</t>
    </r>
  </si>
  <si>
    <r>
      <rPr>
        <sz val="11"/>
        <rFont val="Times New Roman"/>
        <family val="1"/>
      </rPr>
      <t>16.3.2.5.1</t>
    </r>
  </si>
  <si>
    <r>
      <rPr>
        <b/>
        <sz val="11"/>
        <rFont val="Times New Roman"/>
        <family val="1"/>
      </rPr>
      <t>16.3.2.6</t>
    </r>
  </si>
  <si>
    <r>
      <rPr>
        <sz val="11"/>
        <rFont val="Times New Roman"/>
        <family val="1"/>
      </rPr>
      <t>16.3.2.6.1</t>
    </r>
  </si>
  <si>
    <r>
      <rPr>
        <sz val="11"/>
        <rFont val="Times New Roman"/>
        <family val="1"/>
      </rPr>
      <t>16.3.2.6.2</t>
    </r>
  </si>
  <si>
    <r>
      <rPr>
        <sz val="11"/>
        <rFont val="Times New Roman"/>
        <family val="1"/>
      </rPr>
      <t>16.3.2.6.3</t>
    </r>
  </si>
  <si>
    <r>
      <rPr>
        <sz val="11"/>
        <rFont val="Times New Roman"/>
        <family val="1"/>
      </rPr>
      <t>16.3.2.6.4</t>
    </r>
  </si>
  <si>
    <r>
      <rPr>
        <sz val="11"/>
        <rFont val="Times New Roman"/>
        <family val="1"/>
      </rPr>
      <t>16.3.2.6.5</t>
    </r>
  </si>
  <si>
    <r>
      <rPr>
        <b/>
        <sz val="11"/>
        <rFont val="Times New Roman"/>
        <family val="1"/>
      </rPr>
      <t>16.3.3</t>
    </r>
  </si>
  <si>
    <r>
      <rPr>
        <b/>
        <sz val="11"/>
        <rFont val="Times New Roman"/>
        <family val="1"/>
      </rPr>
      <t>16.3.3.1</t>
    </r>
  </si>
  <si>
    <r>
      <rPr>
        <sz val="11"/>
        <rFont val="Times New Roman"/>
        <family val="1"/>
      </rPr>
      <t>16.3.3.1.1</t>
    </r>
  </si>
  <si>
    <r>
      <rPr>
        <b/>
        <sz val="11"/>
        <rFont val="Times New Roman"/>
        <family val="1"/>
      </rPr>
      <t>16.3.3.2</t>
    </r>
  </si>
  <si>
    <r>
      <rPr>
        <sz val="11"/>
        <rFont val="Times New Roman"/>
        <family val="1"/>
      </rPr>
      <t>16.3.3.2.1</t>
    </r>
  </si>
  <si>
    <r>
      <rPr>
        <sz val="11"/>
        <rFont val="Times New Roman"/>
        <family val="1"/>
      </rPr>
      <t>16.3.3.2.2</t>
    </r>
  </si>
  <si>
    <r>
      <rPr>
        <sz val="11"/>
        <rFont val="Times New Roman"/>
        <family val="1"/>
      </rPr>
      <t>16.3.3.2.3</t>
    </r>
  </si>
  <si>
    <r>
      <rPr>
        <sz val="11"/>
        <rFont val="Times New Roman"/>
        <family val="1"/>
      </rPr>
      <t>16.3.3.2.4</t>
    </r>
  </si>
  <si>
    <r>
      <rPr>
        <sz val="11"/>
        <rFont val="Times New Roman"/>
        <family val="1"/>
      </rPr>
      <t>16.3.3.2.5</t>
    </r>
  </si>
  <si>
    <r>
      <rPr>
        <sz val="11"/>
        <rFont val="Times New Roman"/>
        <family val="1"/>
      </rPr>
      <t>16.3.3.2.6</t>
    </r>
  </si>
  <si>
    <r>
      <rPr>
        <sz val="11"/>
        <rFont val="Times New Roman"/>
        <family val="1"/>
      </rPr>
      <t>16.3.3.2.7</t>
    </r>
  </si>
  <si>
    <r>
      <rPr>
        <sz val="11"/>
        <rFont val="Times New Roman"/>
        <family val="1"/>
      </rPr>
      <t>16.3.3.2.8</t>
    </r>
  </si>
  <si>
    <r>
      <rPr>
        <b/>
        <sz val="11"/>
        <rFont val="Times New Roman"/>
        <family val="1"/>
      </rPr>
      <t>16.3.3.3</t>
    </r>
  </si>
  <si>
    <r>
      <rPr>
        <sz val="11"/>
        <rFont val="Times New Roman"/>
        <family val="1"/>
      </rPr>
      <t>16.3.3.3.1</t>
    </r>
  </si>
  <si>
    <r>
      <rPr>
        <sz val="11"/>
        <rFont val="Times New Roman"/>
        <family val="1"/>
      </rPr>
      <t>16.3.3.3.2</t>
    </r>
  </si>
  <si>
    <r>
      <rPr>
        <sz val="11"/>
        <rFont val="Times New Roman"/>
        <family val="1"/>
      </rPr>
      <t>16.3.3.3.3</t>
    </r>
  </si>
  <si>
    <r>
      <rPr>
        <sz val="11"/>
        <rFont val="Times New Roman"/>
        <family val="1"/>
      </rPr>
      <t>16.3.3.3.4</t>
    </r>
  </si>
  <si>
    <r>
      <rPr>
        <sz val="11"/>
        <rFont val="Times New Roman"/>
        <family val="1"/>
      </rPr>
      <t>16.3.3.3.5</t>
    </r>
  </si>
  <si>
    <r>
      <rPr>
        <sz val="11"/>
        <rFont val="Times New Roman"/>
        <family val="1"/>
      </rPr>
      <t>16.3.3.3.6</t>
    </r>
  </si>
  <si>
    <r>
      <rPr>
        <sz val="11"/>
        <rFont val="Times New Roman"/>
        <family val="1"/>
      </rPr>
      <t>16.3.3.3.7</t>
    </r>
  </si>
  <si>
    <r>
      <rPr>
        <b/>
        <sz val="11"/>
        <rFont val="Times New Roman"/>
        <family val="1"/>
      </rPr>
      <t>16.3.3.4</t>
    </r>
  </si>
  <si>
    <r>
      <rPr>
        <sz val="11"/>
        <rFont val="Times New Roman"/>
        <family val="1"/>
      </rPr>
      <t>16.3.3.4.1</t>
    </r>
  </si>
  <si>
    <r>
      <rPr>
        <b/>
        <sz val="11"/>
        <rFont val="Times New Roman"/>
        <family val="1"/>
      </rPr>
      <t>16.3.3.5</t>
    </r>
  </si>
  <si>
    <r>
      <rPr>
        <sz val="11"/>
        <rFont val="Times New Roman"/>
        <family val="1"/>
      </rPr>
      <t>16.3.3.5.1</t>
    </r>
  </si>
  <si>
    <r>
      <rPr>
        <b/>
        <sz val="11"/>
        <rFont val="Times New Roman"/>
        <family val="1"/>
      </rPr>
      <t>16.3.4</t>
    </r>
  </si>
  <si>
    <r>
      <rPr>
        <b/>
        <sz val="11"/>
        <rFont val="Times New Roman"/>
        <family val="1"/>
      </rPr>
      <t>16.3.4.1</t>
    </r>
  </si>
  <si>
    <r>
      <rPr>
        <sz val="11"/>
        <rFont val="Times New Roman"/>
        <family val="1"/>
      </rPr>
      <t>16.3.4.1.1</t>
    </r>
  </si>
  <si>
    <r>
      <rPr>
        <b/>
        <sz val="11"/>
        <rFont val="Times New Roman"/>
        <family val="1"/>
      </rPr>
      <t>16.3.5</t>
    </r>
  </si>
  <si>
    <r>
      <rPr>
        <b/>
        <sz val="11"/>
        <rFont val="Times New Roman"/>
        <family val="1"/>
      </rPr>
      <t>16.3.5.1</t>
    </r>
  </si>
  <si>
    <r>
      <rPr>
        <sz val="11"/>
        <rFont val="Times New Roman"/>
        <family val="1"/>
      </rPr>
      <t>16.3.5.1.1</t>
    </r>
  </si>
  <si>
    <r>
      <rPr>
        <sz val="11"/>
        <rFont val="Times New Roman"/>
        <family val="1"/>
      </rPr>
      <t>16.3.5.1.2</t>
    </r>
  </si>
  <si>
    <r>
      <rPr>
        <sz val="11"/>
        <rFont val="Times New Roman"/>
        <family val="1"/>
      </rPr>
      <t>16.3.5.1.3</t>
    </r>
  </si>
  <si>
    <r>
      <rPr>
        <sz val="11"/>
        <rFont val="Times New Roman"/>
        <family val="1"/>
      </rPr>
      <t>16.3.5.1.4</t>
    </r>
  </si>
  <si>
    <r>
      <rPr>
        <sz val="11"/>
        <rFont val="Times New Roman"/>
        <family val="1"/>
      </rPr>
      <t>16.3.5.1.5</t>
    </r>
  </si>
  <si>
    <r>
      <rPr>
        <sz val="11"/>
        <rFont val="Times New Roman"/>
        <family val="1"/>
      </rPr>
      <t>16.3.5.1.6</t>
    </r>
  </si>
  <si>
    <r>
      <rPr>
        <sz val="11"/>
        <rFont val="Times New Roman"/>
        <family val="1"/>
      </rPr>
      <t>16.3.5.1.7</t>
    </r>
  </si>
  <si>
    <r>
      <rPr>
        <sz val="11"/>
        <rFont val="Times New Roman"/>
        <family val="1"/>
      </rPr>
      <t>16.3.5.1.8</t>
    </r>
  </si>
  <si>
    <r>
      <rPr>
        <sz val="11"/>
        <rFont val="Times New Roman"/>
        <family val="1"/>
      </rPr>
      <t>16.3.5.1.9</t>
    </r>
  </si>
  <si>
    <r>
      <rPr>
        <sz val="11"/>
        <rFont val="Times New Roman"/>
        <family val="1"/>
      </rPr>
      <t>16.3.5.1.10</t>
    </r>
  </si>
  <si>
    <r>
      <rPr>
        <sz val="11"/>
        <rFont val="Times New Roman"/>
        <family val="1"/>
      </rPr>
      <t>16.3.5.1.11</t>
    </r>
  </si>
  <si>
    <r>
      <rPr>
        <sz val="11"/>
        <rFont val="Times New Roman"/>
        <family val="1"/>
      </rPr>
      <t>16.3.5.1.12</t>
    </r>
  </si>
  <si>
    <r>
      <rPr>
        <sz val="11"/>
        <rFont val="Times New Roman"/>
        <family val="1"/>
      </rPr>
      <t>16.3.5.1.13</t>
    </r>
  </si>
  <si>
    <r>
      <rPr>
        <sz val="11"/>
        <rFont val="Times New Roman"/>
        <family val="1"/>
      </rPr>
      <t>16.3.5.1.14</t>
    </r>
  </si>
  <si>
    <r>
      <rPr>
        <sz val="11"/>
        <rFont val="Times New Roman"/>
        <family val="1"/>
      </rPr>
      <t>16.3.5.1.15</t>
    </r>
  </si>
  <si>
    <r>
      <rPr>
        <sz val="11"/>
        <rFont val="Times New Roman"/>
        <family val="1"/>
      </rPr>
      <t>16.3.5.1.16</t>
    </r>
  </si>
  <si>
    <r>
      <rPr>
        <sz val="11"/>
        <rFont val="Times New Roman"/>
        <family val="1"/>
      </rPr>
      <t>16.3.5.1.17</t>
    </r>
  </si>
  <si>
    <r>
      <rPr>
        <sz val="11"/>
        <rFont val="Times New Roman"/>
        <family val="1"/>
      </rPr>
      <t>16.3.5.1.18</t>
    </r>
  </si>
  <si>
    <r>
      <rPr>
        <sz val="11"/>
        <rFont val="Times New Roman"/>
        <family val="1"/>
      </rPr>
      <t>16.3.5.1.19</t>
    </r>
  </si>
  <si>
    <r>
      <rPr>
        <b/>
        <sz val="11"/>
        <rFont val="Times New Roman"/>
        <family val="1"/>
      </rPr>
      <t>16.3.5.2</t>
    </r>
  </si>
  <si>
    <r>
      <rPr>
        <sz val="11"/>
        <rFont val="Times New Roman"/>
        <family val="1"/>
      </rPr>
      <t>16.3.5.2.1</t>
    </r>
  </si>
  <si>
    <r>
      <rPr>
        <sz val="11"/>
        <rFont val="Times New Roman"/>
        <family val="1"/>
      </rPr>
      <t>16.3.5.2.2</t>
    </r>
  </si>
  <si>
    <r>
      <rPr>
        <sz val="11"/>
        <rFont val="Times New Roman"/>
        <family val="1"/>
      </rPr>
      <t>16.3.5.2.3</t>
    </r>
  </si>
  <si>
    <r>
      <rPr>
        <sz val="11"/>
        <rFont val="Times New Roman"/>
        <family val="1"/>
      </rPr>
      <t>16.3.5.2.4</t>
    </r>
  </si>
  <si>
    <r>
      <rPr>
        <sz val="11"/>
        <rFont val="Times New Roman"/>
        <family val="1"/>
      </rPr>
      <t>16.3.5.2.5</t>
    </r>
  </si>
  <si>
    <r>
      <rPr>
        <b/>
        <sz val="11"/>
        <rFont val="Times New Roman"/>
        <family val="1"/>
      </rPr>
      <t>16.3.5.3</t>
    </r>
  </si>
  <si>
    <r>
      <rPr>
        <sz val="11"/>
        <rFont val="Times New Roman"/>
        <family val="1"/>
      </rPr>
      <t>16.3.5.3.1</t>
    </r>
  </si>
  <si>
    <r>
      <rPr>
        <sz val="11"/>
        <rFont val="Times New Roman"/>
        <family val="1"/>
      </rPr>
      <t>16.3.5.3.2</t>
    </r>
  </si>
  <si>
    <r>
      <rPr>
        <b/>
        <sz val="11"/>
        <rFont val="Times New Roman"/>
        <family val="1"/>
      </rPr>
      <t>16.3.5.4</t>
    </r>
  </si>
  <si>
    <r>
      <rPr>
        <sz val="11"/>
        <rFont val="Times New Roman"/>
        <family val="1"/>
      </rPr>
      <t>16.3.5.4.1</t>
    </r>
  </si>
  <si>
    <r>
      <rPr>
        <sz val="11"/>
        <rFont val="Times New Roman"/>
        <family val="1"/>
      </rPr>
      <t>16.3.5.4.2</t>
    </r>
  </si>
  <si>
    <r>
      <rPr>
        <b/>
        <sz val="11"/>
        <rFont val="Times New Roman"/>
        <family val="1"/>
      </rPr>
      <t>16.3.5.5</t>
    </r>
  </si>
  <si>
    <r>
      <rPr>
        <sz val="11"/>
        <rFont val="Times New Roman"/>
        <family val="1"/>
      </rPr>
      <t>16.3.5.5.1</t>
    </r>
  </si>
  <si>
    <r>
      <rPr>
        <sz val="11"/>
        <rFont val="Times New Roman"/>
        <family val="1"/>
      </rPr>
      <t>16.3.5.5.2</t>
    </r>
  </si>
  <si>
    <r>
      <rPr>
        <sz val="11"/>
        <rFont val="Times New Roman"/>
        <family val="1"/>
      </rPr>
      <t>16.3.5.5.3</t>
    </r>
  </si>
  <si>
    <r>
      <rPr>
        <b/>
        <sz val="11"/>
        <rFont val="Times New Roman"/>
        <family val="1"/>
      </rPr>
      <t>16.3.6</t>
    </r>
  </si>
  <si>
    <r>
      <rPr>
        <b/>
        <sz val="11"/>
        <rFont val="Times New Roman"/>
        <family val="1"/>
      </rPr>
      <t>16.3.6.1</t>
    </r>
  </si>
  <si>
    <r>
      <rPr>
        <sz val="11"/>
        <rFont val="Times New Roman"/>
        <family val="1"/>
      </rPr>
      <t>16.3.6.1.1</t>
    </r>
  </si>
  <si>
    <r>
      <rPr>
        <b/>
        <sz val="11"/>
        <rFont val="Times New Roman"/>
        <family val="1"/>
      </rPr>
      <t>16.3.6.2</t>
    </r>
  </si>
  <si>
    <r>
      <rPr>
        <sz val="11"/>
        <rFont val="Times New Roman"/>
        <family val="1"/>
      </rPr>
      <t>16.3.6.2.1</t>
    </r>
  </si>
  <si>
    <r>
      <rPr>
        <sz val="11"/>
        <rFont val="Times New Roman"/>
        <family val="1"/>
      </rPr>
      <t>16.3.6.2.2</t>
    </r>
  </si>
  <si>
    <r>
      <rPr>
        <sz val="11"/>
        <rFont val="Times New Roman"/>
        <family val="1"/>
      </rPr>
      <t>16.3.6.2.3</t>
    </r>
  </si>
  <si>
    <r>
      <rPr>
        <sz val="11"/>
        <rFont val="Times New Roman"/>
        <family val="1"/>
      </rPr>
      <t>16.3.6.2.4</t>
    </r>
  </si>
  <si>
    <r>
      <rPr>
        <sz val="11"/>
        <rFont val="Times New Roman"/>
        <family val="1"/>
      </rPr>
      <t>16.3.6.2.5</t>
    </r>
  </si>
  <si>
    <r>
      <rPr>
        <sz val="11"/>
        <rFont val="Times New Roman"/>
        <family val="1"/>
      </rPr>
      <t>16.3.6.2.6</t>
    </r>
  </si>
  <si>
    <r>
      <rPr>
        <sz val="11"/>
        <rFont val="Times New Roman"/>
        <family val="1"/>
      </rPr>
      <t>16.3.6.2.7</t>
    </r>
  </si>
  <si>
    <r>
      <rPr>
        <b/>
        <sz val="11"/>
        <rFont val="Times New Roman"/>
        <family val="1"/>
      </rPr>
      <t>16.3.6.3</t>
    </r>
  </si>
  <si>
    <r>
      <rPr>
        <sz val="11"/>
        <rFont val="Times New Roman"/>
        <family val="1"/>
      </rPr>
      <t>16.3.6.3.1</t>
    </r>
  </si>
  <si>
    <r>
      <rPr>
        <b/>
        <sz val="11"/>
        <rFont val="Times New Roman"/>
        <family val="1"/>
      </rPr>
      <t>16.3.6.4</t>
    </r>
  </si>
  <si>
    <r>
      <rPr>
        <sz val="11"/>
        <rFont val="Times New Roman"/>
        <family val="1"/>
      </rPr>
      <t>16.3.6.4.1</t>
    </r>
  </si>
  <si>
    <r>
      <rPr>
        <sz val="11"/>
        <rFont val="Times New Roman"/>
        <family val="1"/>
      </rPr>
      <t>16.3.6.4.2</t>
    </r>
  </si>
  <si>
    <r>
      <rPr>
        <sz val="11"/>
        <rFont val="Times New Roman"/>
        <family val="1"/>
      </rPr>
      <t>16.3.6.4.3</t>
    </r>
  </si>
  <si>
    <r>
      <rPr>
        <sz val="11"/>
        <rFont val="Times New Roman"/>
        <family val="1"/>
      </rPr>
      <t>16.3.6.4.4</t>
    </r>
  </si>
  <si>
    <r>
      <rPr>
        <sz val="11"/>
        <rFont val="Times New Roman"/>
        <family val="1"/>
      </rPr>
      <t>16.3.6.4.5</t>
    </r>
  </si>
  <si>
    <r>
      <rPr>
        <sz val="11"/>
        <rFont val="Times New Roman"/>
        <family val="1"/>
      </rPr>
      <t>16.3.6.4.6</t>
    </r>
  </si>
  <si>
    <r>
      <rPr>
        <b/>
        <sz val="11"/>
        <rFont val="Times New Roman"/>
        <family val="1"/>
      </rPr>
      <t>16.3.6.5</t>
    </r>
  </si>
  <si>
    <r>
      <rPr>
        <sz val="11"/>
        <rFont val="Times New Roman"/>
        <family val="1"/>
      </rPr>
      <t>16.3.6.5.1</t>
    </r>
  </si>
  <si>
    <r>
      <rPr>
        <sz val="11"/>
        <rFont val="Times New Roman"/>
        <family val="1"/>
      </rPr>
      <t>16.3.6.5.2</t>
    </r>
  </si>
  <si>
    <r>
      <rPr>
        <b/>
        <sz val="11"/>
        <rFont val="Times New Roman"/>
        <family val="1"/>
      </rPr>
      <t>16.3.7</t>
    </r>
  </si>
  <si>
    <r>
      <rPr>
        <b/>
        <sz val="11"/>
        <rFont val="Times New Roman"/>
        <family val="1"/>
      </rPr>
      <t>16.3.7.1</t>
    </r>
  </si>
  <si>
    <r>
      <rPr>
        <sz val="11"/>
        <rFont val="Times New Roman"/>
        <family val="1"/>
      </rPr>
      <t>16.3.7.1.1</t>
    </r>
  </si>
  <si>
    <r>
      <rPr>
        <sz val="11"/>
        <rFont val="Times New Roman"/>
        <family val="1"/>
      </rPr>
      <t>16.3.7.1.2</t>
    </r>
  </si>
  <si>
    <r>
      <rPr>
        <sz val="11"/>
        <rFont val="Times New Roman"/>
        <family val="1"/>
      </rPr>
      <t>16.3.7.1.3</t>
    </r>
  </si>
  <si>
    <r>
      <rPr>
        <sz val="11"/>
        <rFont val="Times New Roman"/>
        <family val="1"/>
      </rPr>
      <t>16.3.7.1.4</t>
    </r>
  </si>
  <si>
    <r>
      <rPr>
        <b/>
        <sz val="11"/>
        <rFont val="Times New Roman"/>
        <family val="1"/>
      </rPr>
      <t>16.3.7.2</t>
    </r>
  </si>
  <si>
    <r>
      <rPr>
        <sz val="11"/>
        <rFont val="Times New Roman"/>
        <family val="1"/>
      </rPr>
      <t>16.3.7.2.1</t>
    </r>
  </si>
  <si>
    <r>
      <rPr>
        <sz val="11"/>
        <rFont val="Times New Roman"/>
        <family val="1"/>
      </rPr>
      <t>16.3.7.2.2</t>
    </r>
  </si>
  <si>
    <r>
      <rPr>
        <sz val="11"/>
        <rFont val="Times New Roman"/>
        <family val="1"/>
      </rPr>
      <t>16.3.7.2.3</t>
    </r>
  </si>
  <si>
    <r>
      <rPr>
        <sz val="11"/>
        <rFont val="Times New Roman"/>
        <family val="1"/>
      </rPr>
      <t>16.3.7.2.4</t>
    </r>
  </si>
  <si>
    <r>
      <rPr>
        <sz val="11"/>
        <rFont val="Times New Roman"/>
        <family val="1"/>
      </rPr>
      <t>16.3.7.2.5</t>
    </r>
  </si>
  <si>
    <r>
      <rPr>
        <sz val="11"/>
        <rFont val="Times New Roman"/>
        <family val="1"/>
      </rPr>
      <t>16.3.7.2.6</t>
    </r>
  </si>
  <si>
    <r>
      <rPr>
        <sz val="11"/>
        <rFont val="Times New Roman"/>
        <family val="1"/>
      </rPr>
      <t>16.3.7.2.7</t>
    </r>
  </si>
  <si>
    <r>
      <rPr>
        <sz val="11"/>
        <rFont val="Times New Roman"/>
        <family val="1"/>
      </rPr>
      <t>16.3.7.2.8</t>
    </r>
  </si>
  <si>
    <r>
      <rPr>
        <sz val="11"/>
        <rFont val="Times New Roman"/>
        <family val="1"/>
      </rPr>
      <t>16.3.7.2.9</t>
    </r>
  </si>
  <si>
    <r>
      <rPr>
        <sz val="11"/>
        <rFont val="Times New Roman"/>
        <family val="1"/>
      </rPr>
      <t>16.3.7.2.10</t>
    </r>
  </si>
  <si>
    <r>
      <rPr>
        <sz val="11"/>
        <rFont val="Times New Roman"/>
        <family val="1"/>
      </rPr>
      <t>16.3.7.2.11</t>
    </r>
  </si>
  <si>
    <r>
      <rPr>
        <sz val="11"/>
        <rFont val="Times New Roman"/>
        <family val="1"/>
      </rPr>
      <t>16.3.7.2.12</t>
    </r>
  </si>
  <si>
    <r>
      <rPr>
        <sz val="11"/>
        <rFont val="Times New Roman"/>
        <family val="1"/>
      </rPr>
      <t>16.3.7.2.13</t>
    </r>
  </si>
  <si>
    <r>
      <rPr>
        <sz val="11"/>
        <rFont val="Times New Roman"/>
        <family val="1"/>
      </rPr>
      <t>16.3.7.2.14</t>
    </r>
  </si>
  <si>
    <r>
      <rPr>
        <sz val="11"/>
        <rFont val="Times New Roman"/>
        <family val="1"/>
      </rPr>
      <t>16.3.7.2.15</t>
    </r>
  </si>
  <si>
    <r>
      <rPr>
        <sz val="11"/>
        <rFont val="Times New Roman"/>
        <family val="1"/>
      </rPr>
      <t>16.3.7.2.16</t>
    </r>
  </si>
  <si>
    <r>
      <rPr>
        <sz val="11"/>
        <rFont val="Times New Roman"/>
        <family val="1"/>
      </rPr>
      <t>16.3.7.2.17</t>
    </r>
  </si>
  <si>
    <r>
      <rPr>
        <sz val="11"/>
        <rFont val="Times New Roman"/>
        <family val="1"/>
      </rPr>
      <t>16.3.7.2.18</t>
    </r>
  </si>
  <si>
    <r>
      <rPr>
        <b/>
        <sz val="11"/>
        <rFont val="Times New Roman"/>
        <family val="1"/>
      </rPr>
      <t>16.3.7.3</t>
    </r>
  </si>
  <si>
    <r>
      <rPr>
        <sz val="11"/>
        <rFont val="Times New Roman"/>
        <family val="1"/>
      </rPr>
      <t>16.3.7.3.1</t>
    </r>
  </si>
  <si>
    <r>
      <rPr>
        <sz val="11"/>
        <rFont val="Times New Roman"/>
        <family val="1"/>
      </rPr>
      <t>16.3.7.3.2</t>
    </r>
  </si>
  <si>
    <r>
      <rPr>
        <sz val="11"/>
        <rFont val="Times New Roman"/>
        <family val="1"/>
      </rPr>
      <t>16.3.7.3.3</t>
    </r>
  </si>
  <si>
    <r>
      <rPr>
        <sz val="11"/>
        <rFont val="Times New Roman"/>
        <family val="1"/>
      </rPr>
      <t>16.3.7.3.4</t>
    </r>
  </si>
  <si>
    <r>
      <rPr>
        <b/>
        <sz val="11"/>
        <rFont val="Times New Roman"/>
        <family val="1"/>
      </rPr>
      <t>16.3.7.4</t>
    </r>
  </si>
  <si>
    <r>
      <rPr>
        <sz val="11"/>
        <rFont val="Times New Roman"/>
        <family val="1"/>
      </rPr>
      <t>16.3.7.4.1</t>
    </r>
  </si>
  <si>
    <r>
      <rPr>
        <sz val="11"/>
        <rFont val="Times New Roman"/>
        <family val="1"/>
      </rPr>
      <t>16.3.7.4.2</t>
    </r>
  </si>
  <si>
    <r>
      <rPr>
        <sz val="11"/>
        <rFont val="Times New Roman"/>
        <family val="1"/>
      </rPr>
      <t>16.3.7.4.3</t>
    </r>
  </si>
  <si>
    <r>
      <rPr>
        <sz val="11"/>
        <rFont val="Times New Roman"/>
        <family val="1"/>
      </rPr>
      <t>16.3.7.4.4</t>
    </r>
  </si>
  <si>
    <r>
      <rPr>
        <sz val="11"/>
        <rFont val="Times New Roman"/>
        <family val="1"/>
      </rPr>
      <t>16.3.7.4.5</t>
    </r>
  </si>
  <si>
    <r>
      <rPr>
        <sz val="11"/>
        <rFont val="Times New Roman"/>
        <family val="1"/>
      </rPr>
      <t>16.3.7.4.6</t>
    </r>
  </si>
  <si>
    <r>
      <rPr>
        <sz val="11"/>
        <rFont val="Times New Roman"/>
        <family val="1"/>
      </rPr>
      <t>16.3.7.4.7</t>
    </r>
  </si>
  <si>
    <r>
      <rPr>
        <sz val="11"/>
        <rFont val="Times New Roman"/>
        <family val="1"/>
      </rPr>
      <t>16.3.7.4.8</t>
    </r>
  </si>
  <si>
    <r>
      <rPr>
        <sz val="11"/>
        <rFont val="Times New Roman"/>
        <family val="1"/>
      </rPr>
      <t>16.3.7.4.9</t>
    </r>
  </si>
  <si>
    <r>
      <rPr>
        <sz val="11"/>
        <rFont val="Times New Roman"/>
        <family val="1"/>
      </rPr>
      <t>16.3.7.4.10</t>
    </r>
  </si>
  <si>
    <r>
      <rPr>
        <sz val="11"/>
        <rFont val="Times New Roman"/>
        <family val="1"/>
      </rPr>
      <t>16.3.7.4.11</t>
    </r>
  </si>
  <si>
    <r>
      <rPr>
        <b/>
        <sz val="11"/>
        <rFont val="Times New Roman"/>
        <family val="1"/>
      </rPr>
      <t>16.3.7.5</t>
    </r>
  </si>
  <si>
    <r>
      <rPr>
        <sz val="11"/>
        <rFont val="Times New Roman"/>
        <family val="1"/>
      </rPr>
      <t>16.3.7.5.1</t>
    </r>
  </si>
  <si>
    <r>
      <rPr>
        <b/>
        <sz val="11"/>
        <rFont val="Times New Roman"/>
        <family val="1"/>
      </rPr>
      <t>16.3.7.6</t>
    </r>
  </si>
  <si>
    <r>
      <rPr>
        <sz val="11"/>
        <rFont val="Times New Roman"/>
        <family val="1"/>
      </rPr>
      <t>16.3.7.6.1</t>
    </r>
  </si>
  <si>
    <r>
      <rPr>
        <sz val="11"/>
        <rFont val="Times New Roman"/>
        <family val="1"/>
      </rPr>
      <t>16.3.7.6.2</t>
    </r>
  </si>
  <si>
    <r>
      <rPr>
        <sz val="11"/>
        <rFont val="Times New Roman"/>
        <family val="1"/>
      </rPr>
      <t>16.3.7.6.3</t>
    </r>
  </si>
  <si>
    <r>
      <rPr>
        <sz val="11"/>
        <rFont val="Times New Roman"/>
        <family val="1"/>
      </rPr>
      <t>16.3.7.6.4</t>
    </r>
  </si>
  <si>
    <r>
      <rPr>
        <sz val="11"/>
        <rFont val="Times New Roman"/>
        <family val="1"/>
      </rPr>
      <t>16.3.7.6.5</t>
    </r>
  </si>
  <si>
    <r>
      <rPr>
        <sz val="11"/>
        <rFont val="Times New Roman"/>
        <family val="1"/>
      </rPr>
      <t>16.3.7.6.6</t>
    </r>
  </si>
  <si>
    <r>
      <rPr>
        <sz val="11"/>
        <rFont val="Times New Roman"/>
        <family val="1"/>
      </rPr>
      <t>16.3.7.6.7</t>
    </r>
  </si>
  <si>
    <r>
      <rPr>
        <sz val="11"/>
        <rFont val="Times New Roman"/>
        <family val="1"/>
      </rPr>
      <t>16.3.7.6.8</t>
    </r>
  </si>
  <si>
    <r>
      <rPr>
        <sz val="11"/>
        <rFont val="Times New Roman"/>
        <family val="1"/>
      </rPr>
      <t>16.3.7.6.9</t>
    </r>
  </si>
  <si>
    <r>
      <rPr>
        <b/>
        <sz val="11"/>
        <rFont val="Times New Roman"/>
        <family val="1"/>
      </rPr>
      <t>16.3.7.7</t>
    </r>
  </si>
  <si>
    <r>
      <rPr>
        <sz val="11"/>
        <rFont val="Times New Roman"/>
        <family val="1"/>
      </rPr>
      <t>16.3.7.7.1</t>
    </r>
  </si>
  <si>
    <r>
      <rPr>
        <b/>
        <sz val="11"/>
        <rFont val="Times New Roman"/>
        <family val="1"/>
      </rPr>
      <t>16.3.8</t>
    </r>
  </si>
  <si>
    <r>
      <rPr>
        <b/>
        <sz val="11"/>
        <rFont val="Times New Roman"/>
        <family val="1"/>
      </rPr>
      <t>16.3.8.1</t>
    </r>
  </si>
  <si>
    <r>
      <rPr>
        <sz val="11"/>
        <rFont val="Times New Roman"/>
        <family val="1"/>
      </rPr>
      <t>16.3.8.1.1</t>
    </r>
  </si>
  <si>
    <r>
      <rPr>
        <sz val="11"/>
        <rFont val="Times New Roman"/>
        <family val="1"/>
      </rPr>
      <t>16.3.8.1.2</t>
    </r>
  </si>
  <si>
    <r>
      <rPr>
        <sz val="11"/>
        <rFont val="Times New Roman"/>
        <family val="1"/>
      </rPr>
      <t>16.3.8.1.3</t>
    </r>
  </si>
  <si>
    <r>
      <rPr>
        <sz val="11"/>
        <rFont val="Times New Roman"/>
        <family val="1"/>
      </rPr>
      <t>16.3.8.1.4</t>
    </r>
  </si>
  <si>
    <r>
      <rPr>
        <sz val="11"/>
        <rFont val="Times New Roman"/>
        <family val="1"/>
      </rPr>
      <t>16.3.8.1.5</t>
    </r>
  </si>
  <si>
    <r>
      <rPr>
        <sz val="11"/>
        <rFont val="Times New Roman"/>
        <family val="1"/>
      </rPr>
      <t>16.3.8.1.6</t>
    </r>
  </si>
  <si>
    <r>
      <rPr>
        <b/>
        <sz val="11"/>
        <rFont val="Times New Roman"/>
        <family val="1"/>
      </rPr>
      <t>16.3.8.2</t>
    </r>
  </si>
  <si>
    <r>
      <rPr>
        <sz val="11"/>
        <rFont val="Times New Roman"/>
        <family val="1"/>
      </rPr>
      <t>16.3.8.2.1</t>
    </r>
  </si>
  <si>
    <r>
      <rPr>
        <sz val="11"/>
        <rFont val="Times New Roman"/>
        <family val="1"/>
      </rPr>
      <t>16.3.8.2.2</t>
    </r>
  </si>
  <si>
    <r>
      <rPr>
        <sz val="11"/>
        <rFont val="Times New Roman"/>
        <family val="1"/>
      </rPr>
      <t>16.3.8.2.3</t>
    </r>
  </si>
  <si>
    <r>
      <rPr>
        <sz val="11"/>
        <rFont val="Times New Roman"/>
        <family val="1"/>
      </rPr>
      <t>16.3.8.2.4</t>
    </r>
  </si>
  <si>
    <r>
      <rPr>
        <sz val="11"/>
        <rFont val="Times New Roman"/>
        <family val="1"/>
      </rPr>
      <t>16.3.8.2.5</t>
    </r>
  </si>
  <si>
    <r>
      <rPr>
        <sz val="11"/>
        <rFont val="Times New Roman"/>
        <family val="1"/>
      </rPr>
      <t>16.3.8.2.6</t>
    </r>
  </si>
  <si>
    <r>
      <rPr>
        <sz val="11"/>
        <rFont val="Times New Roman"/>
        <family val="1"/>
      </rPr>
      <t>16.3.8.2.7</t>
    </r>
  </si>
  <si>
    <r>
      <rPr>
        <b/>
        <sz val="11"/>
        <rFont val="Times New Roman"/>
        <family val="1"/>
      </rPr>
      <t>16.3.8.3</t>
    </r>
  </si>
  <si>
    <r>
      <rPr>
        <sz val="11"/>
        <rFont val="Times New Roman"/>
        <family val="1"/>
      </rPr>
      <t>16.3.8.3.1</t>
    </r>
  </si>
  <si>
    <r>
      <rPr>
        <sz val="11"/>
        <rFont val="Times New Roman"/>
        <family val="1"/>
      </rPr>
      <t>16.3.8.3.2</t>
    </r>
  </si>
  <si>
    <r>
      <rPr>
        <sz val="11"/>
        <rFont val="Times New Roman"/>
        <family val="1"/>
      </rPr>
      <t>16.3.8.3.3</t>
    </r>
  </si>
  <si>
    <r>
      <rPr>
        <sz val="11"/>
        <rFont val="Times New Roman"/>
        <family val="1"/>
      </rPr>
      <t>16.3.8.3.4</t>
    </r>
  </si>
  <si>
    <r>
      <rPr>
        <sz val="11"/>
        <rFont val="Times New Roman"/>
        <family val="1"/>
      </rPr>
      <t>16.3.8.3.5</t>
    </r>
  </si>
  <si>
    <r>
      <rPr>
        <sz val="11"/>
        <rFont val="Times New Roman"/>
        <family val="1"/>
      </rPr>
      <t>16.3.8.3.6</t>
    </r>
  </si>
  <si>
    <r>
      <rPr>
        <b/>
        <sz val="11"/>
        <rFont val="Times New Roman"/>
        <family val="1"/>
      </rPr>
      <t>16.3.8.4</t>
    </r>
  </si>
  <si>
    <r>
      <rPr>
        <sz val="11"/>
        <rFont val="Times New Roman"/>
        <family val="1"/>
      </rPr>
      <t>16.3.8.4.1</t>
    </r>
  </si>
  <si>
    <r>
      <rPr>
        <sz val="11"/>
        <rFont val="Times New Roman"/>
        <family val="1"/>
      </rPr>
      <t>16.3.8.4.2</t>
    </r>
  </si>
  <si>
    <r>
      <rPr>
        <sz val="11"/>
        <rFont val="Times New Roman"/>
        <family val="1"/>
      </rPr>
      <t>16.3.8.4.3</t>
    </r>
  </si>
  <si>
    <r>
      <rPr>
        <sz val="11"/>
        <rFont val="Times New Roman"/>
        <family val="1"/>
      </rPr>
      <t>16.3.8.4.4</t>
    </r>
  </si>
  <si>
    <r>
      <rPr>
        <sz val="11"/>
        <rFont val="Times New Roman"/>
        <family val="1"/>
      </rPr>
      <t>16.3.8.4.5</t>
    </r>
  </si>
  <si>
    <r>
      <rPr>
        <sz val="11"/>
        <rFont val="Times New Roman"/>
        <family val="1"/>
      </rPr>
      <t>16.3.8.4.6</t>
    </r>
  </si>
  <si>
    <r>
      <rPr>
        <sz val="11"/>
        <rFont val="Times New Roman"/>
        <family val="1"/>
      </rPr>
      <t>16.3.8.4.7</t>
    </r>
  </si>
  <si>
    <r>
      <rPr>
        <sz val="11"/>
        <rFont val="Times New Roman"/>
        <family val="1"/>
      </rPr>
      <t>16.3.8.4.8</t>
    </r>
  </si>
  <si>
    <r>
      <rPr>
        <sz val="11"/>
        <rFont val="Times New Roman"/>
        <family val="1"/>
      </rPr>
      <t>16.3.8.4.9</t>
    </r>
  </si>
  <si>
    <r>
      <rPr>
        <sz val="11"/>
        <rFont val="Times New Roman"/>
        <family val="1"/>
      </rPr>
      <t>16.3.8.4.11</t>
    </r>
  </si>
  <si>
    <r>
      <rPr>
        <b/>
        <sz val="11"/>
        <rFont val="Times New Roman"/>
        <family val="1"/>
      </rPr>
      <t>16.3.8.5</t>
    </r>
  </si>
  <si>
    <r>
      <rPr>
        <sz val="11"/>
        <rFont val="Times New Roman"/>
        <family val="1"/>
      </rPr>
      <t>16.3.8.5.1</t>
    </r>
  </si>
  <si>
    <r>
      <rPr>
        <sz val="11"/>
        <rFont val="Times New Roman"/>
        <family val="1"/>
      </rPr>
      <t>16.3.8.5.2</t>
    </r>
  </si>
  <si>
    <r>
      <rPr>
        <sz val="11"/>
        <rFont val="Times New Roman"/>
        <family val="1"/>
      </rPr>
      <t>16.3.8.5.3</t>
    </r>
  </si>
  <si>
    <r>
      <rPr>
        <sz val="11"/>
        <rFont val="Times New Roman"/>
        <family val="1"/>
      </rPr>
      <t>16.3.8.5.4</t>
    </r>
  </si>
  <si>
    <r>
      <rPr>
        <sz val="11"/>
        <rFont val="Times New Roman"/>
        <family val="1"/>
      </rPr>
      <t>16.3.8.5.5</t>
    </r>
  </si>
  <si>
    <r>
      <rPr>
        <sz val="11"/>
        <rFont val="Times New Roman"/>
        <family val="1"/>
      </rPr>
      <t>16.3.8.5.6</t>
    </r>
  </si>
  <si>
    <r>
      <rPr>
        <sz val="11"/>
        <rFont val="Times New Roman"/>
        <family val="1"/>
      </rPr>
      <t>16.3.8.5.7</t>
    </r>
  </si>
  <si>
    <r>
      <rPr>
        <sz val="11"/>
        <rFont val="Times New Roman"/>
        <family val="1"/>
      </rPr>
      <t>16.3.8.5.12</t>
    </r>
  </si>
  <si>
    <r>
      <rPr>
        <b/>
        <sz val="11"/>
        <rFont val="Times New Roman"/>
        <family val="1"/>
      </rPr>
      <t>16.3.8.6</t>
    </r>
  </si>
  <si>
    <r>
      <rPr>
        <sz val="11"/>
        <rFont val="Times New Roman"/>
        <family val="1"/>
      </rPr>
      <t>16.3.8.6.1</t>
    </r>
  </si>
  <si>
    <r>
      <rPr>
        <sz val="11"/>
        <rFont val="Times New Roman"/>
        <family val="1"/>
      </rPr>
      <t>16.3.8.6.2</t>
    </r>
  </si>
  <si>
    <r>
      <rPr>
        <sz val="11"/>
        <rFont val="Times New Roman"/>
        <family val="1"/>
      </rPr>
      <t>16.3.8.6.3</t>
    </r>
  </si>
  <si>
    <r>
      <rPr>
        <sz val="11"/>
        <rFont val="Times New Roman"/>
        <family val="1"/>
      </rPr>
      <t>16.3.8.6.4</t>
    </r>
  </si>
  <si>
    <r>
      <rPr>
        <sz val="11"/>
        <rFont val="Times New Roman"/>
        <family val="1"/>
      </rPr>
      <t>16.3.8.6.5</t>
    </r>
  </si>
  <si>
    <r>
      <rPr>
        <sz val="11"/>
        <rFont val="Times New Roman"/>
        <family val="1"/>
      </rPr>
      <t>16.3.8.6.6</t>
    </r>
  </si>
  <si>
    <r>
      <rPr>
        <sz val="11"/>
        <rFont val="Times New Roman"/>
        <family val="1"/>
      </rPr>
      <t>16.3.8.6.7</t>
    </r>
  </si>
  <si>
    <r>
      <rPr>
        <sz val="11"/>
        <rFont val="Times New Roman"/>
        <family val="1"/>
      </rPr>
      <t>16.3.8.6.8</t>
    </r>
  </si>
  <si>
    <r>
      <rPr>
        <sz val="11"/>
        <rFont val="Times New Roman"/>
        <family val="1"/>
      </rPr>
      <t>16.3.8.6.9</t>
    </r>
  </si>
  <si>
    <r>
      <rPr>
        <sz val="11"/>
        <rFont val="Times New Roman"/>
        <family val="1"/>
      </rPr>
      <t>16.3.8.6.11</t>
    </r>
  </si>
  <si>
    <r>
      <rPr>
        <b/>
        <sz val="11"/>
        <rFont val="Times New Roman"/>
        <family val="1"/>
      </rPr>
      <t>16.3.8.7</t>
    </r>
  </si>
  <si>
    <r>
      <rPr>
        <sz val="11"/>
        <rFont val="Times New Roman"/>
        <family val="1"/>
      </rPr>
      <t>16.3.8.7.1</t>
    </r>
  </si>
  <si>
    <r>
      <rPr>
        <sz val="11"/>
        <rFont val="Times New Roman"/>
        <family val="1"/>
      </rPr>
      <t>16.3.8.7.2</t>
    </r>
  </si>
  <si>
    <r>
      <rPr>
        <sz val="11"/>
        <rFont val="Times New Roman"/>
        <family val="1"/>
      </rPr>
      <t>16.3.8.7.3</t>
    </r>
  </si>
  <si>
    <r>
      <rPr>
        <sz val="11"/>
        <rFont val="Times New Roman"/>
        <family val="1"/>
      </rPr>
      <t>16.3.8.7.4</t>
    </r>
  </si>
  <si>
    <r>
      <rPr>
        <sz val="11"/>
        <rFont val="Times New Roman"/>
        <family val="1"/>
      </rPr>
      <t>16.3.8.7.5</t>
    </r>
  </si>
  <si>
    <r>
      <rPr>
        <sz val="11"/>
        <rFont val="Times New Roman"/>
        <family val="1"/>
      </rPr>
      <t>16.3.8.7.12</t>
    </r>
  </si>
  <si>
    <r>
      <rPr>
        <b/>
        <sz val="11"/>
        <rFont val="Times New Roman"/>
        <family val="1"/>
      </rPr>
      <t>16.3.8.8</t>
    </r>
  </si>
  <si>
    <r>
      <rPr>
        <sz val="11"/>
        <rFont val="Times New Roman"/>
        <family val="1"/>
      </rPr>
      <t>16.3.8.8.2</t>
    </r>
  </si>
  <si>
    <r>
      <rPr>
        <sz val="11"/>
        <rFont val="Times New Roman"/>
        <family val="1"/>
      </rPr>
      <t>16.3.8.8.3</t>
    </r>
  </si>
  <si>
    <r>
      <rPr>
        <sz val="11"/>
        <rFont val="Times New Roman"/>
        <family val="1"/>
      </rPr>
      <t>16.3.8.8.14</t>
    </r>
  </si>
  <si>
    <r>
      <rPr>
        <b/>
        <sz val="11"/>
        <rFont val="Times New Roman"/>
        <family val="1"/>
      </rPr>
      <t>16.3.8.9</t>
    </r>
  </si>
  <si>
    <r>
      <rPr>
        <sz val="11"/>
        <rFont val="Times New Roman"/>
        <family val="1"/>
      </rPr>
      <t>16.3.8.9.2</t>
    </r>
  </si>
  <si>
    <r>
      <rPr>
        <sz val="11"/>
        <rFont val="Times New Roman"/>
        <family val="1"/>
      </rPr>
      <t>16.3.8.9.3</t>
    </r>
  </si>
  <si>
    <r>
      <rPr>
        <sz val="11"/>
        <rFont val="Times New Roman"/>
        <family val="1"/>
      </rPr>
      <t>16.3.8.9.4</t>
    </r>
  </si>
  <si>
    <r>
      <rPr>
        <sz val="11"/>
        <rFont val="Times New Roman"/>
        <family val="1"/>
      </rPr>
      <t>16.3.8.9.14</t>
    </r>
  </si>
  <si>
    <r>
      <rPr>
        <b/>
        <sz val="11"/>
        <rFont val="Times New Roman"/>
        <family val="1"/>
      </rPr>
      <t>16.3.8.10</t>
    </r>
  </si>
  <si>
    <r>
      <rPr>
        <sz val="11"/>
        <rFont val="Times New Roman"/>
        <family val="1"/>
      </rPr>
      <t>16.3.8.10.2</t>
    </r>
  </si>
  <si>
    <r>
      <rPr>
        <sz val="11"/>
        <rFont val="Times New Roman"/>
        <family val="1"/>
      </rPr>
      <t>16.3.8.10.3</t>
    </r>
  </si>
  <si>
    <r>
      <rPr>
        <sz val="11"/>
        <rFont val="Times New Roman"/>
        <family val="1"/>
      </rPr>
      <t>16.3.8.10.4</t>
    </r>
  </si>
  <si>
    <r>
      <rPr>
        <sz val="11"/>
        <rFont val="Times New Roman"/>
        <family val="1"/>
      </rPr>
      <t>16.3.8.10.5</t>
    </r>
  </si>
  <si>
    <r>
      <rPr>
        <sz val="11"/>
        <rFont val="Times New Roman"/>
        <family val="1"/>
      </rPr>
      <t>16.3.8.10.6</t>
    </r>
  </si>
  <si>
    <r>
      <rPr>
        <sz val="11"/>
        <rFont val="Times New Roman"/>
        <family val="1"/>
      </rPr>
      <t>16.3.8.10.11</t>
    </r>
  </si>
  <si>
    <r>
      <rPr>
        <b/>
        <sz val="11"/>
        <rFont val="Times New Roman"/>
        <family val="1"/>
      </rPr>
      <t>16.3.8.11</t>
    </r>
  </si>
  <si>
    <r>
      <rPr>
        <sz val="11"/>
        <rFont val="Times New Roman"/>
        <family val="1"/>
      </rPr>
      <t>16.3.8.11.2</t>
    </r>
  </si>
  <si>
    <r>
      <rPr>
        <sz val="11"/>
        <rFont val="Times New Roman"/>
        <family val="1"/>
      </rPr>
      <t>16.3.8.11.3</t>
    </r>
  </si>
  <si>
    <r>
      <rPr>
        <sz val="11"/>
        <rFont val="Times New Roman"/>
        <family val="1"/>
      </rPr>
      <t>16.3.8.11.4</t>
    </r>
  </si>
  <si>
    <r>
      <rPr>
        <sz val="11"/>
        <rFont val="Times New Roman"/>
        <family val="1"/>
      </rPr>
      <t>16.3.8.11.5</t>
    </r>
  </si>
  <si>
    <r>
      <rPr>
        <sz val="11"/>
        <rFont val="Times New Roman"/>
        <family val="1"/>
      </rPr>
      <t>16.3.8.11.6</t>
    </r>
  </si>
  <si>
    <r>
      <rPr>
        <sz val="11"/>
        <rFont val="Times New Roman"/>
        <family val="1"/>
      </rPr>
      <t>16.3.8.11.11</t>
    </r>
  </si>
  <si>
    <r>
      <rPr>
        <b/>
        <sz val="11"/>
        <rFont val="Times New Roman"/>
        <family val="1"/>
      </rPr>
      <t>16.3.8.12</t>
    </r>
  </si>
  <si>
    <r>
      <rPr>
        <sz val="11"/>
        <rFont val="Times New Roman"/>
        <family val="1"/>
      </rPr>
      <t>16.3.8.12.2</t>
    </r>
  </si>
  <si>
    <r>
      <rPr>
        <sz val="11"/>
        <rFont val="Times New Roman"/>
        <family val="1"/>
      </rPr>
      <t>16.3.8.12.3</t>
    </r>
  </si>
  <si>
    <r>
      <rPr>
        <sz val="11"/>
        <rFont val="Times New Roman"/>
        <family val="1"/>
      </rPr>
      <t>16.3.8.12.4</t>
    </r>
  </si>
  <si>
    <r>
      <rPr>
        <sz val="11"/>
        <rFont val="Times New Roman"/>
        <family val="1"/>
      </rPr>
      <t>16.3.8.12.5</t>
    </r>
  </si>
  <si>
    <r>
      <rPr>
        <sz val="11"/>
        <rFont val="Times New Roman"/>
        <family val="1"/>
      </rPr>
      <t>16.3.8.12.6</t>
    </r>
  </si>
  <si>
    <r>
      <rPr>
        <sz val="11"/>
        <rFont val="Times New Roman"/>
        <family val="1"/>
      </rPr>
      <t>16.3.8.12.7</t>
    </r>
  </si>
  <si>
    <r>
      <rPr>
        <sz val="11"/>
        <rFont val="Times New Roman"/>
        <family val="1"/>
      </rPr>
      <t>16.3.8.12.8</t>
    </r>
  </si>
  <si>
    <r>
      <rPr>
        <sz val="11"/>
        <rFont val="Times New Roman"/>
        <family val="1"/>
      </rPr>
      <t>16.3.8.12.9</t>
    </r>
  </si>
  <si>
    <r>
      <rPr>
        <sz val="11"/>
        <rFont val="Times New Roman"/>
        <family val="1"/>
      </rPr>
      <t>16.3.8.12.10</t>
    </r>
  </si>
  <si>
    <r>
      <rPr>
        <sz val="11"/>
        <rFont val="Times New Roman"/>
        <family val="1"/>
      </rPr>
      <t>16.3.8.12.11</t>
    </r>
  </si>
  <si>
    <r>
      <rPr>
        <sz val="11"/>
        <rFont val="Times New Roman"/>
        <family val="1"/>
      </rPr>
      <t>16.3.8.12.13</t>
    </r>
  </si>
  <si>
    <r>
      <rPr>
        <sz val="11"/>
        <rFont val="Times New Roman"/>
        <family val="1"/>
      </rPr>
      <t>16.3.8.12.14</t>
    </r>
  </si>
  <si>
    <r>
      <rPr>
        <b/>
        <sz val="11"/>
        <rFont val="Times New Roman"/>
        <family val="1"/>
      </rPr>
      <t>16.3.8.13</t>
    </r>
  </si>
  <si>
    <r>
      <rPr>
        <sz val="11"/>
        <rFont val="Times New Roman"/>
        <family val="1"/>
      </rPr>
      <t>16.3.8.13.2</t>
    </r>
  </si>
  <si>
    <r>
      <rPr>
        <b/>
        <sz val="11"/>
        <rFont val="Times New Roman"/>
        <family val="1"/>
      </rPr>
      <t>16.3.8.14</t>
    </r>
  </si>
  <si>
    <r>
      <rPr>
        <sz val="11"/>
        <rFont val="Times New Roman"/>
        <family val="1"/>
      </rPr>
      <t>16.3.8.14.2</t>
    </r>
  </si>
  <si>
    <r>
      <rPr>
        <b/>
        <sz val="11"/>
        <rFont val="Times New Roman"/>
        <family val="1"/>
      </rPr>
      <t>16.3.8.15</t>
    </r>
  </si>
  <si>
    <r>
      <rPr>
        <sz val="11"/>
        <rFont val="Times New Roman"/>
        <family val="1"/>
      </rPr>
      <t>16.3.8.15.2</t>
    </r>
  </si>
  <si>
    <r>
      <rPr>
        <b/>
        <sz val="11"/>
        <rFont val="Times New Roman"/>
        <family val="1"/>
      </rPr>
      <t>16.3.8.16</t>
    </r>
  </si>
  <si>
    <r>
      <rPr>
        <sz val="11"/>
        <rFont val="Times New Roman"/>
        <family val="1"/>
      </rPr>
      <t>16.3.8.16.2</t>
    </r>
  </si>
  <si>
    <r>
      <rPr>
        <b/>
        <sz val="11"/>
        <rFont val="Times New Roman"/>
        <family val="1"/>
      </rPr>
      <t>16.3.8.17</t>
    </r>
  </si>
  <si>
    <r>
      <rPr>
        <sz val="11"/>
        <rFont val="Times New Roman"/>
        <family val="1"/>
      </rPr>
      <t>16.3.8.17.2</t>
    </r>
  </si>
  <si>
    <r>
      <rPr>
        <sz val="11"/>
        <rFont val="Times New Roman"/>
        <family val="1"/>
      </rPr>
      <t>16.3.8.17.3</t>
    </r>
  </si>
  <si>
    <r>
      <rPr>
        <sz val="11"/>
        <rFont val="Times New Roman"/>
        <family val="1"/>
      </rPr>
      <t>16.3.8.17.4</t>
    </r>
  </si>
  <si>
    <r>
      <rPr>
        <sz val="11"/>
        <rFont val="Times New Roman"/>
        <family val="1"/>
      </rPr>
      <t>16.3.8.17.8</t>
    </r>
  </si>
  <si>
    <r>
      <rPr>
        <b/>
        <sz val="11"/>
        <rFont val="Times New Roman"/>
        <family val="1"/>
      </rPr>
      <t>16.3.8.18</t>
    </r>
  </si>
  <si>
    <r>
      <rPr>
        <sz val="11"/>
        <rFont val="Times New Roman"/>
        <family val="1"/>
      </rPr>
      <t>16.3.8.18.2</t>
    </r>
  </si>
  <si>
    <r>
      <rPr>
        <sz val="11"/>
        <rFont val="Times New Roman"/>
        <family val="1"/>
      </rPr>
      <t>16.3.8.18.3</t>
    </r>
  </si>
  <si>
    <r>
      <rPr>
        <sz val="11"/>
        <rFont val="Times New Roman"/>
        <family val="1"/>
      </rPr>
      <t>16.3.8.18.7</t>
    </r>
  </si>
  <si>
    <r>
      <rPr>
        <b/>
        <sz val="11"/>
        <rFont val="Times New Roman"/>
        <family val="1"/>
      </rPr>
      <t>16.3.8.19</t>
    </r>
  </si>
  <si>
    <r>
      <rPr>
        <sz val="11"/>
        <rFont val="Times New Roman"/>
        <family val="1"/>
      </rPr>
      <t>16.3.8.19.1</t>
    </r>
  </si>
  <si>
    <r>
      <rPr>
        <sz val="11"/>
        <rFont val="Times New Roman"/>
        <family val="1"/>
      </rPr>
      <t>16.3.8.19.3</t>
    </r>
  </si>
  <si>
    <r>
      <rPr>
        <sz val="11"/>
        <rFont val="Times New Roman"/>
        <family val="1"/>
      </rPr>
      <t>16.3.8.19.4</t>
    </r>
  </si>
  <si>
    <r>
      <rPr>
        <sz val="11"/>
        <rFont val="Times New Roman"/>
        <family val="1"/>
      </rPr>
      <t>16.3.8.19.5</t>
    </r>
  </si>
  <si>
    <r>
      <rPr>
        <sz val="11"/>
        <rFont val="Times New Roman"/>
        <family val="1"/>
      </rPr>
      <t>16.3.8.19.6</t>
    </r>
  </si>
  <si>
    <r>
      <rPr>
        <sz val="11"/>
        <rFont val="Times New Roman"/>
        <family val="1"/>
      </rPr>
      <t>16.3.8.19.7</t>
    </r>
  </si>
  <si>
    <r>
      <rPr>
        <sz val="11"/>
        <rFont val="Times New Roman"/>
        <family val="1"/>
      </rPr>
      <t>16.3.8.19.11</t>
    </r>
  </si>
  <si>
    <r>
      <rPr>
        <sz val="11"/>
        <rFont val="Times New Roman"/>
        <family val="1"/>
      </rPr>
      <t>16.3.8.19.12</t>
    </r>
  </si>
  <si>
    <r>
      <rPr>
        <sz val="11"/>
        <rFont val="Times New Roman"/>
        <family val="1"/>
      </rPr>
      <t>16.3.8.19.13</t>
    </r>
  </si>
  <si>
    <r>
      <rPr>
        <sz val="11"/>
        <rFont val="Times New Roman"/>
        <family val="1"/>
      </rPr>
      <t>16.3.8.19.14</t>
    </r>
  </si>
  <si>
    <r>
      <rPr>
        <b/>
        <sz val="11"/>
        <rFont val="Times New Roman"/>
        <family val="1"/>
      </rPr>
      <t>16.3.8.20</t>
    </r>
  </si>
  <si>
    <r>
      <rPr>
        <sz val="11"/>
        <rFont val="Times New Roman"/>
        <family val="1"/>
      </rPr>
      <t>16.3.8.20.1</t>
    </r>
  </si>
  <si>
    <r>
      <rPr>
        <sz val="11"/>
        <rFont val="Times New Roman"/>
        <family val="1"/>
      </rPr>
      <t>16.3.8.20.3</t>
    </r>
  </si>
  <si>
    <r>
      <rPr>
        <sz val="11"/>
        <rFont val="Times New Roman"/>
        <family val="1"/>
      </rPr>
      <t>16.3.8.20.4</t>
    </r>
  </si>
  <si>
    <r>
      <rPr>
        <sz val="11"/>
        <rFont val="Times New Roman"/>
        <family val="1"/>
      </rPr>
      <t>16.3.8.20.5</t>
    </r>
  </si>
  <si>
    <r>
      <rPr>
        <sz val="11"/>
        <rFont val="Times New Roman"/>
        <family val="1"/>
      </rPr>
      <t>16.3.8.20.6</t>
    </r>
  </si>
  <si>
    <r>
      <rPr>
        <sz val="11"/>
        <rFont val="Times New Roman"/>
        <family val="1"/>
      </rPr>
      <t>16.3.8.20.7</t>
    </r>
  </si>
  <si>
    <r>
      <rPr>
        <sz val="11"/>
        <rFont val="Times New Roman"/>
        <family val="1"/>
      </rPr>
      <t>16.3.8.20.11</t>
    </r>
  </si>
  <si>
    <r>
      <rPr>
        <sz val="11"/>
        <rFont val="Times New Roman"/>
        <family val="1"/>
      </rPr>
      <t>16.3.8.20.12</t>
    </r>
  </si>
  <si>
    <r>
      <rPr>
        <sz val="11"/>
        <rFont val="Times New Roman"/>
        <family val="1"/>
      </rPr>
      <t>16.3.8.20.13</t>
    </r>
  </si>
  <si>
    <r>
      <rPr>
        <sz val="11"/>
        <rFont val="Times New Roman"/>
        <family val="1"/>
      </rPr>
      <t>16.3.8.20.14</t>
    </r>
  </si>
  <si>
    <r>
      <rPr>
        <b/>
        <sz val="11"/>
        <rFont val="Times New Roman"/>
        <family val="1"/>
      </rPr>
      <t>16.3.9</t>
    </r>
  </si>
  <si>
    <r>
      <rPr>
        <b/>
        <sz val="11"/>
        <rFont val="Times New Roman"/>
        <family val="1"/>
      </rPr>
      <t>16.3.9.1</t>
    </r>
  </si>
  <si>
    <r>
      <rPr>
        <sz val="11"/>
        <rFont val="Times New Roman"/>
        <family val="1"/>
      </rPr>
      <t>16.3.9.1.1</t>
    </r>
  </si>
  <si>
    <r>
      <rPr>
        <sz val="11"/>
        <rFont val="Times New Roman"/>
        <family val="1"/>
      </rPr>
      <t>16.3.9.1.2</t>
    </r>
  </si>
  <si>
    <r>
      <rPr>
        <sz val="11"/>
        <rFont val="Times New Roman"/>
        <family val="1"/>
      </rPr>
      <t>16.3.9.1.3</t>
    </r>
  </si>
  <si>
    <r>
      <rPr>
        <sz val="11"/>
        <rFont val="Times New Roman"/>
        <family val="1"/>
      </rPr>
      <t>16.3.9.1.4</t>
    </r>
  </si>
  <si>
    <r>
      <rPr>
        <sz val="11"/>
        <rFont val="Times New Roman"/>
        <family val="1"/>
      </rPr>
      <t>16.3.9.1.5</t>
    </r>
  </si>
  <si>
    <r>
      <rPr>
        <sz val="11"/>
        <rFont val="Times New Roman"/>
        <family val="1"/>
      </rPr>
      <t>16.3.9.1.6</t>
    </r>
  </si>
  <si>
    <r>
      <rPr>
        <sz val="11"/>
        <rFont val="Times New Roman"/>
        <family val="1"/>
      </rPr>
      <t>16.3.9.1.7</t>
    </r>
  </si>
  <si>
    <r>
      <rPr>
        <sz val="11"/>
        <rFont val="Times New Roman"/>
        <family val="1"/>
      </rPr>
      <t>16.3.9.1.8</t>
    </r>
  </si>
  <si>
    <r>
      <rPr>
        <b/>
        <sz val="11"/>
        <rFont val="Times New Roman"/>
        <family val="1"/>
      </rPr>
      <t>16.3.9.2</t>
    </r>
  </si>
  <si>
    <r>
      <rPr>
        <sz val="11"/>
        <rFont val="Times New Roman"/>
        <family val="1"/>
      </rPr>
      <t>16.3.9.2.1</t>
    </r>
  </si>
  <si>
    <r>
      <rPr>
        <sz val="11"/>
        <rFont val="Times New Roman"/>
        <family val="1"/>
      </rPr>
      <t>16.3.9.2.2</t>
    </r>
  </si>
  <si>
    <r>
      <rPr>
        <b/>
        <sz val="11"/>
        <rFont val="Times New Roman"/>
        <family val="1"/>
      </rPr>
      <t>16.3.9.3</t>
    </r>
  </si>
  <si>
    <r>
      <rPr>
        <sz val="11"/>
        <rFont val="Times New Roman"/>
        <family val="1"/>
      </rPr>
      <t>16.3.9.3.1</t>
    </r>
  </si>
  <si>
    <r>
      <rPr>
        <sz val="11"/>
        <rFont val="Times New Roman"/>
        <family val="1"/>
      </rPr>
      <t>16.3.9.3.2</t>
    </r>
  </si>
  <si>
    <r>
      <rPr>
        <sz val="11"/>
        <rFont val="Times New Roman"/>
        <family val="1"/>
      </rPr>
      <t>16.3.9.3.3</t>
    </r>
  </si>
  <si>
    <r>
      <rPr>
        <sz val="11"/>
        <rFont val="Times New Roman"/>
        <family val="1"/>
      </rPr>
      <t>16.3.9.3.4</t>
    </r>
  </si>
  <si>
    <r>
      <rPr>
        <sz val="11"/>
        <rFont val="Times New Roman"/>
        <family val="1"/>
      </rPr>
      <t>16.3.9.3.5</t>
    </r>
  </si>
  <si>
    <r>
      <rPr>
        <b/>
        <sz val="11"/>
        <rFont val="Times New Roman"/>
        <family val="1"/>
      </rPr>
      <t>16.3.9.4</t>
    </r>
  </si>
  <si>
    <r>
      <rPr>
        <sz val="11"/>
        <rFont val="Times New Roman"/>
        <family val="1"/>
      </rPr>
      <t>16.3.9.4.1</t>
    </r>
  </si>
  <si>
    <r>
      <rPr>
        <sz val="11"/>
        <rFont val="Times New Roman"/>
        <family val="1"/>
      </rPr>
      <t>16.3.9.4.2</t>
    </r>
  </si>
  <si>
    <r>
      <rPr>
        <sz val="11"/>
        <rFont val="Times New Roman"/>
        <family val="1"/>
      </rPr>
      <t>16.3.9.4.3</t>
    </r>
  </si>
  <si>
    <r>
      <rPr>
        <sz val="11"/>
        <rFont val="Times New Roman"/>
        <family val="1"/>
      </rPr>
      <t>16.3.9.4.4</t>
    </r>
  </si>
  <si>
    <r>
      <rPr>
        <sz val="11"/>
        <rFont val="Times New Roman"/>
        <family val="1"/>
      </rPr>
      <t>16.3.9.4.5</t>
    </r>
  </si>
  <si>
    <r>
      <rPr>
        <sz val="11"/>
        <rFont val="Times New Roman"/>
        <family val="1"/>
      </rPr>
      <t>16.3.9.4.6</t>
    </r>
  </si>
  <si>
    <r>
      <rPr>
        <sz val="11"/>
        <rFont val="Times New Roman"/>
        <family val="1"/>
      </rPr>
      <t>16.3.9.4.12</t>
    </r>
  </si>
  <si>
    <r>
      <rPr>
        <b/>
        <sz val="11"/>
        <rFont val="Times New Roman"/>
        <family val="1"/>
      </rPr>
      <t>16.3.10</t>
    </r>
  </si>
  <si>
    <r>
      <rPr>
        <b/>
        <sz val="11"/>
        <rFont val="Times New Roman"/>
        <family val="1"/>
      </rPr>
      <t>16.3.10.1</t>
    </r>
  </si>
  <si>
    <r>
      <rPr>
        <sz val="11"/>
        <rFont val="Times New Roman"/>
        <family val="1"/>
      </rPr>
      <t>16.3.10.1.1</t>
    </r>
  </si>
  <si>
    <r>
      <rPr>
        <sz val="11"/>
        <rFont val="Times New Roman"/>
        <family val="1"/>
      </rPr>
      <t>16.3.10.1.2</t>
    </r>
  </si>
  <si>
    <r>
      <rPr>
        <sz val="11"/>
        <rFont val="Times New Roman"/>
        <family val="1"/>
      </rPr>
      <t>16.3.10.1.3</t>
    </r>
  </si>
  <si>
    <r>
      <rPr>
        <sz val="11"/>
        <rFont val="Times New Roman"/>
        <family val="1"/>
      </rPr>
      <t>16.3.10.1.4</t>
    </r>
  </si>
  <si>
    <r>
      <rPr>
        <sz val="11"/>
        <rFont val="Times New Roman"/>
        <family val="1"/>
      </rPr>
      <t>16.3.10.1.5</t>
    </r>
  </si>
  <si>
    <r>
      <rPr>
        <sz val="11"/>
        <rFont val="Times New Roman"/>
        <family val="1"/>
      </rPr>
      <t>16.3.10.1.6</t>
    </r>
  </si>
  <si>
    <r>
      <rPr>
        <sz val="11"/>
        <rFont val="Times New Roman"/>
        <family val="1"/>
      </rPr>
      <t>16.3.10.1.7</t>
    </r>
  </si>
  <si>
    <r>
      <rPr>
        <b/>
        <sz val="11"/>
        <rFont val="Times New Roman"/>
        <family val="1"/>
      </rPr>
      <t>16.3.10.2</t>
    </r>
  </si>
  <si>
    <r>
      <rPr>
        <sz val="11"/>
        <rFont val="Times New Roman"/>
        <family val="1"/>
      </rPr>
      <t>16.3.10.2.1</t>
    </r>
  </si>
  <si>
    <r>
      <rPr>
        <sz val="11"/>
        <rFont val="Times New Roman"/>
        <family val="1"/>
      </rPr>
      <t>16.3.10.2.2</t>
    </r>
  </si>
  <si>
    <r>
      <rPr>
        <b/>
        <sz val="11"/>
        <rFont val="Times New Roman"/>
        <family val="1"/>
      </rPr>
      <t>16.3.10.3</t>
    </r>
  </si>
  <si>
    <r>
      <rPr>
        <sz val="11"/>
        <rFont val="Times New Roman"/>
        <family val="1"/>
      </rPr>
      <t>16.3.10.3.1</t>
    </r>
  </si>
  <si>
    <r>
      <rPr>
        <sz val="11"/>
        <rFont val="Times New Roman"/>
        <family val="1"/>
      </rPr>
      <t>16.3.10.3.2</t>
    </r>
  </si>
  <si>
    <r>
      <rPr>
        <sz val="11"/>
        <rFont val="Times New Roman"/>
        <family val="1"/>
      </rPr>
      <t>16.3.10.3.3</t>
    </r>
  </si>
  <si>
    <r>
      <rPr>
        <sz val="11"/>
        <rFont val="Times New Roman"/>
        <family val="1"/>
      </rPr>
      <t>16.3.10.3.4</t>
    </r>
  </si>
  <si>
    <r>
      <rPr>
        <b/>
        <sz val="11"/>
        <rFont val="Times New Roman"/>
        <family val="1"/>
      </rPr>
      <t>16.3.11</t>
    </r>
  </si>
  <si>
    <r>
      <rPr>
        <b/>
        <sz val="11"/>
        <rFont val="Times New Roman"/>
        <family val="1"/>
      </rPr>
      <t>16.3.11.1</t>
    </r>
  </si>
  <si>
    <r>
      <rPr>
        <b/>
        <sz val="11"/>
        <rFont val="Times New Roman"/>
        <family val="1"/>
      </rPr>
      <t>16.3.11.1.1</t>
    </r>
  </si>
  <si>
    <r>
      <rPr>
        <sz val="11"/>
        <rFont val="Times New Roman"/>
        <family val="1"/>
      </rPr>
      <t>16.3.11.1.1.1</t>
    </r>
  </si>
  <si>
    <r>
      <rPr>
        <b/>
        <sz val="11"/>
        <rFont val="Times New Roman"/>
        <family val="1"/>
      </rPr>
      <t>16.3.11.1.2</t>
    </r>
  </si>
  <si>
    <r>
      <rPr>
        <sz val="11"/>
        <rFont val="Times New Roman"/>
        <family val="1"/>
      </rPr>
      <t>16.3.11.1.2.1</t>
    </r>
  </si>
  <si>
    <r>
      <rPr>
        <b/>
        <sz val="11"/>
        <rFont val="Times New Roman"/>
        <family val="1"/>
      </rPr>
      <t>16.3.11.1.3</t>
    </r>
  </si>
  <si>
    <r>
      <rPr>
        <sz val="11"/>
        <rFont val="Times New Roman"/>
        <family val="1"/>
      </rPr>
      <t>16.3.11.1.3.1</t>
    </r>
  </si>
  <si>
    <r>
      <rPr>
        <b/>
        <sz val="11"/>
        <rFont val="Times New Roman"/>
        <family val="1"/>
      </rPr>
      <t>16.3.11.2</t>
    </r>
  </si>
  <si>
    <r>
      <rPr>
        <sz val="11"/>
        <rFont val="Times New Roman"/>
        <family val="1"/>
      </rPr>
      <t>16.3.11.2.1</t>
    </r>
  </si>
  <si>
    <r>
      <rPr>
        <sz val="11"/>
        <rFont val="Times New Roman"/>
        <family val="1"/>
      </rPr>
      <t>16.3.11.2.2</t>
    </r>
  </si>
  <si>
    <r>
      <rPr>
        <sz val="11"/>
        <rFont val="Times New Roman"/>
        <family val="1"/>
      </rPr>
      <t>16.3.11.2.3</t>
    </r>
  </si>
  <si>
    <r>
      <rPr>
        <sz val="11"/>
        <rFont val="Times New Roman"/>
        <family val="1"/>
      </rPr>
      <t>16.3.11.2.4</t>
    </r>
  </si>
  <si>
    <r>
      <rPr>
        <sz val="11"/>
        <rFont val="Times New Roman"/>
        <family val="1"/>
      </rPr>
      <t>16.3.11.2.5</t>
    </r>
  </si>
  <si>
    <r>
      <rPr>
        <sz val="11"/>
        <rFont val="Times New Roman"/>
        <family val="1"/>
      </rPr>
      <t>16.3.11.2.6</t>
    </r>
  </si>
  <si>
    <r>
      <rPr>
        <sz val="11"/>
        <rFont val="Times New Roman"/>
        <family val="1"/>
      </rPr>
      <t>16.3.11.2.7</t>
    </r>
  </si>
  <si>
    <r>
      <rPr>
        <sz val="11"/>
        <rFont val="Times New Roman"/>
        <family val="1"/>
      </rPr>
      <t>16.3.11.2.8</t>
    </r>
  </si>
  <si>
    <r>
      <rPr>
        <b/>
        <sz val="11"/>
        <rFont val="Times New Roman"/>
        <family val="1"/>
      </rPr>
      <t>16.3.11.3</t>
    </r>
  </si>
  <si>
    <r>
      <rPr>
        <sz val="11"/>
        <rFont val="Times New Roman"/>
        <family val="1"/>
      </rPr>
      <t>16.3.11.3.1</t>
    </r>
  </si>
  <si>
    <r>
      <rPr>
        <sz val="11"/>
        <rFont val="Times New Roman"/>
        <family val="1"/>
      </rPr>
      <t>16.3.11.3.2</t>
    </r>
  </si>
  <si>
    <r>
      <rPr>
        <sz val="11"/>
        <rFont val="Times New Roman"/>
        <family val="1"/>
      </rPr>
      <t>16.3.11.3.3</t>
    </r>
  </si>
  <si>
    <r>
      <rPr>
        <sz val="11"/>
        <rFont val="Times New Roman"/>
        <family val="1"/>
      </rPr>
      <t>16.3.11.3.4</t>
    </r>
  </si>
  <si>
    <r>
      <rPr>
        <b/>
        <sz val="11"/>
        <rFont val="Times New Roman"/>
        <family val="1"/>
      </rPr>
      <t>16.3.11.4</t>
    </r>
  </si>
  <si>
    <r>
      <rPr>
        <sz val="11"/>
        <rFont val="Times New Roman"/>
        <family val="1"/>
      </rPr>
      <t>16.3.11.4.1</t>
    </r>
  </si>
  <si>
    <r>
      <rPr>
        <sz val="11"/>
        <rFont val="Times New Roman"/>
        <family val="1"/>
      </rPr>
      <t>16.3.11.4.2</t>
    </r>
  </si>
  <si>
    <r>
      <rPr>
        <sz val="11"/>
        <rFont val="Times New Roman"/>
        <family val="1"/>
      </rPr>
      <t>16.3.11.4.3</t>
    </r>
  </si>
  <si>
    <r>
      <rPr>
        <sz val="11"/>
        <rFont val="Times New Roman"/>
        <family val="1"/>
      </rPr>
      <t>16.3.11.4.4</t>
    </r>
  </si>
  <si>
    <r>
      <rPr>
        <b/>
        <sz val="11"/>
        <rFont val="Times New Roman"/>
        <family val="1"/>
      </rPr>
      <t>16.3.11.5</t>
    </r>
  </si>
  <si>
    <r>
      <rPr>
        <sz val="11"/>
        <rFont val="Times New Roman"/>
        <family val="1"/>
      </rPr>
      <t>16.3.11.5.1</t>
    </r>
  </si>
  <si>
    <r>
      <rPr>
        <sz val="11"/>
        <rFont val="Times New Roman"/>
        <family val="1"/>
      </rPr>
      <t>16.3.11.5.2</t>
    </r>
  </si>
  <si>
    <r>
      <rPr>
        <sz val="11"/>
        <rFont val="Times New Roman"/>
        <family val="1"/>
      </rPr>
      <t>16.3.11.5.3</t>
    </r>
  </si>
  <si>
    <r>
      <rPr>
        <sz val="11"/>
        <rFont val="Times New Roman"/>
        <family val="1"/>
      </rPr>
      <t>16.3.11.5.4</t>
    </r>
  </si>
  <si>
    <r>
      <rPr>
        <b/>
        <sz val="11"/>
        <rFont val="Times New Roman"/>
        <family val="1"/>
      </rPr>
      <t>16.3.11.6</t>
    </r>
  </si>
  <si>
    <r>
      <rPr>
        <sz val="11"/>
        <rFont val="Times New Roman"/>
        <family val="1"/>
      </rPr>
      <t>16.3.11.6.1</t>
    </r>
  </si>
  <si>
    <r>
      <rPr>
        <sz val="11"/>
        <rFont val="Times New Roman"/>
        <family val="1"/>
      </rPr>
      <t>16.3.11.6.2</t>
    </r>
  </si>
  <si>
    <r>
      <rPr>
        <sz val="11"/>
        <rFont val="Times New Roman"/>
        <family val="1"/>
      </rPr>
      <t>16.3.11.6.3</t>
    </r>
  </si>
  <si>
    <r>
      <rPr>
        <sz val="11"/>
        <rFont val="Times New Roman"/>
        <family val="1"/>
      </rPr>
      <t>16.3.11.6.4</t>
    </r>
  </si>
  <si>
    <r>
      <rPr>
        <sz val="11"/>
        <rFont val="Times New Roman"/>
        <family val="1"/>
      </rPr>
      <t>16.3.11.6.5</t>
    </r>
  </si>
  <si>
    <r>
      <rPr>
        <b/>
        <sz val="11"/>
        <rFont val="Times New Roman"/>
        <family val="1"/>
      </rPr>
      <t>16.3.11.7</t>
    </r>
  </si>
  <si>
    <r>
      <rPr>
        <sz val="11"/>
        <rFont val="Times New Roman"/>
        <family val="1"/>
      </rPr>
      <t>16.3.11.7.1</t>
    </r>
  </si>
  <si>
    <r>
      <rPr>
        <sz val="11"/>
        <rFont val="Times New Roman"/>
        <family val="1"/>
      </rPr>
      <t>16.3.11.7.2</t>
    </r>
  </si>
  <si>
    <r>
      <rPr>
        <b/>
        <sz val="11"/>
        <rFont val="Times New Roman"/>
        <family val="1"/>
      </rPr>
      <t>16.3.11.8</t>
    </r>
  </si>
  <si>
    <r>
      <rPr>
        <sz val="11"/>
        <rFont val="Times New Roman"/>
        <family val="1"/>
      </rPr>
      <t>16.3.11.8.1</t>
    </r>
  </si>
  <si>
    <r>
      <rPr>
        <sz val="11"/>
        <rFont val="Times New Roman"/>
        <family val="1"/>
      </rPr>
      <t>16.3.11.8.2</t>
    </r>
  </si>
  <si>
    <r>
      <rPr>
        <sz val="11"/>
        <rFont val="Times New Roman"/>
        <family val="1"/>
      </rPr>
      <t>16.3.11.8.3</t>
    </r>
  </si>
  <si>
    <r>
      <rPr>
        <b/>
        <sz val="11"/>
        <rFont val="Times New Roman"/>
        <family val="1"/>
      </rPr>
      <t>16.3.11.9</t>
    </r>
  </si>
  <si>
    <r>
      <rPr>
        <sz val="11"/>
        <rFont val="Times New Roman"/>
        <family val="1"/>
      </rPr>
      <t>16.3.11.9.1</t>
    </r>
  </si>
  <si>
    <r>
      <rPr>
        <b/>
        <sz val="11"/>
        <rFont val="Times New Roman"/>
        <family val="1"/>
      </rPr>
      <t>16.4</t>
    </r>
  </si>
  <si>
    <r>
      <rPr>
        <b/>
        <sz val="11"/>
        <rFont val="Times New Roman"/>
        <family val="1"/>
      </rPr>
      <t>16.4.1</t>
    </r>
  </si>
  <si>
    <r>
      <rPr>
        <b/>
        <sz val="11"/>
        <rFont val="Times New Roman"/>
        <family val="1"/>
      </rPr>
      <t>16.4.1.1</t>
    </r>
  </si>
  <si>
    <r>
      <rPr>
        <sz val="11"/>
        <rFont val="Times New Roman"/>
        <family val="1"/>
      </rPr>
      <t>16.4.1.1.1</t>
    </r>
  </si>
  <si>
    <r>
      <rPr>
        <b/>
        <sz val="11"/>
        <rFont val="Times New Roman"/>
        <family val="1"/>
      </rPr>
      <t>16.4.1.2</t>
    </r>
  </si>
  <si>
    <r>
      <rPr>
        <sz val="11"/>
        <rFont val="Times New Roman"/>
        <family val="1"/>
      </rPr>
      <t>16.4.1.2.1</t>
    </r>
  </si>
  <si>
    <r>
      <rPr>
        <b/>
        <sz val="11"/>
        <rFont val="Times New Roman"/>
        <family val="1"/>
      </rPr>
      <t>16.4.1.3</t>
    </r>
  </si>
  <si>
    <r>
      <rPr>
        <sz val="11"/>
        <rFont val="Times New Roman"/>
        <family val="1"/>
      </rPr>
      <t>16.4.1.3.1</t>
    </r>
  </si>
  <si>
    <r>
      <rPr>
        <sz val="11"/>
        <rFont val="Times New Roman"/>
        <family val="1"/>
      </rPr>
      <t>16.4.1.3.2</t>
    </r>
  </si>
  <si>
    <r>
      <rPr>
        <sz val="11"/>
        <rFont val="Times New Roman"/>
        <family val="1"/>
      </rPr>
      <t>16.4.1.3.3</t>
    </r>
  </si>
  <si>
    <r>
      <rPr>
        <sz val="11"/>
        <rFont val="Times New Roman"/>
        <family val="1"/>
      </rPr>
      <t>16.4.1.3.4</t>
    </r>
  </si>
  <si>
    <r>
      <rPr>
        <sz val="11"/>
        <rFont val="Times New Roman"/>
        <family val="1"/>
      </rPr>
      <t>16.4.1.3.5</t>
    </r>
  </si>
  <si>
    <r>
      <rPr>
        <sz val="11"/>
        <rFont val="Times New Roman"/>
        <family val="1"/>
      </rPr>
      <t>16.4.1.3.6</t>
    </r>
  </si>
  <si>
    <r>
      <rPr>
        <sz val="11"/>
        <rFont val="Times New Roman"/>
        <family val="1"/>
      </rPr>
      <t>16.4.1.3.7</t>
    </r>
  </si>
  <si>
    <r>
      <rPr>
        <sz val="11"/>
        <rFont val="Times New Roman"/>
        <family val="1"/>
      </rPr>
      <t>16.4.1.3.8</t>
    </r>
  </si>
  <si>
    <r>
      <rPr>
        <b/>
        <sz val="11"/>
        <rFont val="Times New Roman"/>
        <family val="1"/>
      </rPr>
      <t>16.4.1.4</t>
    </r>
  </si>
  <si>
    <r>
      <rPr>
        <sz val="11"/>
        <rFont val="Times New Roman"/>
        <family val="1"/>
      </rPr>
      <t>16.4.1.4.1</t>
    </r>
  </si>
  <si>
    <r>
      <rPr>
        <sz val="11"/>
        <rFont val="Times New Roman"/>
        <family val="1"/>
      </rPr>
      <t>16.4.1.4.2</t>
    </r>
  </si>
  <si>
    <r>
      <rPr>
        <sz val="11"/>
        <rFont val="Times New Roman"/>
        <family val="1"/>
      </rPr>
      <t>16.4.1.4.3</t>
    </r>
  </si>
  <si>
    <r>
      <rPr>
        <b/>
        <sz val="11"/>
        <rFont val="Times New Roman"/>
        <family val="1"/>
      </rPr>
      <t>16.4.1.5</t>
    </r>
  </si>
  <si>
    <r>
      <rPr>
        <sz val="11"/>
        <rFont val="Times New Roman"/>
        <family val="1"/>
      </rPr>
      <t>16.4.1.5.1</t>
    </r>
  </si>
  <si>
    <r>
      <rPr>
        <sz val="11"/>
        <rFont val="Times New Roman"/>
        <family val="1"/>
      </rPr>
      <t>16.4.1.5.2</t>
    </r>
  </si>
  <si>
    <r>
      <rPr>
        <sz val="11"/>
        <rFont val="Times New Roman"/>
        <family val="1"/>
      </rPr>
      <t>16.4.1.5.3</t>
    </r>
  </si>
  <si>
    <r>
      <rPr>
        <sz val="11"/>
        <rFont val="Times New Roman"/>
        <family val="1"/>
      </rPr>
      <t>16.4.1.5.4</t>
    </r>
  </si>
  <si>
    <r>
      <rPr>
        <sz val="11"/>
        <rFont val="Times New Roman"/>
        <family val="1"/>
      </rPr>
      <t>16.4.1.5.5</t>
    </r>
  </si>
  <si>
    <r>
      <rPr>
        <sz val="11"/>
        <rFont val="Times New Roman"/>
        <family val="1"/>
      </rPr>
      <t>16.4.1.5.6</t>
    </r>
  </si>
  <si>
    <r>
      <rPr>
        <sz val="11"/>
        <rFont val="Times New Roman"/>
        <family val="1"/>
      </rPr>
      <t>16.4.1.5.7</t>
    </r>
  </si>
  <si>
    <r>
      <rPr>
        <sz val="11"/>
        <rFont val="Times New Roman"/>
        <family val="1"/>
      </rPr>
      <t>16.4.1.5.8</t>
    </r>
  </si>
  <si>
    <r>
      <rPr>
        <b/>
        <sz val="11"/>
        <rFont val="Times New Roman"/>
        <family val="1"/>
      </rPr>
      <t>16.4.2</t>
    </r>
  </si>
  <si>
    <r>
      <rPr>
        <sz val="11"/>
        <rFont val="Times New Roman"/>
        <family val="1"/>
      </rPr>
      <t>16.4.2.1</t>
    </r>
  </si>
  <si>
    <r>
      <rPr>
        <b/>
        <sz val="11"/>
        <rFont val="Times New Roman"/>
        <family val="1"/>
      </rPr>
      <t>17</t>
    </r>
  </si>
  <si>
    <r>
      <rPr>
        <sz val="11"/>
        <rFont val="Times New Roman"/>
        <family val="1"/>
      </rPr>
      <t>17.1</t>
    </r>
  </si>
  <si>
    <r>
      <rPr>
        <sz val="11"/>
        <rFont val="Times New Roman"/>
        <family val="1"/>
      </rPr>
      <t>17.2</t>
    </r>
  </si>
  <si>
    <r>
      <rPr>
        <sz val="11"/>
        <rFont val="Times New Roman"/>
        <family val="1"/>
      </rPr>
      <t>17.3</t>
    </r>
  </si>
  <si>
    <r>
      <rPr>
        <sz val="11"/>
        <rFont val="Times New Roman"/>
        <family val="1"/>
      </rPr>
      <t>17.4</t>
    </r>
  </si>
  <si>
    <r>
      <rPr>
        <sz val="11"/>
        <rFont val="Times New Roman"/>
        <family val="1"/>
      </rPr>
      <t>17.5</t>
    </r>
  </si>
  <si>
    <r>
      <rPr>
        <sz val="11"/>
        <rFont val="Times New Roman"/>
        <family val="1"/>
      </rPr>
      <t>17.6</t>
    </r>
  </si>
  <si>
    <r>
      <rPr>
        <b/>
        <sz val="11"/>
        <rFont val="Times New Roman"/>
        <family val="1"/>
      </rPr>
      <t>18</t>
    </r>
  </si>
  <si>
    <r>
      <rPr>
        <sz val="11"/>
        <rFont val="Times New Roman"/>
        <family val="1"/>
      </rPr>
      <t>18.1</t>
    </r>
  </si>
  <si>
    <r>
      <rPr>
        <sz val="11"/>
        <rFont val="Times New Roman"/>
        <family val="1"/>
      </rPr>
      <t>18.2</t>
    </r>
  </si>
  <si>
    <r>
      <rPr>
        <sz val="11"/>
        <rFont val="Times New Roman"/>
        <family val="1"/>
      </rPr>
      <t>18.3</t>
    </r>
  </si>
  <si>
    <r>
      <rPr>
        <b/>
        <sz val="11"/>
        <rFont val="Times New Roman"/>
        <family val="1"/>
      </rPr>
      <t>19</t>
    </r>
  </si>
  <si>
    <r>
      <rPr>
        <sz val="11"/>
        <rFont val="Times New Roman"/>
        <family val="1"/>
      </rPr>
      <t>19.1</t>
    </r>
  </si>
  <si>
    <r>
      <rPr>
        <sz val="11"/>
        <rFont val="Times New Roman"/>
        <family val="1"/>
      </rPr>
      <t>19.2</t>
    </r>
  </si>
  <si>
    <r>
      <rPr>
        <b/>
        <sz val="11"/>
        <rFont val="Times New Roman"/>
        <family val="1"/>
      </rPr>
      <t>20</t>
    </r>
  </si>
  <si>
    <r>
      <rPr>
        <b/>
        <sz val="11"/>
        <rFont val="Times New Roman"/>
        <family val="1"/>
      </rPr>
      <t>20.1</t>
    </r>
  </si>
  <si>
    <r>
      <rPr>
        <sz val="11"/>
        <rFont val="Times New Roman"/>
        <family val="1"/>
      </rPr>
      <t>20.1.1</t>
    </r>
  </si>
  <si>
    <r>
      <rPr>
        <b/>
        <sz val="11"/>
        <rFont val="Times New Roman"/>
        <family val="1"/>
      </rPr>
      <t>20.2</t>
    </r>
  </si>
  <si>
    <r>
      <rPr>
        <sz val="11"/>
        <rFont val="Times New Roman"/>
        <family val="1"/>
      </rPr>
      <t>20.2.1</t>
    </r>
  </si>
  <si>
    <r>
      <rPr>
        <sz val="11"/>
        <rFont val="Times New Roman"/>
        <family val="1"/>
      </rPr>
      <t>20.2.2</t>
    </r>
  </si>
  <si>
    <r>
      <rPr>
        <sz val="11"/>
        <rFont val="Times New Roman"/>
        <family val="1"/>
      </rPr>
      <t>20.2.3</t>
    </r>
  </si>
  <si>
    <r>
      <rPr>
        <b/>
        <sz val="11"/>
        <rFont val="Times New Roman"/>
        <family val="1"/>
      </rPr>
      <t>20.3</t>
    </r>
  </si>
  <si>
    <r>
      <rPr>
        <sz val="11"/>
        <rFont val="Times New Roman"/>
        <family val="1"/>
      </rPr>
      <t>20.3.1</t>
    </r>
  </si>
  <si>
    <r>
      <rPr>
        <sz val="11"/>
        <rFont val="Times New Roman"/>
        <family val="1"/>
      </rPr>
      <t>20.3.2</t>
    </r>
  </si>
  <si>
    <r>
      <rPr>
        <sz val="11"/>
        <rFont val="Times New Roman"/>
        <family val="1"/>
      </rPr>
      <t>20.3.3</t>
    </r>
  </si>
  <si>
    <r>
      <rPr>
        <b/>
        <sz val="11"/>
        <rFont val="Times New Roman"/>
        <family val="1"/>
      </rPr>
      <t>21</t>
    </r>
  </si>
  <si>
    <r>
      <rPr>
        <sz val="11"/>
        <rFont val="Times New Roman"/>
        <family val="1"/>
      </rPr>
      <t>21.1</t>
    </r>
  </si>
  <si>
    <r>
      <rPr>
        <sz val="11"/>
        <rFont val="Times New Roman"/>
        <family val="1"/>
      </rPr>
      <t>21.2</t>
    </r>
  </si>
  <si>
    <r>
      <rPr>
        <sz val="11"/>
        <rFont val="Times New Roman"/>
        <family val="1"/>
      </rPr>
      <t>1</t>
    </r>
  </si>
  <si>
    <r>
      <rPr>
        <sz val="11"/>
        <rFont val="Times New Roman"/>
        <family val="1"/>
      </rPr>
      <t>2</t>
    </r>
  </si>
  <si>
    <r>
      <rPr>
        <sz val="11"/>
        <rFont val="Times New Roman"/>
        <family val="1"/>
      </rPr>
      <t>3</t>
    </r>
  </si>
  <si>
    <r>
      <rPr>
        <sz val="11"/>
        <rFont val="Times New Roman"/>
        <family val="1"/>
      </rPr>
      <t>4</t>
    </r>
  </si>
  <si>
    <r>
      <rPr>
        <sz val="11"/>
        <rFont val="Times New Roman"/>
        <family val="1"/>
      </rPr>
      <t>5</t>
    </r>
  </si>
  <si>
    <r>
      <rPr>
        <sz val="11"/>
        <rFont val="Times New Roman"/>
        <family val="1"/>
      </rPr>
      <t>6</t>
    </r>
  </si>
  <si>
    <r>
      <rPr>
        <sz val="11"/>
        <rFont val="Times New Roman"/>
        <family val="1"/>
      </rPr>
      <t>7</t>
    </r>
  </si>
  <si>
    <r>
      <rPr>
        <sz val="11"/>
        <rFont val="Times New Roman"/>
        <family val="1"/>
      </rPr>
      <t>8</t>
    </r>
  </si>
  <si>
    <r>
      <rPr>
        <sz val="11"/>
        <rFont val="Times New Roman"/>
        <family val="1"/>
      </rPr>
      <t>9</t>
    </r>
  </si>
  <si>
    <r>
      <rPr>
        <sz val="11"/>
        <rFont val="Times New Roman"/>
        <family val="1"/>
      </rPr>
      <t>10</t>
    </r>
  </si>
  <si>
    <r>
      <rPr>
        <sz val="11"/>
        <rFont val="Times New Roman"/>
        <family val="1"/>
      </rPr>
      <t>11</t>
    </r>
  </si>
  <si>
    <r>
      <rPr>
        <sz val="11"/>
        <rFont val="Times New Roman"/>
        <family val="1"/>
      </rPr>
      <t>12</t>
    </r>
  </si>
  <si>
    <r>
      <rPr>
        <sz val="11"/>
        <rFont val="Times New Roman"/>
        <family val="1"/>
      </rPr>
      <t>13</t>
    </r>
  </si>
  <si>
    <r>
      <rPr>
        <sz val="11"/>
        <rFont val="Times New Roman"/>
        <family val="1"/>
      </rPr>
      <t>14</t>
    </r>
  </si>
  <si>
    <r>
      <rPr>
        <sz val="11"/>
        <rFont val="Times New Roman"/>
        <family val="1"/>
      </rPr>
      <t>15</t>
    </r>
  </si>
  <si>
    <r>
      <rPr>
        <sz val="11"/>
        <rFont val="Times New Roman"/>
        <family val="1"/>
      </rPr>
      <t>16</t>
    </r>
  </si>
  <si>
    <r>
      <rPr>
        <sz val="11"/>
        <rFont val="Times New Roman"/>
        <family val="1"/>
      </rPr>
      <t>17</t>
    </r>
  </si>
  <si>
    <r>
      <rPr>
        <sz val="11"/>
        <rFont val="Times New Roman"/>
        <family val="1"/>
      </rPr>
      <t>18</t>
    </r>
  </si>
  <si>
    <r>
      <rPr>
        <sz val="11"/>
        <rFont val="Times New Roman"/>
        <family val="1"/>
      </rPr>
      <t>19</t>
    </r>
  </si>
  <si>
    <r>
      <rPr>
        <sz val="11"/>
        <rFont val="Times New Roman"/>
        <family val="1"/>
      </rPr>
      <t>20</t>
    </r>
  </si>
  <si>
    <r>
      <rPr>
        <sz val="11"/>
        <rFont val="Times New Roman"/>
        <family val="1"/>
      </rPr>
      <t>21</t>
    </r>
  </si>
  <si>
    <t xml:space="preserve">EXECUÇÃO DE SANITÁRIO E VESTIÁRIO EM CANTEIRO DE OBRA EM ALVENARIA, NÃO INCLUSO MOBILIÁRIO. </t>
  </si>
  <si>
    <t xml:space="preserve">EXECUÇÃO DE REFEITÓRIO EM CANTEIRO DE OBRA EM ALVENARIA, NÃO INCLUSO MOBILIÁRIO E EQUIPAMENTOS. </t>
  </si>
  <si>
    <t xml:space="preserve">EXECUÇÃO DE ESCRITÓRIO EM CANTEIRO DE OBRA EM ALVENARIA, NÃO INCLUSO MOBILIÁRIO E EQUIPAMENTOS. </t>
  </si>
  <si>
    <t xml:space="preserve">EXECUÇÃO DE ALMOXARIFADO EM CANTEIRO DE OBRA EM ALVENARIA, INCLUSO PRATELEIRAS. </t>
  </si>
  <si>
    <t xml:space="preserve">EXECUÇÃO DE CENTRAL DE ARMADURA EM CANTEIRO DE OBRA, NÃO INCLUSO MOBILIÁRIO E EQUIPAMENTOS. </t>
  </si>
  <si>
    <t xml:space="preserve">EXECUÇÃO DE CENTRAL DE FÔRMAS, PRODUÇÃO DE ARGAMASSA OU CONCRETO EM CANTEIRO DE OBRA, NÃO INCLUSO MOBILIÁRIO E EQUIPAMENTOS. </t>
  </si>
  <si>
    <t xml:space="preserve">REATERRO MANUAL DE VALAS COM COMPACTAÇÃO MECANIZADA. </t>
  </si>
  <si>
    <t xml:space="preserve">COMPACTAÇÃO MECÂNICA DE SOLO PARA EXECUÇÃO DE RADIER, COM COMPACTADOR DE SOLOS A PERCUSSÃO. </t>
  </si>
  <si>
    <t xml:space="preserve">PREPARO DE FUNDO DE VALA COM LARGURA MENOR QUE 1,5 M, EM LOCAL COM NÍVEL BAIXO DE INTERFERÊNCIA. </t>
  </si>
  <si>
    <t xml:space="preserve">ARMAÇÃO DE BLOCO, VIGA BALDRAME OU SAPATA UTILIZANDO AÇO CA-50 DE 6,3 MM - MONTAGEM. </t>
  </si>
  <si>
    <t xml:space="preserve">ARMAÇÃO DE BLOCO, VIGA BALDRAME OU SAPATA UTILIZANDO AÇO CA-50 DE 8 MM - MONTAGEM. </t>
  </si>
  <si>
    <t xml:space="preserve">ARMAÇÃO DE BLOCO, VIGA BALDRAME OU SAPATA UTILIZANDO AÇO CA-50 DE 12,5 MM - MONTAGEM. </t>
  </si>
  <si>
    <t xml:space="preserve">ARMAÇÃO DE BLOCO, VIGA BALDRAME OU SAPATA UTILIZANDO AÇO CA-50 DE 16 MM - MONTAGEM. </t>
  </si>
  <si>
    <t xml:space="preserve">ARMAÇÃO DE BLOCO, VIGA BALDRAME OU SAPATA UTILIZANDO AÇO CA-50 DE 20 MM - MONTAGEM. </t>
  </si>
  <si>
    <t xml:space="preserve">CONCRETO FCK = 30MPA, TRAÇO 1:2,1:2,5 (CIMENTO/ AREIA MÉDIA/ BRITA 1) - PREPARO MECÂNICO COM BETONEIRA 400 L. </t>
  </si>
  <si>
    <t xml:space="preserve">ARMAÇÃO DE BLOCO, VIGA BALDRAME E SAPATA UTILIZANDO AÇO CA-60 DE 5 MM - MONTAGEM. </t>
  </si>
  <si>
    <t xml:space="preserve">ARMAÇÃO DE BLOCO, VIGA BALDRAME OU SAPATA UTILIZANDO AÇO CA-50 DE 10 MM - MONTAGEM. </t>
  </si>
  <si>
    <t xml:space="preserve">FABRICAÇÃO, MONTAGEM E DESMONTAGEM DE FORMA PARA RADIER, EM MADEIRA SERRADA, 4 UTILIZAÇÕES. </t>
  </si>
  <si>
    <t xml:space="preserve">FORMAS MANUSEÁVEIS PARA PAREDES DE CONCRETO MOLDADAS IN LOCO, DE EDIFICAÇÕES DE PAVIMENTO ÚNICO, EM LAJES. </t>
  </si>
  <si>
    <t xml:space="preserve">MONTAGEM E DESMONTAGEM DE FÔRMA DE LAJE MACIÇA COM ÁREA MÉDIA MENOR OU IGUAL A 20 M², PÉ-DIREITO SIMPLES, EM MADEIRA SERRADA, 1 UTILIZAÇÃO. </t>
  </si>
  <si>
    <t xml:space="preserve">ARMAÇÃO DE PILAR OU VIGA DE UMA ESTRUTURA CONVENCIONAL DE CONCRETO ARMADO EM UM EDIFÍCIO DE MÚLTIPLOS PAVIMENTOS UTILIZANDO AÇO CA-60 DE 5,0 MM - MONTAGEM. </t>
  </si>
  <si>
    <t xml:space="preserve">ARMAÇÃO DE PILAR OU VIGA DE UMA ESTRUTURA CONVENCIONAL DE CONCRETO ARMADO EM UM EDIFÍCIO DE MÚLTIPLOS PAVIMENTOS UTILIZANDO AÇO CA-50 DE 6,3 MM - MONTAGEM. </t>
  </si>
  <si>
    <t xml:space="preserve">ARMAÇÃO DE PILAR OU VIGA DE UMA ESTRUTURA CONVENCIONAL DE CONCRETO ARMADO EM UM EDIFÍCIO DE MÚLTIPLOS PAVIMENTOS UTILIZANDO AÇO CA-50 DE 8,0 MM - MONTAGEM. </t>
  </si>
  <si>
    <t xml:space="preserve">ARMAÇÃO DE PILAR OU VIGA DE UMA ESTRUTURA CONVENCIONAL DE CONCRETO ARMADO EM UM EDIFÍCIO DE MÚLTIPLOS PAVIMENTOS UTILIZANDO AÇO CA-50 DE 10,0 MM - MONTAGEM. </t>
  </si>
  <si>
    <t xml:space="preserve">ARMAÇÃO DE PILAR OU VIGA DE UMA ESTRUTURA CONVENCIONAL DE CONCRETO ARMADO EM UM EDIFÍCIO DE MÚLTIPLOS PAVIMENTOS UTILIZANDO AÇO CA-50 DE 12,5 MM - MONTAGEM. </t>
  </si>
  <si>
    <t xml:space="preserve">ARMAÇÃO DE PILAR OU VIGA DE UMA ESTRUTURA CONVENCIONAL DE CONCRETO ARMADO EM UM EDIFÍCIO DE MÚLTIPLOS PAVIMENTOS UTILIZANDO AÇO CA-50 DE 16,0 MM - MONTAGEM. </t>
  </si>
  <si>
    <t xml:space="preserve">CONCRETAGEM DE VIGAS E LAJES, FCK=30 MPA, PARA LAJES MACIÇAS OU NERVURADAS COM USO DE BOMBA EM EDIFICAÇÃO COM ÁREA MÉDIA DE LAJES MENOR OU IGUAL A 20 M² - LANÇAMENTO, ADENSAMENTO E ACABAMENTO. </t>
  </si>
  <si>
    <t xml:space="preserve">ALVENARIA DE VEDAÇÃO DE BLOCOS CERÂMICOS FURADOS NA HORIZONTAL DE 9X14X19CM (ESPESSURA 9CM) DE PAREDES COM ÁREA LÍQUIDA MAIOR OU IGUAL A 6M² SEM VÃOS E ARGAMASSA DE ASSENTAMENTO COM PREPARO MANUAL. </t>
  </si>
  <si>
    <t xml:space="preserve">FIXAÇÃO (ENCUNHAMENTO) DE ALVENARIA DE VEDAÇÃO COM TIJOLO MACIÇO. </t>
  </si>
  <si>
    <t xml:space="preserve">VERGA MOLDADA IN LOCO EM CONCRETO PARA PORTAS COM ATÉ 1,5 M DE VÃO. </t>
  </si>
  <si>
    <t xml:space="preserve">VERGA MOLDADA IN LOCO EM CONCRETO PARA PORTAS COM MAIS DE 1,5 M DE VÃO. </t>
  </si>
  <si>
    <t xml:space="preserve">VERGA MOLDADA IN LOCO EM CONCRETO PARA JANELAS COM ATÉ 1,5 M DE VÃO. </t>
  </si>
  <si>
    <t xml:space="preserve">CONTRAVERGA MOLDADA IN LOCO EM CONCRETO PARA VÃOS DE ATÉ 1,5 M DE COMPRIMENTO. </t>
  </si>
  <si>
    <t xml:space="preserve">VERGA MOLDADA IN LOCO EM CONCRETO PARA JANELAS COM MAIS DE 1,5 M DE VÃO. </t>
  </si>
  <si>
    <t xml:space="preserve">CONTRAVERGA MOLDADA IN LOCO EM CONCRETO PARA VÃOS DE MAIS DE 1,5 M DE COMPRIMENTO. </t>
  </si>
  <si>
    <t xml:space="preserve">MONTAGEM E DESMONTAGEM DE FÔRMA DE PILARES RETANGULARES E ESTRUTURAS SIMILARES COM ÁREA MÉDIA DAS SEÇÕES MENOR OU IGUAL A 0,25 M², PÉ-DIREITO SIMPLES, EM MADEIRA SERRADA, 1 UTILIZAÇÃO. </t>
  </si>
  <si>
    <t xml:space="preserve">ARMAÇÃO DE PILAR OU VIGA DE UMA ESTRUTURA CONVENCIONAL DE CONCRETO ARMADO EM UM EDIFÍCIO DE MÚLTIPLOS PAVIMENTOS UTILIZANDO AÇO CA-50 DE 20,0 MM - MONTAGEM. </t>
  </si>
  <si>
    <t xml:space="preserve">ARMAÇÃO DE PILAR OU VIGA DE UMA ESTRUTURA CONVENCIONAL DE CONCRETO ARMADO EM UM EDIFÍCIO DE MÚLTIPLOS PAVIMENTOS UTILIZANDO AÇO CA-50 DE 25,0 MM - MONTAGEM. </t>
  </si>
  <si>
    <t xml:space="preserve">CONCRETAGEM DE PILARES, FCK = 30 MPA, COM USO DE BOMBA EM EDIFICAÇÃO COM SEÇÃO MÉDIA DE PILARES MENOR OU IGUAL A 0,25 M² - LANÇAMENTO, ADENSAMENTO E ACABAMENTO. </t>
  </si>
  <si>
    <t xml:space="preserve">MONTAGEM E DESMONTAGEM DE FÔRMA DE VIGA, ESCORAMENTO METÁLICO, PÉ-DIREITO SIMPLES, EM CHAPA DE MADEIRA RESINADA, 2 UTILIZAÇÕES. </t>
  </si>
  <si>
    <t xml:space="preserve">ARMAÇÃO DE LAJE DE UMA ESTRUTURA CONVENCIONAL DE CONCRETO ARMADO EM UM EDIFÍCIO DE MÚLTIPLOS PAVIMENTOS UTILIZANDO AÇO CA-50 DE 6,3 MM - MONTAGEM. </t>
  </si>
  <si>
    <t xml:space="preserve">ARMAÇÃO DE LAJE DE UMA ESTRUTURA CONVENCIONAL DE CONCRETO ARMADO EM UM EDIFÍCIO DE MÚLTIPLOS PAVIMENTOS UTILIZANDO AÇO CA-50 DE 8,0 MM - MONTAGEM. </t>
  </si>
  <si>
    <t xml:space="preserve">ARMAÇÃO DE LAJE DE UMA ESTRUTURA CONVENCIONAL DE CONCRETO ARMADO EM UM EDIFÍCIO DE MÚLTIPLOS PAVIMENTOS UTILIZANDO AÇO CA-50 DE 10,0 MM - MONTAGEM. </t>
  </si>
  <si>
    <t xml:space="preserve">ARMAÇÃO DE LAJE DE UMA ESTRUTURA CONVENCIONAL DE CONCRETO ARMADO EM UM EDIFÍCIO DE MÚLTIPLOS PAVIMENTOS UTILIZANDO AÇO CA-50 DE 12,5 MM - MONTAGEM. </t>
  </si>
  <si>
    <t xml:space="preserve">ARMAÇÃO DE LAJE DE UMA ESTRUTURA CONVENCIONAL DE CONCRETO ARMADO EM UM EDIFÍCIO DE MÚLTIPLOS PAVIMENTOS UTILIZANDO AÇO CA-50 DE 16,0 MM - MONTAGEM. </t>
  </si>
  <si>
    <t xml:space="preserve">ARMAÇÃO DE LAJE DE UMA ESTRUTURA CONVENCIONAL DE CONCRETO ARMADO EM UM EDIFÍCIO DE MÚLTIPLOS PAVIMENTOS UTILIZANDO AÇO CA-50 DE 20,0 MM - MONTAGEM. </t>
  </si>
  <si>
    <t xml:space="preserve">ARMAÇÃO DE ESCADA, COM 2 LANCES, DE UMA ESTRUTURA CONVENCIONAL DE CONCRETO ARMADO UTILIZANDO AÇO CA-50 DE 6,3 MM - MONTAGEM. </t>
  </si>
  <si>
    <t xml:space="preserve">ARMAÇÃO DE ESCADA, COM 2 LANCES, DE UMA ESTRUTURA CONVENCIONAL DE CONCRETO ARMADO UTILIZANDO AÇO CA-50 DE 8,0 MM - MONTAGEM. </t>
  </si>
  <si>
    <t xml:space="preserve">ARMAÇÃO DE ESCADA, COM 2 LANCES, DE UMA ESTRUTURA CONVENCIONAL DE CONCRETO ARMADO UTILIZANDO AÇO CA-50 DE 10,0 MM - MONTAGEM. </t>
  </si>
  <si>
    <t xml:space="preserve">TRAMA DE AÇO COMPOSTA POR TERÇAS PARA TELHADOS DE ATÉ 2 ÁGUAS PARA TELHA ONDULADA DE FIBROCIMENTO, METÁLICA, PLÁSTICA OU TERMOACÚSTICA, INCLUSO TRANSPORTE VERTICAL. </t>
  </si>
  <si>
    <t xml:space="preserve">TELHAMENTO COM TELHA METÁLICA TERMOACÚSTICA E = 30 MM, COM ATÉ 2 ÁGUAS, INCLUSO IÇAMENTO. </t>
  </si>
  <si>
    <t xml:space="preserve">CHAPISCO APLICADO EM ALVENARIAS E ESTRUTURAS DE CONCRETO INTERNAS, COMCOLHER DE PEDREIRO. ARGAMASSA TRAÇO 1:3 COM PREPARO MANUAL. </t>
  </si>
  <si>
    <t xml:space="preserve">EMBOÇO, PARA RECEBIMENTO DE CERÂMICA, EM ARGAMASSA TRAÇO 1:2:8, PREPARO MECÂNICO COM BETONEIRA 400L, APLICADO MANUALMENTE EM FACES INTERNASDE PAREDES, PARA AMBIENTE COM ÁREA MAIOR QUE 10M2, ESPESSURA DE 20MM,COM EXECUÇÃO DE TALISCAS. </t>
  </si>
  <si>
    <t xml:space="preserve">MASSA ÚNICA, PARA RECEBIMENTO DE PINTURA, EM ARGAMASSA TRAÇO 1:2:8, PREPARO MANUAL, APLICADA MANUALMENTE EM FACES INTERNAS DE PAREDES, ESPESSURA DE 20MM, COM EXECUÇÃO DE TALISCAS. </t>
  </si>
  <si>
    <t xml:space="preserve">ASSENTAMENTO DE GUIA (MEIO-FIO) EM TRECHO RETO, CONFECCIONADA EM CONCRETO PRÉ-FABRICADO, DIMENSÕES 100X15X13X20 CM (COMPRIMENTO X BASE INFERIOR X BASE SUPERIOR X ALTURA), PARA URBANIZAÇÃO INTERNA DE EMPREENDIMENTOS. </t>
  </si>
  <si>
    <t xml:space="preserve">CAIXA SIFONADA, PVC, DN 150 X 185 X 75 MM, FORNECIDA E INSTALADA EM RAMAIS DE ENCAMINHAMENTO DE ÁGUA PLUVIAL. </t>
  </si>
  <si>
    <t xml:space="preserve">CAIXA SIFONADA, PVC, DN 100 X 100 X 50 MM, FORNECIDA E INSTALADA EM RAMAIS DE ENCAMINHAMENTO DE ÁGUA PLUVIAL. </t>
  </si>
  <si>
    <t xml:space="preserve">RALO SECO, PVC, DN 100 X 40 MM, JUNTA SOLDÁVEL, FORNECIDO E INSTALADO EM RAMAL DE DESCARGA OU EM RAMAL DE ESGOTO SANITÁRIO. </t>
  </si>
  <si>
    <t xml:space="preserve">TUBO, PVC, SOLDÁVEL, DN 25MM, INSTALADO EM RAMAL OU SUB-RAMAL DE ÁGUA - FORNECIMENTO E INSTALAÇÃO. </t>
  </si>
  <si>
    <t xml:space="preserve">TUBO, PVC, SOLDÁVEL, DN 32MM, INSTALADO EM RAMAL OU SUB-RAMAL DE ÁGUA - FORNECIMENTO E INSTALAÇÃO. </t>
  </si>
  <si>
    <t xml:space="preserve">TUBO, PVC, SOLDÁVEL, DN 40MM, INSTALADO EM PRUMADA DE ÁGUA - FORNECIMENTO E INSTALAÇÃO. </t>
  </si>
  <si>
    <t xml:space="preserve">TUBO, PVC, SOLDÁVEL, DN 50MM, INSTALADO EM PRUMADA DE ÁGUA - FORNECIMENTO E INSTALAÇÃO. </t>
  </si>
  <si>
    <t xml:space="preserve">TUBO, PVC, SOLDÁVEL, DN 75MM, INSTALADO EM PRUMADA DE ÁGUA - FORNECIMENTO E INSTALAÇÃO. </t>
  </si>
  <si>
    <t xml:space="preserve">LUVA DE CORRER, PVC, SOLDÁVEL, DN 25MM, INSTALADO EM RAMAL DE DISTRIBUIÇÃO DE ÁGUA - FORNECIMENTO E INSTALAÇÃO. </t>
  </si>
  <si>
    <t xml:space="preserve">LUVA DE CORRER, PVC, SOLDÁVEL, DN 32MM, INSTALADO EM RAMAL DE DISTRIBUIÇÃO DE ÁGUA   FORNECIMENTO E INSTALAÇÃO. </t>
  </si>
  <si>
    <t xml:space="preserve">LUVA DE CORRER, PVC, SOLDÁVEL, DN 50MM, INSTALADO EM PRUMADA DE ÁGUA - FORNECIMENTO E INSTALAÇÃO. </t>
  </si>
  <si>
    <t xml:space="preserve">BUCHA DE REDUÇÃO, PVC, SOLDÁVEL, DN 32 X 25 MM, INSTALADO EM RAMAL OU SUB-RAMAL DE ÁGUA - FORNECIMENTO E INSTALAÇÃO. </t>
  </si>
  <si>
    <t xml:space="preserve">BUCHA DE REDUÇÃO, PVC, SOLDÁVEL, DN 40 X 25 MM, INSTALADO EM RAMAL OU SUB-RAMAL DE ÁGUA - FORNECIMENTO E INSTALAÇÃO. </t>
  </si>
  <si>
    <t xml:space="preserve">BUCHA DE REDUÇÃO, PVC, SOLDÁVEL, DN 40MM X 32MM, INSTALADO EM RAMAL OU SUB-RAMAL DE ÁGUA - FORNECIMENTO E INSTALAÇÃO. </t>
  </si>
  <si>
    <t xml:space="preserve">BUCHA DE REDUÇÃO, PVC, SOLDÁVEL, DN 50 X 32 MM, INSTALADO EM RAMAL OU SUB-RAMAL DE ÁGUA - FORNECIMENTO E INSTALAÇÃO. </t>
  </si>
  <si>
    <t xml:space="preserve">BUCHA DE REDUÇÃO, PVC, SOLDÁVEL, DN 50 X 40 MM, INSTALADO EM RAMAL OU SUB-RAMAL DE ÁGUA - FORNECIMENTO E INSTALAÇÃO. </t>
  </si>
  <si>
    <t xml:space="preserve">JOELHO 90 GRAUS, PVC, SOLDÁVEL, DN 25MM, INSTALADO EM RAMAL DE DISTRIBUIÇÃO DE ÁGUA - FORNECIMENTO E INSTALAÇÃO. </t>
  </si>
  <si>
    <t xml:space="preserve">JOELHO 90 GRAUS, PVC, SOLDÁVEL, DN 32MM, INSTALADO EM RAMAL DE DISTRIBUIÇÃO DE ÁGUA - FORNECIMENTO E INSTALAÇÃO. </t>
  </si>
  <si>
    <t xml:space="preserve">JOELHO 90 GRAUS, PVC, SOLDÁVEL, DN 40MM, INSTALADO EM PRUMADA DE ÁGUA - FORNECIMENTO E INSTALAÇÃO. </t>
  </si>
  <si>
    <t xml:space="preserve">JOELHO 90 GRAUS, PVC, SOLDÁVEL, DN 50MM, INSTALADO EM PRUMADA DE ÁGUA - FORNECIMENTO E INSTALAÇÃO. </t>
  </si>
  <si>
    <t xml:space="preserve">JOELHO 90 GRAUS, PVC, SOLDÁVEL, DN 75MM, INSTALADO EM PRUMADA DE ÁGUA - FORNECIMENTO E INSTALAÇÃO. </t>
  </si>
  <si>
    <t xml:space="preserve">JOELHO 45 GRAUS, PVC, SOLDÁVEL, DN 25MM, INSTALADO EM RAMAL DE DISTRIBUIÇÃO DE ÁGUA - FORNECIMENTO E INSTALAÇÃO. </t>
  </si>
  <si>
    <t xml:space="preserve">TE, PVC, SOLDÁVEL, DN 25MM, INSTALADO EM RAMAL DE DISTRIBUIÇÃO DE ÁGUA - FORNECIMENTO E INSTALAÇÃO. </t>
  </si>
  <si>
    <t xml:space="preserve">TE, PVC, SOLDÁVEL, DN 32MM, INSTALADO EM RAMAL DE DISTRIBUIÇÃO DE ÁGUA - FORNECIMENTO E INSTALAÇÃO. </t>
  </si>
  <si>
    <t xml:space="preserve">TE, PVC, SOLDÁVEL, DN 50MM, INSTALADO EM PRUMADA DE ÁGUA - FORNECIMENTO E INSTALAÇÃO. </t>
  </si>
  <si>
    <t xml:space="preserve">TE, PVC, REDUCAO, PVC, SOLDAVEL, 90 GRAUS, 32 MM X 25 MM, INSTALADO EM RAMAL DE DISTRIBUIÇÃO DE ÁGUA - FORNECIMENTO E INSTALAÇÃO. </t>
  </si>
  <si>
    <t xml:space="preserve">TE, PVC, REDUCAO, PVC, SOLDAVEL, 90 GRAUS, 40 MM X 25 MM, INSTALADO EM RAMAL DE DISTRIBUIÇÃO DE ÁGUA - FORNECIMENTO E INSTALAÇÃO. </t>
  </si>
  <si>
    <t xml:space="preserve">TE, PVC, REDUCAO, PVC, SOLDAVEL, 90 GRAUS, 50 MM X 40 MM, INSTALADO EM RAMAL DE DISTRIBUIÇÃO DE ÁGUA - FORNECIMENTO E INSTALAÇÃO. </t>
  </si>
  <si>
    <t xml:space="preserve">SABONETEIRA PLASTICA TIPO DISPENSER PARA SABONETE LIQUIDO COM RESERVATORIO 800 A 1500 ML, INCLUSO FIXAÇÃO. </t>
  </si>
  <si>
    <t xml:space="preserve">BANCADA DE GRANITO BRANCO CEARÁ PARA LAVATÓRIO 0,50 X 0,60 M, COM CUBA DE SEMI-ENCAIXE - FORNECIMENTO E INSTALAÇÃO. </t>
  </si>
  <si>
    <t xml:space="preserve">SIFÃO DO TIPO GARRAFA EM METAL CROMADO 1 X 1.1/2" - FORNECIMENTO E INSTALAÇÃO. </t>
  </si>
  <si>
    <t xml:space="preserve">PORTA TOALHA BANHO EM METAL CROMADO, TIPO BARRA, INCLUSO FIXAÇÃO. </t>
  </si>
  <si>
    <t xml:space="preserve">TANQUE DE LOUÇA BRANCA SUSPENSO, 18L OU EQUIVALENTE, INCLUSO SIFÃO TIPO GARRAFA EM PVC, VÁLVULA PLÁSTICA E TORNEIRA DE METAL CROMADO PADRÃO POPULAR - FORNECIMENTO E INSTALAÇÃO. </t>
  </si>
  <si>
    <t xml:space="preserve">BANCADA DE GRANITO CINZA POLIDO 150 X 60 CM, COM CUBA DE EMBUTIR DE AÇO INOXIDÁVEL MÉDIA, VÁLVULA AMERICANA EM METAL CROMADO, SIFÃO FLEXÍVEL EM PVC, ENGATE FLEXÍVEL 30 CM, TORNEIRA CROMADA LONGA DE PAREDE, 1/2 OU 3/4, PARA PIA DE COZINHA, PADRÃO POPULAR- FORNEC. E INSTAL. </t>
  </si>
  <si>
    <t xml:space="preserve">REGISTRO DE PRESSÃO BRUTO, LATÃO, ROSCÁVEL, 3/4", COM ACABAMENTO E CANOPLA CROMADOS. FORNECIDO E INSTALADO EM RAMAL DE ÁGUA. </t>
  </si>
  <si>
    <t xml:space="preserve">REGISTRO DE GAVETA BRUTO, LATÃO, ROSCÁVEL, 3/4", FORNECIDO E INSTALADO EM RAMAL DE ÁGUA. </t>
  </si>
  <si>
    <t xml:space="preserve">REGISTRO DE GAVETA BRUTO, LATÃO, ROSCÁVEL, 1?, INSTALADO EM RESERVAÇÃO DE ÁGUA DE EDIFICAÇÃO QUE POSSUA RESERVATÓRIO DE FIBRA/FIBROCIMENTO ? FORNECIMENTO E INSTALAÇÃO. </t>
  </si>
  <si>
    <t xml:space="preserve">REGISTRO DE GAVETA BRUTO, LATÃO, ROSCÁVEL, 1 1/4?, COM ACABAMENTO E CANOPLA CROMADOS, INSTALADO EM RESERVAÇÃO DE ÁGUA DE EDIFICAÇÃO QUE POSSUA RESERVATÓRIO DE FIBRA/FIBROCIMENTO ? FORNECIMENTO E INSTALAÇÃO. </t>
  </si>
  <si>
    <t xml:space="preserve">REGISTRO DE GAVETA BRUTO, LATÃO, ROSCÁVEL, 1 1/2?, INSTALADO EM RESERVAÇÃO DE ÁGUA DE EDIFICAÇÃO QUE POSSUA RESERVATÓRIO DE FIBRA/FIBROCIMENTO ? FORNECIMENTO E INSTALAÇÃO. </t>
  </si>
  <si>
    <t xml:space="preserve">REGISTRO DE GAVETA BRUTO, LATÃO, ROSCÁVEL, 3/4", COM ACABAMENTO E CANOPLA CROMADOS. FORNECIDO E INSTALADO EM RAMAL DE ÁGUA. </t>
  </si>
  <si>
    <t xml:space="preserve">REGISTRO DE GAVETA BRUTO, LATÃO, ROSCÁVEL, 1?, COM ACABAMENTO E CANOPLA CROMADOS, INSTALADO EM RESERVAÇÃO DE ÁGUA DE EDIFICAÇÃO QUE POSSUA RESERVATÓRIO DE FIBRA/FIBROCIMENTO ? FORNECIMENTO E INSTALAÇÃO. </t>
  </si>
  <si>
    <t xml:space="preserve">TORNEIRA DE BÓIA REAL, ROSCÁVEL, 1", FORNECIDA E INSTALADA EM RESERVAÇÃO DE ÁGUA. </t>
  </si>
  <si>
    <t xml:space="preserve">(COMPOSIÇÃO REPRESENTATIVA) DO SERVIÇO DE INSTALAÇÃO DE TUBOS DE PVC, SÉRIE R, ÁGUA PLUVIAL, DN 150 MM (INSTALADO EM CONDUTORES VERTICAIS), INCLUSIVE CONEXÕES, CORTES E FIXAÇÕES, PARA PRÉDIOS. </t>
  </si>
  <si>
    <t xml:space="preserve">TUBO PVC, SÉRIE R, ÁGUA PLUVIAL, DN 100 MM, FORNECIDO E INSTALADO EM CONDUTORES VERTICAIS DE ÁGUAS PLUVIAIS. </t>
  </si>
  <si>
    <t xml:space="preserve">TUBO PVC, SÉRIE R, ÁGUA PLUVIAL, DN 75 MM, FORNECIDO E INSTALADO EM CONDUTORES VERTICAIS DE ÁGUAS PLUVIAIS. </t>
  </si>
  <si>
    <t xml:space="preserve">JOELHO 90 GRAUS, PVC, SERIE R, ÁGUA PLUVIAL, DN 150 MM, JUNTA ELÁSTICA, FORNECIDO E INSTALADO EM CONDUTORES VERTICAIS DE ÁGUAS PLUVIAIS. </t>
  </si>
  <si>
    <t xml:space="preserve">JOELHO 45 GRAUS, PVC, SERIE R, ÁGUA PLUVIAL, DN 150 MM, JUNTA ELÁSTICA, FORNECIDO E INSTALADO EM CONDUTORES VERTICAIS DE ÁGUAS PLUVIAIS. </t>
  </si>
  <si>
    <t xml:space="preserve">JOELHO 90 GRAUS, PVC, SERIE R, ÁGUA PLUVIAL, DN 100 MM, JUNTA ELÁSTICA, FORNECIDO E INSTALADO EM CONDUTORES VERTICAIS DE ÁGUAS PLUVIAIS. </t>
  </si>
  <si>
    <t xml:space="preserve">JOELHO 45 GRAUS, PVC, SERIE R, ÁGUA PLUVIAL, DN 100 MM, JUNTA ELÁSTICA, FORNECIDO E INSTALADO EM CONDUTORES VERTICAIS DE ÁGUAS PLUVIAIS. </t>
  </si>
  <si>
    <t xml:space="preserve">JOELHO 90 GRAUS, PVC, SOLDÁVEL, DN 32MM, INSTALADO EM PRUMADA DE ÁGUA - FORNECIMENTO E INSTALAÇÃO. </t>
  </si>
  <si>
    <t xml:space="preserve">JOELHO 45 GRAUS, PVC, SERIE R, ÁGUA PLUVIAL, DN 40 MM, JUNTA SOLDÁVEL, FORNECIDO E INSTALADO EM RAMAL DE ENCAMINHAMENTO. </t>
  </si>
  <si>
    <t xml:space="preserve">JOELHO 45 GRAUS, PVC, SERIE R, ÁGUA PLUVIAL, DN 75 MM, JUNTA ELÁSTICA, FORNECIDO E INSTALADO EM CONDUTORES VERTICAIS DE ÁGUAS PLUVIAIS. </t>
  </si>
  <si>
    <t xml:space="preserve">JOELHO 45 GRAUS, PVC, SOLDÁVEL, DN 32MM, INSTALADO EM RAMAL OU SUB-RAMAL DE ÁGUA - FORNECIMENTO E INSTALAÇÃO. </t>
  </si>
  <si>
    <t xml:space="preserve">JUNÇÃO SIMPLES, PVC, SERIE R, ÁGUA PLUVIAL, DN 100 X 100 MM, JUNTA ELÁSTICA, FORNECIDO E INSTALADO EM CONDUTORES VERTICAIS DE ÁGUAS PLUVIAIS. </t>
  </si>
  <si>
    <t xml:space="preserve">JUNÇÃO DUPLA, PVC, SERIE R, ÁGUA PLUVIAL, DN 100 X 100 X 100 MM, JUNTA ELÁSTICA, FORNECIDO E INSTALADO EM RAMAL DE ENCAMINHAMENTO. </t>
  </si>
  <si>
    <t xml:space="preserve">TE, PVC, SOLDÁVEL, DN 32MM, INSTALADO EM PRUMADA DE ÁGUA - FORNECIMENTO E INSTALAÇÃO. </t>
  </si>
  <si>
    <t xml:space="preserve">RALO SIFONADO, PVC, DN 100 X 40 MM, JUNTA SOLDÁVEL, FORNECIDO E INSTALADO EM RAMAIS DE ENCAMINHAMENTO DE ÁGUA PLUVIAL. </t>
  </si>
  <si>
    <t xml:space="preserve">TUBO PVC, SERIE NORMAL, ESGOTO PREDIAL, DN 40 MM, FORNECIDO E INSTALADO EM RAMAL DE DESCARGA OU RAMAL DE ESGOTO SANITÁRIO. </t>
  </si>
  <si>
    <t xml:space="preserve">TUBO PVC, SERIE NORMAL, ESGOTO PREDIAL, DN 50 MM, FORNECIDO E INSTALADO EM PRUMADA DE ESGOTO SANITÁRIO OU VENTILAÇÃO. </t>
  </si>
  <si>
    <t xml:space="preserve">TUBO PVC, SERIE NORMAL, ESGOTO PREDIAL, DN 75 MM, FORNECIDO E INSTALADO EM PRUMADA DE ESGOTO SANITÁRIO OU VENTILAÇÃO. </t>
  </si>
  <si>
    <t xml:space="preserve">TUBO PVC, SERIE NORMAL, ESGOTO PREDIAL, DN 100 MM, FORNECIDO E INSTALADO EM RAMAL DE DESCARGA OU RAMAL DE ESGOTO SANITÁRIO. </t>
  </si>
  <si>
    <t xml:space="preserve">TUBO PVC, SERIE NORMAL, ESGOTO PREDIAL, DN 150 MM, FORNECIDO E INSTALADO EM SUBCOLETOR AÉREO DE ESGOTO SANITÁRIO. </t>
  </si>
  <si>
    <t xml:space="preserve">JOELHO 90 GRAUS, PVC, SERIE NORMAL, ESGOTO PREDIAL, DN 50 MM, JUNTA ELÁSTICA, FORNECIDO E INSTALADO EM RAMAL DE DESCARGA OU RAMAL DE ESGOTO SANITÁRIO. </t>
  </si>
  <si>
    <t xml:space="preserve">JOELHO 90 GRAUS, PVC, SERIE NORMAL, ESGOTO PREDIAL, DN 40 MM, JUNTA SOLDÁVEL, FORNECIDO E INSTALADO EM RAMAL DE DESCARGA OU RAMAL DE ESGOTO SANITÁRIO. </t>
  </si>
  <si>
    <t xml:space="preserve">JOELHO 90 GRAUS, PVC, SERIE NORMAL, ESGOTO PREDIAL, DN 75 MM, JUNTA ELÁSTICA, FORNECIDO E INSTALADO EM PRUMADA DE ESGOTO SANITÁRIO OU VENTILAÇÃO. </t>
  </si>
  <si>
    <t xml:space="preserve">JOELHO 90 GRAUS, PVC, SERIE NORMAL, ESGOTO PREDIAL, DN 100 MM, JUNTA ELÁSTICA, FORNECIDO E INSTALADO EM RAMAL DE DESCARGA OU RAMAL DE ESGOTO SANITÁRIO. </t>
  </si>
  <si>
    <t xml:space="preserve">JOELHO 90 GRAUS, PVC, SERIE NORMAL, ESGOTO PREDIAL, DN 150 MM, JUNTA ELÁSTICA, FORNECIDO E INSTALADO EM SUBCOLETOR AÉREO DE ESGOTO SANITÁRIO. </t>
  </si>
  <si>
    <t xml:space="preserve">JOELHO 45 GRAUS, PVC, SERIE NORMAL, ESGOTO PREDIAL, DN 150 MM, JUNTA ELÁSTICA, FORNECIDO E INSTALADO EM SUBCOLETOR AÉREO DE ESGOTO SANITÁRIO. </t>
  </si>
  <si>
    <t xml:space="preserve">JOELHO 45 GRAUS, PVC, SERIE NORMAL, ESGOTO PREDIAL, DN 100 MM, JUNTA ELÁSTICA, FORNECIDO E INSTALADO EM RAMAL DE DESCARGA OU RAMAL DE ESGOTO SANITÁRIO. </t>
  </si>
  <si>
    <t xml:space="preserve">JOELHO 45 GRAUS, PVC, SERIE NORMAL, ESGOTO PREDIAL, DN 75 MM, JUNTA ELÁSTICA, FORNECIDO E INSTALADO EM RAMAL DE DESCARGA OU RAMAL DE ESGOTO SANITÁRIO. </t>
  </si>
  <si>
    <t xml:space="preserve">JOELHO 45 GRAUS, PVC, SERIE NORMAL, ESGOTO PREDIAL, DN 50 MM, JUNTA ELÁSTICA, FORNECIDO E INSTALADO EM PRUMADA DE ESGOTO SANITÁRIO OU VENTILAÇÃO. </t>
  </si>
  <si>
    <t xml:space="preserve">JOELHO 45 GRAUS, PVC, SERIE NORMAL, ESGOTO PREDIAL, DN 40 MM, JUNTA SOLDÁVEL, FORNECIDO E INSTALADO EM RAMAL DE DESCARGA OU RAMAL DE ESGOTO SANITÁRIO. </t>
  </si>
  <si>
    <t xml:space="preserve">TE, PVC, SERIE NORMAL, ESGOTO PREDIAL, DN 50 X 50 MM, JUNTA ELÁSTICA, FORNECIDO E INSTALADO EM RAMAL DE DESCARGA OU RAMAL DE ESGOTO SANITÁRIO. </t>
  </si>
  <si>
    <t xml:space="preserve">LUVA SIMPLES, PVC, SERIE R, ÁGUA PLUVIAL, DN 150 MM, JUNTA ELÁSTICA, FORNECIDO E INSTALADO EM CONDUTORES VERTICAIS DE ÁGUAS PLUVIAIS. </t>
  </si>
  <si>
    <t xml:space="preserve">LUVA SIMPLES, PVC, SERIE NORMAL, ESGOTO PREDIAL, DN 100 MM, JUNTA ELÁSTICA, FORNECIDO E INSTALADO EM SUBCOLETOR AÉREO DE ESGOTO SANITÁRIO. </t>
  </si>
  <si>
    <t xml:space="preserve">LUVA SIMPLES, PVC, SERIE NORMAL, ESGOTO PREDIAL, DN 50 MM, JUNTA ELÁSTICA, FORNECIDO E INSTALADO EM PRUMADA DE ESGOTO SANITÁRIO OU VENTILAÇÃO. </t>
  </si>
  <si>
    <t xml:space="preserve">LUVA SIMPLES, PVC, SERIE NORMAL, ESGOTO PREDIAL, DN 40 MM, JUNTA SOLDÁVEL, FORNECIDO E INSTALADO EM RAMAL DE DESCARGA OU RAMAL DE ESGOTO SANITÁRIO. </t>
  </si>
  <si>
    <t xml:space="preserve">TE, PVC, SERIE NORMAL, ESGOTO PREDIAL, DN 40 X 40 MM, JUNTA SOLDÁVEL, FORNECIDO E INSTALADO EM RAMAL DE DESCARGA OU RAMAL DE ESGOTO SANITÁRIO. </t>
  </si>
  <si>
    <t xml:space="preserve">TE, PVC, SERIE NORMAL, ESGOTO PREDIAL, DN 75 X 75 MM, JUNTA ELÁSTICA, FORNECIDO E INSTALADO EM PRUMADA DE ESGOTO SANITÁRIO OU VENTILAÇÃO. </t>
  </si>
  <si>
    <t xml:space="preserve">TE, PVC, SERIE NORMAL, ESGOTO PREDIAL, DN 100 X 100 MM, JUNTA ELÁSTICA, FORNECIDO E INSTALADO EM PRUMADA DE ESGOTO SANITÁRIO OU VENTILAÇÃO. </t>
  </si>
  <si>
    <t xml:space="preserve">TE, PVC, SERIE NORMAL, ESGOTO PREDIAL, DN 75 X 50 MM, JUNTA ELÁSTICA, FORNECIDO E INSTALADO EM PRUMADA DE ESGOTO SANITÁRIO OU VENTILAÇÃO. </t>
  </si>
  <si>
    <t xml:space="preserve">TE, PVC, SERIE NORMAL, ESGOTO PREDIAL, DN 150 X 100 MM, JUNTA ELÁSTICA, FORNECIDO E INSTALADO EM SUBCOLETOR AÉREO DE ESGOTO SANITÁRIO. </t>
  </si>
  <si>
    <t xml:space="preserve">TUBO, PVC, SOLDÁVEL, DN 25MM, INSTALADO EM DRENO DE AR-CONDICIONADO - FORNECIMENTO E INSTALAÇÃO. </t>
  </si>
  <si>
    <t xml:space="preserve">LUVA, PVC, SOLDÁVEL, DN 25MM, INSTALADO EM DRENO DE AR-CONDICIONADO - FORNECIMENTO E INSTALAÇÃO. </t>
  </si>
  <si>
    <t xml:space="preserve">JOELHO 90 GRAUS, PVC, SOLDÁVEL, DN 25MM, INSTALADO EM DRENO DE AR-CONDICIONADO - FORNECIMENTO E INSTALAÇÃO. </t>
  </si>
  <si>
    <t xml:space="preserve">TE, PVC, SOLDÁVEL, DN 25MM, INSTALADO EM DRENO DE AR-CONDICIONADO - FORNECIMENTO E INSTALAÇÃO. </t>
  </si>
  <si>
    <t xml:space="preserve">TUBO DE AÇO GALVANIZADO COM COSTURA, CLASSE MÉDIA, CONEXÃO RANHURADA, DN 65 (2 1/2"), INSTALADO EM PRUMADAS - FORNECIMENTO E INSTALAÇÃO. </t>
  </si>
  <si>
    <t xml:space="preserve">TUBO DE AÇO GALVANIZADO COM COSTURA, CLASSE MÉDIA, CONEXÃO RANHURADA, DN 50 (2"), INSTALADO EM PRUMADAS - FORNECIMENTO E INSTALAÇÃO. </t>
  </si>
  <si>
    <t xml:space="preserve">NIPLE, EM FERRO GALVANIZADO, DN 65 (2 1/2"), CONEXÃO ROSQUEADA, INSTALADO EM PRUMADAS - FORNECIMENTO E INSTALAÇÃO. </t>
  </si>
  <si>
    <t xml:space="preserve">CONDULETE DE PVC, TIPO LB, PARA ELETRODUTO DE PVC SOLDÁVEL DN 25 MM (3/4''), APARENTE - FORNECIMENTO E INSTALAÇÃO. </t>
  </si>
  <si>
    <t xml:space="preserve">REGISTRO DE GAVETA BRUTO, LATÃO, ROSCÁVEL, 2 1/2?, INSTALADO EM RESERVAÇÃO DE ÁGUA DE EDIFICAÇÃO QUE POSSUA RESERVATÓRIO DE FIBRA/FIBROCIMENTO ? FORNECIMENTO E INSTALAÇÃO. </t>
  </si>
  <si>
    <t xml:space="preserve">CONDULETE DE ALUMÍNIO, TIPO B, PARA ELETRODUTO DE AÇO GALVANIZADO DN 20 MM (3/4''), APARENTE - FORNECIMENTO E INSTALAÇÃO. </t>
  </si>
  <si>
    <t xml:space="preserve">ELETRODUTO RÍGIDO ROSCÁVEL, PVC, DN 32 MM (1"), PARA CIRCUITOS TERMINAIS, INSTALADO EM FORRO - FORNECIMENTO E INSTALAÇÃO. </t>
  </si>
  <si>
    <t xml:space="preserve">LUVA PARA ELETRODUTO, PVC, ROSCÁVEL, DN 32 MM (1"), PARA CIRCUITOS TERMINAIS, INSTALADA EM FORRO - FORNECIMENTO E INSTALAÇÃO. </t>
  </si>
  <si>
    <t xml:space="preserve">ELETRODUTO RÍGIDO ROSCÁVEL, PVC, DN 40 MM (1 1/4"), PARA CIRCUITOS TERMINAIS, INSTALADO EM PAREDE - FORNECIMENTO E INSTALAÇÃO. </t>
  </si>
  <si>
    <t xml:space="preserve">CURVA 90 GRAUS PARA ELETRODUTO, PVC, ROSCÁVEL, DN 40 MM (1 1/4"), PARA CIRCUITOS TERMINAIS, INSTALADA EM PAREDE - FORNECIMENTO E INSTALAÇÃO. </t>
  </si>
  <si>
    <t xml:space="preserve">LUVA PARA ELETRODUTO, PVC, ROSCÁVEL, DN 40 MM (1 1/4"), PARA CIRCUITOS TERMINAIS, INSTALADA EM PAREDE - FORNECIMENTO E INSTALAÇÃO. </t>
  </si>
  <si>
    <t xml:space="preserve">CURVA 90 GRAUS PARA ELETRODUTO, PVC, ROSCÁVEL, (1 1/2"), PARA CIRCUITOS TERMINAIS, INSTALADA EM FORRO - FORNECIMENTO E INSTALAÇÃO. </t>
  </si>
  <si>
    <t xml:space="preserve">ELETRODUTO RÍGIDO ROSCÁVEL, PVC, DN 60 MM (2") - FORNECIMENTO E INSTALAÇÃO. </t>
  </si>
  <si>
    <t xml:space="preserve">CURVA 90 GRAUS PARA ELETRODUTO, PVC, ROSCÁVEL, DN 60 MM (2") - FORNECIMENTO E INSTALAÇÃO. </t>
  </si>
  <si>
    <t xml:space="preserve">LUVA PARA ELETRODUTO, PVC, ROSCÁVEL, (2"), PARA CIRCUITOS TERMINAIS, INSTALADA EM FORRO - FORNECIMENTO E INSTALAÇÃO. </t>
  </si>
  <si>
    <t xml:space="preserve">ELETRODUTO RÍGIDO ROSCÁVEL, PVC, DN 75 MM (2 1/2") - FORNECIMENTO E INSTALAÇÃO. </t>
  </si>
  <si>
    <t xml:space="preserve">LUVA PARA ELETRODUTO, PVC, ROSCÁVEL, DN 75 MM (2 1/2") - FORNECIMENTO E INSTALAÇÃO. </t>
  </si>
  <si>
    <t xml:space="preserve">ELETRODUTO RÍGIDO ROSCÁVEL, PVC,(3"), PARA CIRCUITOS TERMINAIS, INSTALADO EM FORRO - FORNECIMENTO E INSTALAÇÃO. </t>
  </si>
  <si>
    <t xml:space="preserve">CURVA 90 GRAUS PARA ELETRODUTO, PVC, ROSCÁVEL, (3"), PARA CIRCUITOS TERMINAIS, INSTALADA EM PAREDE - FORNECIMENTO E INSTALAÇÃO. </t>
  </si>
  <si>
    <t xml:space="preserve">LUVA PARA ELETRODUTO, PVC, ROSCÁVEL, (3"), PARA CIRCUITOS TERMINAIS, INSTALADA EM FORRO - FORNECIMENTO E INSTALAÇÃO. </t>
  </si>
  <si>
    <t xml:space="preserve">ELETRODUTO RÍGIDO ROSCÁVEL, PVC, DN 110 MM (4") - FORNECIMENTO E INSTALAÇÃO. </t>
  </si>
  <si>
    <t xml:space="preserve">LUVA PARA ELETRODUTO, PVC, ROSCÁVEL, DN 110 MM (4") - FORNECIMENTO E INSTALAÇÃO. </t>
  </si>
  <si>
    <t xml:space="preserve">ESCAVAÇÃO MECANIZADA DE VALA COM PROF. MAIOR QUE 1,5 M E ATÉ 3,0 M(MÉDIA ENTRE MONTANTE E JUSANTE/UMA COMPOSIÇÃO POR TRECHO), COM ESCAVADEIRA HIDRÁULICA (0,8 M3/111 HP), LARG. MENOR QUE 1,5 M, EM SOLO DE 1A CATEGORIA, LOCAIS COM BAIXO NÍVEL DE INTERFERÊNCIA. </t>
  </si>
  <si>
    <t xml:space="preserve">REATERRO MECANIZADO DE VALA COM RETROESCAVADEIRA (CAPACIDADE DA CAÇAMBA DA RETRO: 0,26 M³ / POTÊNCIA: 88 HP), LARGURA DE 0,8 A 1,5 M, PROFUNDIDADE DE 1,5 A 3,0 M, COM SOLO (SEM SUBSTITUIÇÃO) DE 1ª CATEGORIA EM LOCAIS COM BAIXO NÍVEL DE INTERFERÊNCIA. </t>
  </si>
  <si>
    <t xml:space="preserve">CABO DE COBRE FLEXÍVEL ISOLADO, 06 MM², ANTI-CHAMA 0,6/1,0 KV, PARA DISTRIBUIÇÃO - FORNECIMENTO E INSTALAÇÃO. </t>
  </si>
  <si>
    <t xml:space="preserve">CABO DE COBRE FLEXÍVEL ISOLADO, 10 MM², ANTI-CHAMA 0,6/1,0 KV, PARA DISTRIBUIÇÃO - FORNECIMENTO E INSTALAÇÃO. </t>
  </si>
  <si>
    <t xml:space="preserve">CABO DE COBRE FLEXÍVEL ISOLADO, 16 MM², ANTI-CHAMA 0,6/1,0 KV, PARA DISTRIBUIÇÃO - FORNECIMENTO E INSTALAÇÃO. </t>
  </si>
  <si>
    <t xml:space="preserve">CABO DE COBRE FLEXÍVEL ISOLADO, 25 MM², ANTI-CHAMA 0,6/1,0 KV, PARA DISTRIBUIÇÃO - FORNECIMENTO E INSTALAÇÃO. </t>
  </si>
  <si>
    <t xml:space="preserve">CABO DE COBRE FLEXÍVEL ISOLADO, 35 MM², ANTI-CHAMA 0,6/1,0 KV, PARA DISTRIBUIÇÃO - FORNECIMENTO E INSTALAÇÃO. </t>
  </si>
  <si>
    <t xml:space="preserve">CABO DE COBRE FLEXÍVEL ISOLADO, 50 MM², ANTI-CHAMA 0,6/1,0 KV, PARA DISTRIBUIÇÃO - FORNECIMENTO E INSTALAÇÃO. </t>
  </si>
  <si>
    <t xml:space="preserve">CABO DE COBRE FLEXÍVEL ISOLADO, 70 MM², ANTI-CHAMA 0,6/1,0 KV, PARA DISTRIBUIÇÃO - FORNECIMENTO E INSTALAÇÃO. </t>
  </si>
  <si>
    <t xml:space="preserve">CABO DE COBRE FLEXÍVEL ISOLADO, 95 MM², ANTI-CHAMA 0,6/1,0 KV, PARA DISTRIBUIÇÃO - FORNECIMENTO E INSTALAÇÃO. </t>
  </si>
  <si>
    <t xml:space="preserve">CABO DE COBRE FLEXÍVEL ISOLADO, 120 MM², ANTI-CHAMA 0,6/1,0 KV, PARA DISTRIBUIÇÃO - FORNECIMENTO E INSTALAÇÃO. </t>
  </si>
  <si>
    <t xml:space="preserve">CONDULETE DE ALUMÍNIO, TIPO LR, PARA ELETRODUTO DE AÇO GALVANIZADO DN 25 MM (1''), APARENTE - FORNECIMENTO E INSTALAÇÃO. </t>
  </si>
  <si>
    <t xml:space="preserve">CONDULETE DE ALUMÍNIO, TIPO T, PARA ELETRODUTO DE AÇO GALVANIZADO DN 25 MM (1''), APARENTE - FORNECIMENTO E INSTALAÇÃO. </t>
  </si>
  <si>
    <t xml:space="preserve">ELETRODUTO RÍGIDO ROSCÁVEL, PVC, DN 25 MM (3/4"), PARA CIRCUITOS TERMINAIS, INSTALADO EM FORRO - FORNECIMENTO E INSTALAÇÃO. </t>
  </si>
  <si>
    <t xml:space="preserve">CURVA 90 GRAUS PARA ELETRODUTO, PVC, ROSCÁVEL, DN 25 MM (3/4"), PARA CIRCUITOS TERMINAIS, INSTALADA EM FORRO - FORNECIMENTO E INSTALAÇÃO. </t>
  </si>
  <si>
    <t xml:space="preserve">LUVA PARA ELETRODUTO, PVC, ROSCÁVEL, DN 25 MM (3/4"), PARA CIRCUITOS TERMINAIS, INSTALADA EM FORRO - FORNECIMENTO E INSTALAÇÃO. </t>
  </si>
  <si>
    <t xml:space="preserve">ELETRODUTO RÍGIDO ROSCÁVEL, PVC, DN 25 MM (3/4"), PARA CIRCUITOS TERMINAIS, INSTALADO EM PAREDE - FORNECIMENTO E INSTALAÇÃO. </t>
  </si>
  <si>
    <t xml:space="preserve">CURVA 90 GRAUS PARA ELETRODUTO, PVC, ROSCÁVEL, DN 25 MM (3/4"), PARA CIRCUITOS TERMINAIS, INSTALADA EM PAREDE - FORNECIMENTO E INSTALAÇÃO. </t>
  </si>
  <si>
    <t xml:space="preserve">LUVA PARA ELETRODUTO, PVC, ROSCÁVEL, DN 25 MM (3/4"), PARA CIRCUITOS TERMINAIS, INSTALADA EM PAREDE - FORNECIMENTO E INSTALAÇÃO. </t>
  </si>
  <si>
    <t xml:space="preserve">CURVA 90 GRAUS PARA ELETRODUTO, PVC, ROSCÁVEL, DN 32 MM (1"), PARA CIRCUITOS TERMINAIS, INSTALADA EM FORRO - FORNECIMENTO E INSTALAÇÃO. </t>
  </si>
  <si>
    <t xml:space="preserve">ELETRODUTO RÍGIDO ROSCÁVEL, PVC, DN 32 MM (1"), PARA CIRCUITOS TERMINAIS, INSTALADO EM PAREDE - FORNECIMENTO E INSTALAÇÃO. </t>
  </si>
  <si>
    <t xml:space="preserve">CURVA 90 GRAUS PARA ELETRODUTO, PVC, ROSCÁVEL, DN 32 MM (1"), PARA CIRCUITOS TERMINAIS, INSTALADA EM PAREDE - FORNECIMENTO E INSTALAÇÃO. </t>
  </si>
  <si>
    <t xml:space="preserve">LUVA PARA ELETRODUTO, PVC, ROSCÁVEL, DN 32 MM (1"), PARA CIRCUITOS TERMINAIS, INSTALADA EM PAREDE - FORNECIMENTO E INSTALAÇÃO. </t>
  </si>
  <si>
    <t xml:space="preserve">ELETRODUTO RÍGIDO ROSCÁVEL, PVC, DN 40 MM (1 1/4"), PARA CIRCUITOS TERMINAIS, INSTALADO EM FORRO - FORNECIMENTO E INSTALAÇÃO. </t>
  </si>
  <si>
    <t xml:space="preserve">CURVA 90 GRAUS PARA ELETRODUTO, PVC, ROSCÁVEL, DN 40 MM (1 1/4"), PARA CIRCUITOS TERMINAIS, INSTALADA EM FORRO - FORNECIMENTO E INSTALAÇÃO. </t>
  </si>
  <si>
    <t xml:space="preserve">LUVA PARA ELETRODUTO, PVC, ROSCÁVEL, DN 40 MM (1 1/4"), PARA CIRCUITOS TERMINAIS, INSTALADA EM FORRO - FORNECIMENTO E INSTALAÇÃO. </t>
  </si>
  <si>
    <t xml:space="preserve">ESCAVAÇÃO MECANIZADA DE VALA COM PROF. ATÉ 1,5 M(MÉDIA ENTRE MONTANTE E JUSANTE/UMA COMPOSIÇÃO POR TRECHO), COM ESCAVADEIRA HIDRÁULICA (0,8 M3/111 HP), LARG. DE 1,5M A 2,5 M, EM SOLO DE 1A CATEGORIA, LOCAIS COM BAIXO NÍVEL DE INTERFERÊNCIA. </t>
  </si>
  <si>
    <t xml:space="preserve">REATERRO MECANIZADO DE VALA COM ESCAVADEIRA HIDRÁULICA (CAPACIDADE DA CAÇAMBA: 0,8 M³ / POTÊNCIA: 111 HP), LARGURA ATÉ 1,5 M, PROFUNDIDADE DE 1,5 A 3,0 M, COM SOLO (SEM SUBSTITUIÇÃO) DE 1ª CATEGORIA EM LOCAIS COM BAIXO NÍVEL DE INTERFERÊNCIA. </t>
  </si>
  <si>
    <t xml:space="preserve">CONDULETE DE ALUMÍNIO, TIPO T, PARA ELETRODUTO DE AÇO GALVANIZADO DN 20 MM (3/4''), APARENTE - FORNECIMENTO E INSTALAÇÃO. </t>
  </si>
  <si>
    <t xml:space="preserve">CONDULETE DE ALUMÍNIO, TIPO LR, PARA ELETRODUTO DE AÇO GALVANIZADO DN 20 MM (3/4''), APARENTE - FORNECIMENTO E INSTALAÇÃO. </t>
  </si>
  <si>
    <t xml:space="preserve">CONDULETE DE ALUMÍNIO, TIPO C, PARA ELETRODUTO DE AÇO GALVANIZADO DN 20 MM (3/4''), APARENTE - FORNECIMENTO E INSTALAÇÃO. </t>
  </si>
  <si>
    <t xml:space="preserve">CONDULETE DE ALUMÍNIO, TIPO E, PARA ELETRODUTO DE AÇO GALVANIZADO DN 20 MM (3/4''), APARENTE - FORNECIMENTO E INSTALAÇÃO. </t>
  </si>
  <si>
    <t xml:space="preserve">TOMADA BAIXA DE EMBUTIR (2 MÓDULOS), 2P+T 10 A, INCLUINDO SUPORTE E PLACA - FORNECIMENTO E INSTALAÇÃO. </t>
  </si>
  <si>
    <t xml:space="preserve">TOMADA ALTA DE EMBUTIR (1 MÓDULO), 2P+T 10 A, INCLUINDO SUPORTE E PLACA - FORNECIMENTO E INSTALAÇÃO. </t>
  </si>
  <si>
    <t xml:space="preserve">CABO DE COBRE FLEXÍVEL ISOLADO, 2,5 MM², ANTI-CHAMA 450/750 V, PARA CIRCUITOS TERMINAIS - FORNECIMENTO E INSTALAÇÃO. </t>
  </si>
  <si>
    <t xml:space="preserve">CABO DE COBRE FLEXÍVEL ISOLADO, 4 MM², ANTI-CHAMA 0,6/1,0 KV, PARA CIRCUITOS TERMINAIS - FORNECIMENTO E INSTALAÇÃO. </t>
  </si>
  <si>
    <t xml:space="preserve">CAIXA RETANGULAR 4" X 2" ALTA (2,00 M DO PISO), PVC, INSTALADA EM PAREDE - FORNECIMENTO E INSTALAÇÃO. </t>
  </si>
  <si>
    <t xml:space="preserve">CAIXA RETANGULAR 4" X 2" BAIXA (0,30 M DO PISO), PVC, INSTALADA EM PAREDE - FORNECIMENTO E INSTALAÇÃO. </t>
  </si>
  <si>
    <t xml:space="preserve">CONDULETE DE ALUMÍNIO, TIPO X, PARA ELETRODUTO DE AÇO GALVANIZADO DN 20 MM (3/4''), APARENTE - FORNECIMENTO E INSTALAÇÃO. </t>
  </si>
  <si>
    <t xml:space="preserve">TOMADA BAIXA DE EMBUTIR (1 MÓDULO), 2P+T 10 A, INCLUINDO SUPORTE E PLACA - FORNECIMENTO E INSTALAÇÃO. </t>
  </si>
  <si>
    <t xml:space="preserve">TOMADA MÉDIA DE EMBUTIR (1 MÓDULO), 2P+T 10 A, INCLUINDO SUPORTE E PLACA - FORNECIMENTO E INSTALAÇÃO. </t>
  </si>
  <si>
    <t xml:space="preserve">TOMADA MÉDIA DE EMBUTIR (2 MÓDULOS), 2P+T 10 A, INCLUINDO SUPORTE E PLACA - FORNECIMENTO E INSTALAÇÃO. </t>
  </si>
  <si>
    <t xml:space="preserve">INTERRUPTOR SIMPLES (1 MÓDULO), 10A/250V, INCLUINDO SUPORTE E PLACA - FORNECIMENTO E INSTALAÇÃO. </t>
  </si>
  <si>
    <t xml:space="preserve">INTERRUPTOR SIMPLES (2 MÓDULOS), 10A/250V, INCLUINDO SUPORTE E PLACA - FORNECIMENTO E INSTALAÇÃO. </t>
  </si>
  <si>
    <t xml:space="preserve">INTERRUPTOR SIMPLES (3 MÓDULOS), 10A/250V, INCLUINDO SUPORTE E PLACA - FORNECIMENTO E INSTALAÇÃO. </t>
  </si>
  <si>
    <t xml:space="preserve">INTERRUPTOR PARALELO (1 MÓDULO), 10A/250V, INCLUINDO SUPORTE E PLACA - FORNECIMENTO E INSTALAÇÃO. </t>
  </si>
  <si>
    <t xml:space="preserve">INTERRUPTOR PARALELO (2 MÓDULOS), 10A/250V, INCLUINDO SUPORTE E PLACA - FORNECIMENTO E INSTALAÇÃO. </t>
  </si>
  <si>
    <t xml:space="preserve">CAIXA OCTOGONAL 4" X 4", PVC, INSTALADA EM LAJE - FORNECIMENTO E INSTALAÇÃO. </t>
  </si>
  <si>
    <t xml:space="preserve">CAIXA RETANGULAR 4" X 2" MÉDIA (1,30 M DO PISO), PVC, INSTALADA EM PAREDE - FORNECIMENTO E INSTALAÇÃO. </t>
  </si>
  <si>
    <t xml:space="preserve">CAIXA RETANGULAR 4" X 4" BAIXA (0,30 M DO PISO), PVC, INSTALADA EM PAREDE - FORNECIMENTO E INSTALAÇÃO. </t>
  </si>
  <si>
    <t xml:space="preserve">DISJUNTOR MONOPOLAR TIPO DIN, CORRENTE NOMINAL DE 10A - FORNECIMENTO E INSTALAÇÃO. </t>
  </si>
  <si>
    <t xml:space="preserve">DISJUNTOR MONOPOLAR TIPO DIN, CORRENTE NOMINAL DE 16A - FORNECIMENTO E INSTALAÇÃO. </t>
  </si>
  <si>
    <t xml:space="preserve">CABO DE COBRE FLEXÍVEL ISOLADO, 6 MM², ANTI-CHAMA 450/750 V, PARA CIRCUITOS TERMINAIS - FORNECIMENTO E INSTALAÇÃO. </t>
  </si>
  <si>
    <t xml:space="preserve">DISJUNTOR TRIPOLAR TIPO DIN, CORRENTE NOMINAL DE 20A - FORNECIMENTO E INSTALAÇÃO. </t>
  </si>
  <si>
    <t xml:space="preserve">DISJUNTOR TRIPOLAR TIPO DIN, CORRENTE NOMINAL DE 32A - FORNECIMENTO E INSTALAÇÃO. </t>
  </si>
  <si>
    <t xml:space="preserve">DISJUNTOR TRIPOLAR TIPO DIN, CORRENTE NOMINAL DE 40A - FORNECIMENTO E INSTALAÇÃO. </t>
  </si>
  <si>
    <t xml:space="preserve">DISJUNTOR MONOPOLAR TIPO DIN, CORRENTE NOMINAL DE 6A - FORNECIMENTO E INSTALAÇÃO. </t>
  </si>
  <si>
    <t xml:space="preserve">CABO DE COBRE FLEXÍVEL ISOLADO, 1,5 MM², ANTI-CHAMA 450/750 V, PARA CIRCUITOS TERMINAIS - FORNECIMENTO E INSTALAÇÃO. </t>
  </si>
  <si>
    <t xml:space="preserve">CABO DE COBRE FLEXÍVEL ISOLADO, 6 MM², ANTI-CHAMA 0,6/1,0 KV, PARA CIRCUITOS TERMINAIS - FORNECIMENTO E INSTALAÇÃO. </t>
  </si>
  <si>
    <t xml:space="preserve">CABO DE COBRE FLEXÍVEL ISOLADO, 240 MM², ANTI-CHAMA 0,6/1,0 KV, PARA DISTRIBUIÇÃO - FORNECIMENTO E INSTALAÇÃO. </t>
  </si>
  <si>
    <t xml:space="preserve">(COMPOSIÇÃO REPRESENTATIVA) DO SERVIÇO DE INSTALAÇÃO DE TUBOS DE PVC, SOLDÁVEL, ÁGUA FRIA, DN 40 MM (INSTALADO EM PRUMADA), INCLUSIVE CONEXÕES, CORTES E FIXAÇÕES, PARA PRÉDIOS. </t>
  </si>
  <si>
    <t xml:space="preserve">(COMPOSIÇÃO REPRESENTATIVA) DO SERVIÇO DE INSTALAÇÃO TUBOS DE PVC, SOLDÁVEL, ÁGUA FRIA, DN 32 MM (INSTALADO EM RAMAL, SUB-RAMAL, RAMAL DE DISTRIBUIÇÃO OU PRUMADA), INCLUSIVE CONEXÕES, CORTES E FIXAÇÕES, PARA PRÉDIOS. </t>
  </si>
  <si>
    <t xml:space="preserve">APLICAÇÃO E LIXAMENTO DE MASSA LÁTEX EM PAREDES, DUAS DEMÃOS. </t>
  </si>
  <si>
    <t xml:space="preserve">APLICAÇÃO DE FUNDO SELADOR ACRÍLICO EM PAREDES, UMA DEMÃO. </t>
  </si>
  <si>
    <t xml:space="preserve">TÊ HORIZONTAL 150 X 50 MM COM BASE LISA PERFURADA PARA ELETROCALHA METÁLICA </t>
  </si>
  <si>
    <t xml:space="preserve">FLANGE DE LIGAÇÃO 150X50MM PARA ELETROCALHA METÁLICA </t>
  </si>
  <si>
    <t xml:space="preserve">TÊ HORIZONTAL 200 X 50 MM COM BASE LISA PERFURADA PARA ELETROCALHA METÁLICA </t>
  </si>
  <si>
    <t xml:space="preserve">FLANGE DE LIGAÇÃO 200X50MM PARA ELETROCALHA METÁLICA </t>
  </si>
  <si>
    <t xml:space="preserve">FORNECIMENTO E INSTALAÇÃO DE ELETROCALHA PERFURADA 200 X 100 X 3000 MM </t>
  </si>
  <si>
    <t xml:space="preserve">FORNECIMENTO E INSTALAÇÃO DE ELETROCALHA PERFURADA 700 X 100 X 3000 MM </t>
  </si>
  <si>
    <t xml:space="preserve">FORNECIMENTO E INSTALAÇÃO DE ELETROCALHA PERFURADA 100 X 50 X 3000 MM </t>
  </si>
  <si>
    <t xml:space="preserve">TÊ HORIZONTAL 100 X 50 MM COM BASE LISA PERFURADA PARA ELETROCALHA METÁLICA </t>
  </si>
  <si>
    <t xml:space="preserve">FLANGE DE LIGAÇÃO 100X50MM PARA ELETROCALHA METÁLICA </t>
  </si>
  <si>
    <t xml:space="preserve">FLANGE DE LIGAÇÃO 400X50MM PARA ELETROCALHA METÁLICA </t>
  </si>
  <si>
    <t xml:space="preserve">TÊ HORIZONTAL 200 X 50MM PARA ELETROCALHA METÁLICA </t>
  </si>
  <si>
    <t xml:space="preserve">FORNECIMENTO E INSTALAÇÃO DE ELETROCALHA PERFURADA 200 X 50 X 3000 MM </t>
  </si>
  <si>
    <t xml:space="preserve">CURVA HORIZONTAL 150 X 50 MM PARA ELETROCALHA METÁLICA, COM ÂNGULO 90° </t>
  </si>
  <si>
    <t xml:space="preserve">CURVA VERTICAL 200 X 50 MM PARA ELETROCALHA METÁLICA, COM ÂNGULO 90° </t>
  </si>
  <si>
    <t xml:space="preserve">CURVA HORIZONTAL 200 X 50 MM PARA ELETROCALHA METÁLICA, COM ÂNGULO 90° </t>
  </si>
  <si>
    <t xml:space="preserve">CURVA VERTICAL 200 X 100 MM PARA ELETROCALHA METÁLICA, COM ÂNGULO 90° </t>
  </si>
  <si>
    <t xml:space="preserve">CURVA VERTICAL 100 X 50 MM PARA ELETROCALHA METÁLICA, COM ÂNGULO 90° </t>
  </si>
  <si>
    <t xml:space="preserve">SUPORTE HORIZONTAL 150 X 50 MM PARA FIXAÇÃO DE ELETROCALHA METÁLICA </t>
  </si>
  <si>
    <t xml:space="preserve">SUPORTE HORIZONTAL 200 X 50 MM PARA ELETROCALHA METÁLICA </t>
  </si>
  <si>
    <t xml:space="preserve">SUPORTE VERTICAL 75 X 50 MM PARA FIXAÇÃO DE ELETROCALHA METÁLICA </t>
  </si>
  <si>
    <t xml:space="preserve">SUPORTE VERTICAL 150 X 50 MM PARA FIXAÇÃO DE ELETROCALHA METÁLICA </t>
  </si>
  <si>
    <t xml:space="preserve">SUPORTE VERTICAL 100 X 50 MM PARA FIXAÇÃO DE ELETROCALHA METÁLICA </t>
  </si>
  <si>
    <t xml:space="preserve">FORNECIMENTO E INSTALAÇÃO DE SAÍDA HORIZONTAL PARA ELETRODUTO 3/4" </t>
  </si>
  <si>
    <t xml:space="preserve">FORNECIMENTO E INSTALAÇÃO DE SAÍDA HORIZONTAL PARA ELETRODUTO 1" </t>
  </si>
  <si>
    <t xml:space="preserve">FORNECIMENTO E INSTALAÇÃO DE ELETROCALHA METÁLICA 50 X 50 X 3000 MM </t>
  </si>
  <si>
    <t>DUTO CORRUGADO FLEXÍVEL EM PEAD Ø = 2.1/2",  LANÇADO DIRETAMENTE NO SOLO, EXCLUSIVE ESCAVAÇÃO E REATERRO</t>
  </si>
  <si>
    <t>QUANT.</t>
  </si>
  <si>
    <t>CARPETE , E = 4,5 MM, COLADO SOBRE CIMENTADO, PLASTIFICADO, C/ ADESIVO BASE PVA, EXCLUSIVE CIMENTADO</t>
  </si>
  <si>
    <t xml:space="preserve">FORNECIMENTO E ASSENTAMENTO DE TUBO CORRUGADO PAREDE DUPLA PEAD, D= 600MM (24"), P/SISTEMAS DRENAGEM, </t>
  </si>
  <si>
    <t xml:space="preserve">FORNECIMENTO E ASSENTAMENTO DE TUBO CORRUGADO PAREDE DUPLA PEAD, D= 450MM (18"), P/SISTEMAS DRENAGEM, </t>
  </si>
  <si>
    <t xml:space="preserve">CONCRETO MAGRO PARA LASTRO, TRAÇO 1:4,5:4,5 (CIMENTO/ AREIA MÉDIA/ BRITA 1)  - PREPARO MECÂNICO COM BETONEIRA 400 L. </t>
  </si>
  <si>
    <t xml:space="preserve">ESCAVAÇÃO MANUAL DE VALA COM PROFUNDIDADE MENOR OU IGUAL A 1,30 M. </t>
  </si>
  <si>
    <t xml:space="preserve">TRATOR DE ESTEIRAS, POTÊNCIA 100 HP, PESO OPERACIONAL 9,4 T, COM LÂMINA 2,19 M3 - CHP DIURNO. </t>
  </si>
  <si>
    <t xml:space="preserve">COMPACTADOR DE SOLOS DE PERCUSSÃO (SOQUETE) COM MOTOR A GASOLINA 4 TEMPOS, POTÊNCIA 4 CV - CHP DIURNO. </t>
  </si>
  <si>
    <t xml:space="preserve">COMPACTADOR DE SOLOS DE PERCUSSÃO (SOQUETE) COM MOTOR A GASOLINA 4 TEMPOS, POTÊNCIA 4 CV - CHI DIURNO. </t>
  </si>
  <si>
    <t xml:space="preserve">CAMINHÃO BASCULANTE 6 M3, PESO BRUTO TOTAL 16.000 KG, CARGA ÚTIL MÁXIMA 13.071 KG, DISTÂNCIA ENTRE EIXOS 4,80 M, POTÊNCIA 230 CV INCLUSIVE CAÇAMBA METÁLICA - CHP DIURNO. </t>
  </si>
  <si>
    <t xml:space="preserve">TRATOR DE ESTEIRAS, POTÊNCIA 170 HP, PESO OPERACIONAL 19 T, CAÇAMBA 5,2 M3 - CHP DIURNO. </t>
  </si>
  <si>
    <t xml:space="preserve">VIBRADOR DE IMERSÃO, DIÂMETRO DE PONTEIRA 45MM, MOTOR ELÉTRICO TRIFÁSICO POTÊNCIA DE 2 CV - CHP DIURNO. </t>
  </si>
  <si>
    <t xml:space="preserve">FABRICAÇÃO DE FÔRMA PARA LAJES, EM MADEIRA SERRADA, E=25 MM. </t>
  </si>
  <si>
    <t xml:space="preserve">FABRICAÇÃO DE ESCORAS DO TIPO PONTALETE, EM MADEIRA. </t>
  </si>
  <si>
    <t xml:space="preserve">VIBRADOR DE IMERSÃO, DIÂMETRO DE PONTEIRA 45MM, MOTOR ELÉTRICO TRIFÁSICO POTÊNCIA DE 2 CV - CHI DIURNO. </t>
  </si>
  <si>
    <t xml:space="preserve">ARGAMASSA TRAÇO 1:2:8 (CIMENTO, CAL E AREIA MÉDIA) PARA EMBOÇO/MASSA ÚNICA/ASSENTAMENTO DE ALVENARIA DE VEDAÇÃO, PREPARO MANUAL. </t>
  </si>
  <si>
    <t xml:space="preserve">ARGAMASSA TRAÇO 1:3 (CIMENTO E AREIA MÉDIA), PREPARO MANUAL. </t>
  </si>
  <si>
    <t xml:space="preserve">ARGAMASSA TRAÇO 1:3 (CIMENTO E AREIA GROSSA) PARA CHAPISCO CONVENCIONAL, PREPARO MECÂNICO COM BETONEIRA 400 L. </t>
  </si>
  <si>
    <t xml:space="preserve">FABRICAÇÃO DE FÔRMA PARA PILARES E ESTRUTURAS SIMILARES, EM MADEIRA SERRADA, E=25 MM. </t>
  </si>
  <si>
    <t xml:space="preserve">FABRICAÇÃO DE FÔRMA PARA LAJES, EM CHAPA DE MADEIRA COMPENSADA RESINADA, E = 17 MM. </t>
  </si>
  <si>
    <t xml:space="preserve">FABRICAÇÃO DE FÔRMA PARA ESCADAS, COM 2 LANCES, EM MADEIRA SERRADA, E=25 MM. </t>
  </si>
  <si>
    <t xml:space="preserve">PORTA DE MADEIRA FRISADA, SEMI-OCA (LEVE OU MÉDIA), 80X210CM, ESPESSURA DE 3,5CM, INCLUSO DOBRADIÇAS - FORNECIMENTO E INSTALAÇÃO. </t>
  </si>
  <si>
    <t xml:space="preserve">FECHADURA DE EMBUTIR PARA PORTAS INTERNAS, COMPLETA, ACABAMENTO PADRÃO MÉDIO, COM EXECUÇÃO DE FURO - FORNECIMENTO E INSTALAÇÃO. </t>
  </si>
  <si>
    <t xml:space="preserve">ADUELA / MARCO / BATENTE PARA PORTA DE 90X210CM, PADRÃO MÉDIO - FORNECIMENTO E MONTAGEM. </t>
  </si>
  <si>
    <t xml:space="preserve">ARGAMASSA TRAÇO 1:0,5:4,5 (CIMENTO, CAL E AREIA MÉDIA) PARA ASSENTAMENTO DE ALVENARIA, PREPARO MANUAL. </t>
  </si>
  <si>
    <t xml:space="preserve">JANELA DE ALUMÍNIO MAXIM-AR, FIXAÇÃO COM PARAFUSO SOBRE CONTRAMARCO (EXCLUSIVE CONTRAMARCO), COM VIDROS, PADRONIZADA. </t>
  </si>
  <si>
    <t xml:space="preserve">CONCRETO FCK = 15MPA, TRAÇO 1:3,4:3,5 (CIMENTO/ AREIA MÉDIA/ BRITA 1)  - PREPARO MECÂNICO COM BETONEIRA 600 L. </t>
  </si>
  <si>
    <t xml:space="preserve">ARGAMASSA TRAÇO 1:3 (CIMENTO E AREIA MÉDIA) PARA CONTRAPISO, PREPARO MECÂNICO COM BETONEIRA 400 L. </t>
  </si>
  <si>
    <t xml:space="preserve">CAMINHÃO PIPA 10.000 L TRUCADO, PESO BRUTO TOTAL 23.000 KG, CARGA ÚTIL MÁXIMA 15.935 KG, DISTÂNCIA ENTRE EIXOS 4,8 M, POTÊNCIA 230 CV, INCLUSIVE TANQUE DE AÇO PARA TRANSPORTE DE ÁGUA - CHP DIURNO. </t>
  </si>
  <si>
    <t xml:space="preserve">CAMINHÃO PIPA 10.000 L TRUCADO, PESO BRUTO TOTAL 23.000 KG, CARGA ÚTIL MÁXIMA 15.935 KG, DISTÂNCIA ENTRE EIXOS 4,8 M, POTÊNCIA 230 CV, INCLUSIVE TANQUE DE AÇO PARA TRANSPORTE DE ÁGUA - CHI DIURNO. </t>
  </si>
  <si>
    <t xml:space="preserve">MOTONIVELADORA POTÊNCIA BÁSICA LÍQUIDA (PRIMEIRA MARCHA) 125 HP, PESO BRUTO 13032 KG, LARGURA DA LÂMINA DE 3,7 M - CHP DIURNO. </t>
  </si>
  <si>
    <t xml:space="preserve">MOTONIVELADORA POTÊNCIA BÁSICA LÍQUIDA (PRIMEIRA MARCHA) 125 HP, PESO BRUTO 13032 KG, LARGURA DA LÂMINA DE 3,7 M - CHI DIURNO. </t>
  </si>
  <si>
    <t xml:space="preserve">ROLO COMPACTADOR PE DE CARNEIRO VIBRATORIO, POTENCIA 125 HP, PESO OPERACIONAL SEM/COM LASTRO 11,95 / 13,30 T, IMPACTO DINAMICO 38,5 / 22,5 T, LARGURA DE TRABALHO 2,15 M - CHP DIURNO. </t>
  </si>
  <si>
    <t xml:space="preserve">TRATOR DE PNEUS COM POTÊNCIA DE 85 CV, TRAÇÃO 4X4, COM GRADE DE DISCOS ACOPLADA - CHP DIURNO. </t>
  </si>
  <si>
    <t xml:space="preserve">TRATOR DE PNEUS COM POTÊNCIA DE 85 CV, TRAÇÃO 4X4, COM GRADE DE DISCOS ACOPLADA - CHI DIURNO. </t>
  </si>
  <si>
    <t xml:space="preserve">ARGAMASSA TRAÇO 1:3 (CIMENTO E AREIA MÉDIA), PREPARO MECÂNICO COM BETONEIRA 400 L. </t>
  </si>
  <si>
    <t xml:space="preserve">BETONEIRA CAPACIDADE NOMINAL DE 600 L, CAPACIDADE DE MISTURA 360 L, MOTOR ELÉTRICO TRIFÁSICO POTÊNCIA DE 4 CV, SEM CARREGADOR - CHP DIURNO. </t>
  </si>
  <si>
    <t xml:space="preserve">RETROESCAVADEIRA SOBRE RODAS COM CARREGADEIRA, TRAÇÃO 4X4, POTÊNCIA LÍQ. 88 HP, CAÇAMBA CARREG. CAP. MÍN. 1 M3, CAÇAMBA RETRO CAP. 0,26 M3, PESO OPERACIONAL MÍN. 6.674 KG, PROFUNDIDADE ESCAVAÇÃO MÁX. 4,37 M - MATERIAIS NA OPERAÇÃO. </t>
  </si>
  <si>
    <t xml:space="preserve">ARGAMASSA TRAÇO 1:2:8 (CIMENTO, CAL E AREIA MÉDIA) PARA EMBOÇO/MASSA ÚNICA/ASSENTAMENTO DE ALVENARIA DE VEDAÇÃO, PREPARO MECÂNICO COM MISTURADOR DE EIXO HORIZONTAL DE 300 KG. </t>
  </si>
  <si>
    <t xml:space="preserve">ARGAMASSA TRAÇO 1:4 (CIMENTO E AREIA MÉDIA), PREPARO MECÂNICO COM BETONEIRA 400 L. </t>
  </si>
  <si>
    <t xml:space="preserve">ARGAMASSA TRAÇO 1:4 (CIMENTO E AREIA GROSSA) PARA CHAPISCO CONVENCIONAL, PREPARO MECÂNICO COM BETONEIRA 400 L. </t>
  </si>
  <si>
    <t xml:space="preserve">ARMAÇÃO DE ESTRUTURAS DE CONCRETO ARMADO, EXCETO VIGAS, PILARES, LAJES E FUNDAÇÕES, UTILIZANDO AÇO CA-60 DE 5,0 MM - MONTAGEM. </t>
  </si>
  <si>
    <t xml:space="preserve">ELETROCALHA METÁLICA PERFURADA 150 X 50 X 3000 MM </t>
  </si>
  <si>
    <t xml:space="preserve">ELETROCALHA METÁLICA PERFURADA 200 X 50 X 3000 MM </t>
  </si>
  <si>
    <t xml:space="preserve">ELETROCALHA METÁLICA PERFURADA 200 X 100 X 3000 MM </t>
  </si>
  <si>
    <t xml:space="preserve">ELETROCALHA METÁLICA PERFURADA 700 X 100 X 3000 MM </t>
  </si>
  <si>
    <t xml:space="preserve">CURVA DE INVERSÃO 700 X 100MM PARA ELETROCALHA METÁLICA </t>
  </si>
  <si>
    <t xml:space="preserve">FLANGE 100 X 50MM PARA ELETROCALHA METÁLICA </t>
  </si>
  <si>
    <t xml:space="preserve">CURVA DE INVERSÃO 75 X 50 MM PARA ELETROCALHA METÁLICA </t>
  </si>
  <si>
    <t xml:space="preserve">CURVA DE INVERSÃO 150 X 75 MM PARA ELETROCALHA METÁLICA </t>
  </si>
  <si>
    <t xml:space="preserve">CURVA VERTICAL 200 X 100 MM PARA ELETROCALHA METÁLICA </t>
  </si>
  <si>
    <t xml:space="preserve">SUPORTE VERTICAL  75 X 50 MM  PARA FIXAÇÃO DE ELETROCALHA METÁLICA </t>
  </si>
  <si>
    <t xml:space="preserve">SUPORTE VERTICAL  150 X 50 MM  PARA FIXAÇÃO DE ELETROCALHA METÁLICA </t>
  </si>
  <si>
    <t xml:space="preserve">SUPORTE VERTICAL  200 X 100 MM  PARA FIXAÇÃO DE ELETROCALHA METÁLICA </t>
  </si>
  <si>
    <t xml:space="preserve">SUPORTE VERTICAL  100 X 50 MM  PARA FIXAÇÃO DE ELETROCALHA METÁLICA </t>
  </si>
  <si>
    <t xml:space="preserve">SAÍDA HORIZONTAL PARA ELETRODUTO 1" </t>
  </si>
  <si>
    <t xml:space="preserve">SAÍDA HORIZONTAL PARA ELETRODUTO 3/4" </t>
  </si>
  <si>
    <t>COEF.</t>
  </si>
  <si>
    <t xml:space="preserve">TUBO CORRUGADO PAREDE DUPLA PEAD, D= 600MM (24"), P/SISTEMAS DRENAGEM, </t>
  </si>
  <si>
    <t xml:space="preserve">TUBO CORRUGADO PAREDE DUPLA PEAD, D= 450MM (18"), P/SISTEMAS DRENAGEM, </t>
  </si>
  <si>
    <t>OBRA:</t>
  </si>
  <si>
    <t>ENDEREÇO:</t>
  </si>
  <si>
    <t>CLIENTE:</t>
  </si>
  <si>
    <t>UNID (M2)</t>
  </si>
  <si>
    <t>MONTAGEM E DESMONTAGEM DE FÔRMA DE VIGA, ESCORAMENTO METÁLICO, PÉ-DIREITO SIMPLES, EM CHAPA DE MADEIRA RESINADA, 2 UTILIZAÇÕES. (INCLUSO ESCORAMENTO)</t>
  </si>
  <si>
    <t>MONTAGEM E DESMONTAGEM DE FÔRMA DE LAJE NERVURADA COM CUBETA E ASSOALHO COM ÁREA MÉDIA MENOR OU IGUAL A 20 M², PÉ-DIREITO SIMPLES, EM CHAPA DE MADEIRA COMPENSADA RESINADA, 8 UTILIZAÇÕES. (INCLUSO ESCORAMENTO)</t>
  </si>
  <si>
    <t>MONTAGEM E DESMONTAGEM DE FÔRMA PARA ESCADAS, COM 2 LANCES, EM MADEIRA SERRADA, 2 UTILIZAÇÕES. (INCLUSO ESCORAMENTO)</t>
  </si>
  <si>
    <t>6,43</t>
  </si>
  <si>
    <t>10,73</t>
  </si>
  <si>
    <t>15,04</t>
  </si>
  <si>
    <t>2,45</t>
  </si>
  <si>
    <t>7,06</t>
  </si>
  <si>
    <t>2,20</t>
  </si>
  <si>
    <t>3,04</t>
  </si>
  <si>
    <t>1,79</t>
  </si>
  <si>
    <t>1,19</t>
  </si>
  <si>
    <t>CAIXA DE PASSAGEM METALICA DE SOBREPOR COM TAMPA PARAFUSADA, DIMENSOES 20 X 20 X 10 CM</t>
  </si>
  <si>
    <t>11,00</t>
  </si>
  <si>
    <t>6,13</t>
  </si>
  <si>
    <t>16,70</t>
  </si>
  <si>
    <t>6,90</t>
  </si>
  <si>
    <t>CHAPA DE ACO XADREZ PARA PISOS, E = 1/4 " (6,30 MM) 54,53 KG/M2</t>
  </si>
  <si>
    <t>CHAPA DE MADEIRA COMPENSADA RESINADA PARA FORMA DE CONCRETO, DE *2,2 X 1,1* M, E = 14 MM</t>
  </si>
  <si>
    <t>6,94</t>
  </si>
  <si>
    <t>10,22</t>
  </si>
  <si>
    <t>15,99</t>
  </si>
  <si>
    <t>4,07</t>
  </si>
  <si>
    <t>25,14</t>
  </si>
  <si>
    <t>11,33</t>
  </si>
  <si>
    <t>10,29</t>
  </si>
  <si>
    <t>0,91</t>
  </si>
  <si>
    <t>6,92</t>
  </si>
  <si>
    <t>17,02</t>
  </si>
  <si>
    <t>1,82</t>
  </si>
  <si>
    <t>4,82</t>
  </si>
  <si>
    <t>6,02</t>
  </si>
  <si>
    <t>4,43</t>
  </si>
  <si>
    <t>16,69</t>
  </si>
  <si>
    <t>4,13</t>
  </si>
  <si>
    <t>13,96</t>
  </si>
  <si>
    <t>7,13</t>
  </si>
  <si>
    <t>12,12</t>
  </si>
  <si>
    <t>7,25</t>
  </si>
  <si>
    <t>13,58</t>
  </si>
  <si>
    <t>11,89</t>
  </si>
  <si>
    <t>21,18</t>
  </si>
  <si>
    <t>PATCH CORD, CATEGORIA 6, EXTENSAO DE 1,50 M</t>
  </si>
  <si>
    <t>17,72</t>
  </si>
  <si>
    <t>PATCH CORD, CATEGORIA 6, EXTENSAO DE 2,50 M</t>
  </si>
  <si>
    <t>PISO EM GRANITO, POLIDO, TIPO ANDORINHA/ QUARTZ/ CASTELO/ CORUMBA OU OUTROS EQUIVALENTES DA REGIAO, FORMATO MENOR OU IGUAL A 3025 CM2, E=  *2* CM</t>
  </si>
  <si>
    <t>12,17</t>
  </si>
  <si>
    <t>20,46</t>
  </si>
  <si>
    <t>39,37</t>
  </si>
  <si>
    <t>15,89</t>
  </si>
  <si>
    <t>16,37</t>
  </si>
  <si>
    <t>57,22</t>
  </si>
  <si>
    <t>9,22</t>
  </si>
  <si>
    <t>8,10</t>
  </si>
  <si>
    <t>11,94</t>
  </si>
  <si>
    <t>21,90</t>
  </si>
  <si>
    <t>24,91</t>
  </si>
  <si>
    <t>18,81</t>
  </si>
  <si>
    <t>9,18</t>
  </si>
  <si>
    <t/>
  </si>
  <si>
    <t>UNIDADE</t>
  </si>
  <si>
    <t>CUSTO TOTAL</t>
  </si>
  <si>
    <t>2,83</t>
  </si>
  <si>
    <t>0,29</t>
  </si>
  <si>
    <t>11,70</t>
  </si>
  <si>
    <t>10,44</t>
  </si>
  <si>
    <t>9,89</t>
  </si>
  <si>
    <t>20,52</t>
  </si>
  <si>
    <t>10,23</t>
  </si>
  <si>
    <t>9,35</t>
  </si>
  <si>
    <t>CONCRETO MAGRO PARA LASTRO, TRAÇO 1:4,5:4,5 (CIMENTO/ AREIA MÉDIA/ BRITA 1)  - PREPARO MECÂNICO COM BETONEIRA 400 L. AF_07/2016</t>
  </si>
  <si>
    <t>CABO DE COBRE FLEXÍVEL ISOLADO, 4 MM², ANTI-CHAMA 450/750 V, PARA CIRCUITOS TERMINAIS - FORNECIMENTO E INSTALAÇÃO. AF_12/2015</t>
  </si>
  <si>
    <t>5,54</t>
  </si>
  <si>
    <t>QUADRO DE DISTRIBUIÇÃO PARA TELEFONE N.5, 80X80X12CM EM CHAPA METALICA, SEM ACESSORIOS, PADRAO TELEBRAS, FORNECIMENTO E INSTALAÇÃO. AF_11/2019</t>
  </si>
  <si>
    <t>8,89</t>
  </si>
  <si>
    <t>10,01</t>
  </si>
  <si>
    <t>10,40</t>
  </si>
  <si>
    <t>7,10</t>
  </si>
  <si>
    <t>6,41</t>
  </si>
  <si>
    <t>DESENHISTA DETALHISTA COM ENCARGOS COMPLEMENTARES</t>
  </si>
  <si>
    <t>10,59</t>
  </si>
  <si>
    <t>ART DE EXECUÇÃO - CREA -PI</t>
  </si>
  <si>
    <t>COMPOSIÇÃO</t>
  </si>
  <si>
    <t>CODIGO</t>
  </si>
  <si>
    <t>INSUMO</t>
  </si>
  <si>
    <t>ÍNDICE</t>
  </si>
  <si>
    <t>CREA-PI</t>
  </si>
  <si>
    <t>-</t>
  </si>
  <si>
    <t>ART DE OBRAS</t>
  </si>
  <si>
    <t>PONTALETE DE MADEIRA NAO APARELHADA *7,5 X 7,5* CM (3 X 3 ") PINUS, MISTA OU EQUIVALENTE DA REGIAO</t>
  </si>
  <si>
    <t>SEINFRA-CE</t>
  </si>
  <si>
    <t>FITA VEDA ROSCA 18MM</t>
  </si>
  <si>
    <t>DUCHA HIGIÊNICA COM REGISTRO, LINHA LINK, REF. 1984.C.ACT. LNK, DA DECA OU SIMILAR</t>
  </si>
  <si>
    <t>DUCHA HIGIENICA COM REGISTRO</t>
  </si>
  <si>
    <t>DISPOSITIVO DE PROTEÇÃO CONTRA SURTO DE TENSÃO DPS 60KA - 275V</t>
  </si>
  <si>
    <t>DISPOSITIVO DE PROTEÇÃO CONTRA SURTO DE TENSÃO DPS 60KA, 275V (PARA RAIO)</t>
  </si>
  <si>
    <t>DISJUNTOR BIPOLAR DR 25 A - DISPOSITIVO RESIDUAL DIFERENCIAL, TIPO AC, 30MA, REF.5SM1 312-OMB, SIEMENS OU SIMILAR</t>
  </si>
  <si>
    <t>DISJUNTOR BIPOLAR DR 25 A, DISPOSITIVO RESIDUAL DIFERENCIAL, TIPO AC, 30MA</t>
  </si>
  <si>
    <t>LUMINÁRIA TIPO CALHA DE EMBUTIR COM ALETAS E TUBOS LED 2 X 20 W, COMPLETA</t>
  </si>
  <si>
    <t>LAMPADA LED TUBULAR BIVOLT 20W</t>
  </si>
  <si>
    <t>Luminária fluorescente embutir com aletas 2 x 20 w (tecnolux - ref.fle 6440/216 ou similar)</t>
  </si>
  <si>
    <t>QUADRO DE DISTRIBUICAO DE ENERGIA DE EMBUTIR, EM CHAPA METALICA, PARA 70 DISJUNTORES TERMOMAGNETICOS MONOPOLARES, COM BARRAMENTO TRIFASICO E NEUTRO, FORNECIMENTO E INSTALACAO</t>
  </si>
  <si>
    <t>QUADRO DE DISTRIBUICAO COM BARRAMENTO TRIFASICO, DE EMBUTIR, EM CHAPA DE ACO GALVANIZADO, PARA 70 DISJUNTORES DIN, 225 A</t>
  </si>
  <si>
    <t>ARGAMASSA TRAÇO 1:3:12 (CIMENTO, CAL E AREIA MÉDIA) PARA EMBOÇO/MASSA ÚNICA/ASSENTAMENTO DE ALVENARIA DE VEDAÇÃO, PREPARO MECÂNICO COM BETONEIRA 600 L. AF_06/2014</t>
  </si>
  <si>
    <t>M³</t>
  </si>
  <si>
    <t>TOMADA 2P+T, ABNT, 10 A, PARA PISO, COM PLACA EM METAL AMARELO E CAIXA PVC</t>
  </si>
  <si>
    <t>Tomada 2p+t, ABNT, 10A, para piso, com placa em metal amarelo</t>
  </si>
  <si>
    <t>Caixa de passagem, em pvc, de 4" x 2", para eletroduto flexivel corrugado</t>
  </si>
  <si>
    <t>C4780</t>
  </si>
  <si>
    <t>UNID.</t>
  </si>
  <si>
    <t>FIO FLEXIVEL 2 X 2,5MM (PARALELO OU TORCIDO)</t>
  </si>
  <si>
    <t>CORDAO DE COBRE, FLEXIVEL, TORCIDO, CLASE 4 OU 5 ISOLAMENTO PVC/D 300V, 2 CONDUTORES DE 2,50MM²</t>
  </si>
  <si>
    <t xml:space="preserve">M </t>
  </si>
  <si>
    <t>REGUA (FILTRO DE LINHA ) COM 8 TOMADAS</t>
  </si>
  <si>
    <t>REGUA (FILTRO DE LINHA) COM 8 TOMADAS</t>
  </si>
  <si>
    <t>FORNECIMENTO E INSTALAÇÃO DE MINI RACK DE PAREDE 19" X 5U X 350MM</t>
  </si>
  <si>
    <t xml:space="preserve"> Mini Rack de parede 19" x 5u x 350mm (porta de acrílico)</t>
  </si>
  <si>
    <t>CAIXA ACUSTICA - SONOFLETOR 60 W</t>
  </si>
  <si>
    <t xml:space="preserve"> Caixa acústica BS ref B-52 FF250 60 w (RMS ou similar)</t>
  </si>
  <si>
    <t>MESA DE SOM / MIXER 8 CANAIS C/ USB OMX 52 - ONEAL OU SIMILAR</t>
  </si>
  <si>
    <t>MESA DE SOM / MIXER 5 CANAIS C/ USB OMX 52 - ONEAL OU SIMILAR</t>
  </si>
  <si>
    <t>AMPLIFICADOR CICLOTRON DBK 4000 (OU SIMILAR) - FORNECIMENTO E INSTALAÇÃO</t>
  </si>
  <si>
    <t>Amplificador Ciclotron DBK 4000 (ou similar)</t>
  </si>
  <si>
    <t>Cabo balanceado 2 x 0,30mm (para microfone)</t>
  </si>
  <si>
    <t>TOMADA XLR PARA MICROFONE, PARA PISO, COM PLACA E CAIXA</t>
  </si>
  <si>
    <t>Espelho / placa cega 4" x 2", para instalacao de tomadas e interruptores</t>
  </si>
  <si>
    <t>Conector XLR 05 pinos em alumínio com grau proteção IP66</t>
  </si>
  <si>
    <t>UNI</t>
  </si>
  <si>
    <t xml:space="preserve"> FORNECIMENTO E INSTALAÇÃO DE CONECTOR RJ 45 MACHO CAT 6</t>
  </si>
  <si>
    <t>CONECTOR RJ 45 MACHO CAT 6</t>
  </si>
  <si>
    <t>TOMADA DUPLA PARA LÓGICA RJ45, CAT.6, COM CAIXA PVC, EMBUTIR, COMPLETA</t>
  </si>
  <si>
    <t xml:space="preserve"> Modulo para tomada rj-45 cat.6</t>
  </si>
  <si>
    <t xml:space="preserve"> Placa 4" x 2" para tomada rj-45 cat.6 - p/ 02 módulos</t>
  </si>
  <si>
    <t>TOMADA PARA LÓGICA RJ45, COM CAIXA PVC, EMBUTIDA, CAT. 6</t>
  </si>
  <si>
    <t xml:space="preserve"> Tomada para lógica, rj45, com placa, cat. 6</t>
  </si>
  <si>
    <t>FORNECIMENTO E MONTAGEM DE GUIA DE CABOS HORIZONTAIS FECHADO DE CORPO DE AÇO SAE 1020, PROF.= 40MM.</t>
  </si>
  <si>
    <t>GUIA DE CABOS FECHADO 19'' 1U</t>
  </si>
  <si>
    <t>FORNECIMENTO E INSTALAÇÃO DE NO-BREAK 110/220V, 1.2 KVA COM 03 SAIDAS 110V AC</t>
  </si>
  <si>
    <t>NO-BREAK 110/220V 1.2KVA COM 03 SAIDA 110 AC</t>
  </si>
  <si>
    <t>BLOCO TERMINAL PARA TELEFONE - 10 PARES - INSTALADO</t>
  </si>
  <si>
    <t>Bloco terminal para telefone - 10 pares</t>
  </si>
  <si>
    <t>TOMADA DUPLA PARA LÓGICA NO PISO, METAL, RJ45</t>
  </si>
  <si>
    <t>Tomada dupla para lógica no piso, metal, RJ45</t>
  </si>
  <si>
    <t>CUMEEIRA TERMOACÚSTICA</t>
  </si>
  <si>
    <t xml:space="preserve"> Cumeeira termoacustica</t>
  </si>
  <si>
    <t>PLACA DE SINALIZACAO, FOTOLUMINESCENTE, EM PVC , ROTA DE FUGA</t>
  </si>
  <si>
    <t>Placa de sinalizacao, fotoluminescente, em pvc , rota de fuga</t>
  </si>
  <si>
    <t>SIRENE AÚDIO-VISUAL 120DB PARA ALARME DE INCÊNDIO,ENDEREÇÁVEL</t>
  </si>
  <si>
    <t>SIRENE AUDIO-VISUAL 120 DB PARA ALARME DE INCÊNDIO INDEREÇÁVEL</t>
  </si>
  <si>
    <t>SIRENE DE ALCANCE - 1.500M, 100A/220V, COM ESTROBO</t>
  </si>
  <si>
    <t>Sirene de alcance 1500m rotativa com estrobo</t>
  </si>
  <si>
    <t>PORTA EM ALUMÍNIO, COR N/P/B, MOLDURA-VIDRO,COMPLETA, INCLUSIVE CAIXILHOS, DOBRADIÇAS OU ROLDANAS E FECHADURA, EXCLUSIVE VIDRO</t>
  </si>
  <si>
    <t>PORTA EM ALUMÍNIO, COR N/P/B, TIPO MOLDURA-VIDRO, INCLUSIVE CAIXILHO, DOBRADIÇAS OU ROLDANAS E FECHADURA, EXCLUSIVE VIDRO</t>
  </si>
  <si>
    <t>ARGAMASSA CIMENTO E AREIA TRAÇO T-1 (1:3) - 1 SACO CIMENTO 50KG / 3 PADIOLAS AREIA DIM. 0.35 X 0.45 X 0.23 M - CONFECÇÃO MECÂNICA E TRANSPORTE</t>
  </si>
  <si>
    <t>ARGAMASSA TRAÇO 1:4 (CIMENTO E AREIA MÉDIA), PREPARO MANUAL. AF_08/2014</t>
  </si>
  <si>
    <t xml:space="preserve">UN </t>
  </si>
  <si>
    <t>BARRA DE APOIO RETA, EM ACO INOX POLIDO, COMPRIMENTO 80CM</t>
  </si>
  <si>
    <t>BARRA DE APOIO RETA, EM ACO INOX POLIDO, COMPRIMENTO 40CM</t>
  </si>
  <si>
    <t>BARRA DE APOIO, RETA, FIXA, EM AÇO INOX, L=40CM, D=1 1/4" - JACKWAL OU SIMILAR</t>
  </si>
  <si>
    <t>CHUVEIRO SIMPLES ARTICULADO, DE METAL CROMADO, (DECA REF1995), C/ REGISTRO DE PRESSÃO (DECA LINHA C40 REF1416) OU SIMILARES</t>
  </si>
  <si>
    <t>CHUVEIRO TRADICIONAL CROMADO, DECA 1995 OU SIMILAR</t>
  </si>
  <si>
    <t>UM</t>
  </si>
  <si>
    <t>REGISTRO PRESSÃO 1/2" C/CANOPLA ACAB.CROM.SIMPLES, LINHA TARGA C40 - REF.1416, DECA OU SIMILAR</t>
  </si>
  <si>
    <t>REVESTIMENTO METÁLICO EM ALUMÍNIO COMPOSTO (ALUCOBOND), E=0,3MM, PINTURA KAYNAR 500 COMPOSTA POR SEIS CAMADAS, INCLUSIVE ESTRUTURA METÁLICA AUXILIAR EM PERFIL DE VIGA "U" DE 2" - FORNECIMENTO E MONTAGEM</t>
  </si>
  <si>
    <t>REVESTIMENTO EM ALUMÍNIO TIPO ALUCOBOND, E=0,3MM, EM ESTRUTURA METÁLICA AUXILIAR DE PERFIL "U" 2", COM FORNECIMENTO E MONTAGEM, INCLUSIVE PINTURA KAYNAR 500 COM SEIS CAMADAS</t>
  </si>
  <si>
    <t>GRADIL NYLOFOR3D, MALHA 20X5CM, Ø 5MM 250X203 CM, BELGO OU SIMILAR, INCLUSIVE POSTES (SECÇÃO 60X40MM E H=2,60M) E ACESSÓRIOS</t>
  </si>
  <si>
    <t>TAMPA PARA POSTE NYLOFOR 60 X 40MM, BELGO OU SIMILAR</t>
  </si>
  <si>
    <t>PÇ</t>
  </si>
  <si>
    <t>POSTE DE GRADIL NYLOFOR 3D, H=2,60M, SEÇÃO DE 40X60MM, BELGO OU SIMILAR</t>
  </si>
  <si>
    <t>GRADIL NYLOFOR3D, MALHA 20X5CM, Ø 5MM 250X203 CM, BELGO OU SIMILAR</t>
  </si>
  <si>
    <t>FIXADOR POLIAMIDA 40 X 60MM, PARA POSTE NYLOFOR, BELGO OU SIMILAR</t>
  </si>
  <si>
    <t>CORRIMÃO EM AÇO INOX, ESCOVADO, D=1 1/2"</t>
  </si>
  <si>
    <t>SOLEIRA EM GRANITO BRANCO CEARA, LARGURA 15 CM, ESPESSURA 2,0 CM</t>
  </si>
  <si>
    <t>SOLEIRA EM GRANITO BRANCO FORTALEZA, L = 15 CM, E = 2 CM</t>
  </si>
  <si>
    <t>PEITORIL EM GRANITO BRANCO CEARÁ, LARGURA DE 22CM, ASSENTADO COM ARGAMASSA COLANTE PRE- FABRICADA</t>
  </si>
  <si>
    <t>PEITORIL GRANITO BRANCO FORTALEZA POLIDO 22 X 2CM</t>
  </si>
  <si>
    <t>ARGAMASSA COLANTE AC-II</t>
  </si>
  <si>
    <t>ESCADA TIPO MARINHEIRO EM TUBO ACO GALVANIZADO 1 1/2" 5 DEGRAUS</t>
  </si>
  <si>
    <t>74194/001</t>
  </si>
  <si>
    <t>Pré-amplificador Gongo PGH-3000 Ambience Line HAYONIK</t>
  </si>
  <si>
    <t>TERMINAL AÉREO EM AÇO GALVANIZADO 3/8" X 50CM, COM FIXAÇÃO HORIZONTAL</t>
  </si>
  <si>
    <t xml:space="preserve"> Terminal aéreo 3/8" x 50cm ref.TEL 045 ou similar</t>
  </si>
  <si>
    <t>COTAÇÃO</t>
  </si>
  <si>
    <t>COTAÇÃO 1</t>
  </si>
  <si>
    <t>COTAÇÃO 2</t>
  </si>
  <si>
    <t>COTAÇÃO 3</t>
  </si>
  <si>
    <t>NVR STAND ALONE 16 CANAIS COM POE, INTELBRAS 3116P OU SIMILAR, FORNECIMENTO E INSTALAÇÃO, INCLUI HD 4 TB PARA CFTV</t>
  </si>
  <si>
    <t>NVR STAND ALONE 16 CANAIS COM POE, INTELBRAS 3116P OU SIMILAR, FORNECIMENTO E INSTALAÇÃO</t>
  </si>
  <si>
    <t>HD 4 TB PARA CFTV</t>
  </si>
  <si>
    <t>BOMBA PARA INCENDIO 7,5 HP - FORNECIMENTO E INSTALAÇÃO</t>
  </si>
  <si>
    <t>Bomba para incendio 7,5 H P</t>
  </si>
  <si>
    <t>LETRA AÇO INOX ESCOVADO/POLIDO H = 15 CM - INSTALADO</t>
  </si>
  <si>
    <t>Letras aço inox 15 x 15cm</t>
  </si>
  <si>
    <t>LETRA AÇO INOX ESCOVADO/POLIDO H = 20 CM - INSTALADO</t>
  </si>
  <si>
    <t>LOCACAO CONVENCIONAL DE OBRA, ATRAVÉS DE GABARITO DE TABUAS CORRIDAS PONTALETADAS A CADA 1,50M, SEM REAPROVEITAMENTO (M2)</t>
  </si>
  <si>
    <t>73992/1</t>
  </si>
  <si>
    <t>LUMINÁRIA PLAFON REDONDO COM VIDRO FOSCO, EMBUTIR, COM 2 LEDS DE 10 W</t>
  </si>
  <si>
    <t>Elevador elétrico social para 08 passageiros ou 600kg, com 02 paradas, paineis e teto em aço escovado, corrimão tubular, portas aço inoxi, cabina 1,20-frente x 1,40-fundo x altura 2,2m inoxidável, Atlas Schindler 3300, modelo Mediterranée ou similar</t>
  </si>
  <si>
    <t>MICROFONE DINAMICO TIPO CARDIOIDE</t>
  </si>
  <si>
    <t xml:space="preserve"> Microfone Leson FM-58 Classic ou similar</t>
  </si>
  <si>
    <t>PEDESTAL GOOSENECK COM MICROFONE E TECLA PTT REF:SM-102, SANSARA OU SIMILAR (SONORIZAÇÃO)</t>
  </si>
  <si>
    <t xml:space="preserve"> Pedestal Gooseneck com microfone e tecla PTT ref:SM-102, Sansara ou similar (sonorização)</t>
  </si>
  <si>
    <t>CONECTOR XLR MACHO</t>
  </si>
  <si>
    <t xml:space="preserve">  Conector XLR 05 pinos em alumínio com grau proteção IP66</t>
  </si>
  <si>
    <t>MONITOR 42" - REF. 42LD460 LG OU SIMILAR</t>
  </si>
  <si>
    <t>COMP-1</t>
  </si>
  <si>
    <t xml:space="preserve"> 73937/3</t>
  </si>
  <si>
    <t>73937/3</t>
  </si>
  <si>
    <t>72895 - CARGA, MANOBRAS E DESCARGA DE MATERIAIS DIVERSOS, COM CAMINHAO BASCULANTE 6M3 (CARGA E DESCARGA MANUAIS) (M3)</t>
  </si>
  <si>
    <t>79480 - ESCAVACAO MECANICA CAMPO ABERTO EM SOLO EXCETO ROCHA ATE 2,00M PROFUNDIDADE (M3)</t>
  </si>
  <si>
    <t>83344 - ESPALHAMENTO DE MATERIAL EM BOTA FORA, COM UTILIZACAO DE TRATOR DE ESTEIRAS DE 165 HP (M3)</t>
  </si>
  <si>
    <t xml:space="preserve">94097 - PREPARO DE FUNDO DE VALA COM LARGURA MENOR QUE 1,5 M, EM LOCAL COM NÍVEL BAIXO DE INTERFERÊNCIA. </t>
  </si>
  <si>
    <t>83534 - LASTRO DE CONCRETO, ESPESSURA (5CM), PREPARO MECANICO, INCLUSO ADITIVO IMPERMEABILIZANTE (M3)</t>
  </si>
  <si>
    <t>COMP-2</t>
  </si>
  <si>
    <t>COMP-2 - FORMA TABUA P/CONCRETO EM FUNDAÇÃO S/REAPROVEITAMENTO (M2)</t>
  </si>
  <si>
    <t>74157/004 - LANCAMENTO/APLICACAO MANUAL DE CONCRETO EM FUNDACOES (M3)</t>
  </si>
  <si>
    <t xml:space="preserve">92481 - MONTAGEM E DESMONTAGEM DE FÔRMA DE LAJE MACIÇA COM ÁREA MÉDIA MENOR OU IGUAL A 20 M², PÉ-DIREITO SIMPLES, EM MADEIRA SERRADA, 1 UTILIZAÇÃO. </t>
  </si>
  <si>
    <t xml:space="preserve">COMP-3 - CONCRETAGEM DE VIGAS E LAJES, FCK=30 MPA, PARA LAJES MACIÇAS OU NERVURADAS COM USO DE BOMBA EM EDIFICAÇÃO COM ÁREA MÉDIA DE LAJES MENOR OU IGUAL A 20 M² - LANÇAMENTO, ADENSAMENTO E ACABAMENTO. </t>
  </si>
  <si>
    <t>COMP-3</t>
  </si>
  <si>
    <t>COMP-4 - CONTRAMARCO DE ALUMÍNIO, FIXAÇÃO COM PARAFUSO (M)</t>
  </si>
  <si>
    <t>COMP-4</t>
  </si>
  <si>
    <t>72175 - BLOCOS DE VIDRO TIPO XADREZ 20X20X10CM, ASSENTADO COM ARGAMASSA TRACO 1:3 (CIMENTO E AREIA GROSSA) PREPARO MECANICO, COM REJUNTAMENTO EM CIMENTO BRANCO E BARRAS DE ACO (M2)</t>
  </si>
  <si>
    <t xml:space="preserve">92408 - MONTAGEM E DESMONTAGEM DE FÔRMA DE PILARES RETANGULARES E ESTRUTURAS SIMILARES COM ÁREA MÉDIA DAS SEÇÕES MENOR OU IGUAL A 0,25 M², PÉ-DIREITO SIMPLES, EM MADEIRA SERRADA, 1 UTILIZAÇÃO. </t>
  </si>
  <si>
    <t xml:space="preserve">92720 - CONCRETAGEM DE PILARES, FCK = 30 MPA, COM USO DE BOMBA EM EDIFICAÇÃO COM SEÇÃO MÉDIA DE PILARES MENOR OU IGUAL A 0,25 M² - LANÇAMENTO, ADENSAMENTO E ACABAMENTO. </t>
  </si>
  <si>
    <t xml:space="preserve">92725 - CONCRETAGEM DE VIGAS E LAJES, FCK=30 MPA, PARA LAJES MACIÇAS OU NERVURADAS COM USO DE BOMBA EM EDIFICAÇÃO COM ÁREA MÉDIA DE LAJES MENOR OU IGUAL A 20 M² - LANÇAMENTO, ADENSAMENTO E ACABAMENTO. </t>
  </si>
  <si>
    <t xml:space="preserve">92489 - MONTAGEM E DESMONTAGEM DE FÔRMA DE LAJE NERVURADA COM CUBETA E ASSOALHO COM ÁREA MÉDIA MENOR OU IGUAL A 20 M², PÉ-DIREITO SIMPLES, EM CHAPA DE MADEIRA COMPENSADA RESINADA, 8 UTILIZAÇÕES. </t>
  </si>
  <si>
    <t>85662 - ARMACAO EM TELA DE ACO SOLDADA NERVURADA Q-92, ACO CA-60, 4,2MM, MALHA15X15CM PARA LAJE TRELIÇADA, COMO ARMAÇÃO NEGATIVA. (M2)</t>
  </si>
  <si>
    <t xml:space="preserve">95938 - MONTAGEM E DESMONTAGEM DE FÔRMA PARA ESCADAS, COM 2 LANCES, EM MADEIRA SERRADA, 2 UTILIZAÇÕES. </t>
  </si>
  <si>
    <t>GRADIL NYLOFOR3D, MALHA 20X5CM, Ø 5MM 250X203 CM, BELGO OU SIMILAR, INCLUSIVE POSTES (SECÇÃO 60X40MM E H=2,60M) E ACESSÓRIOS (C07)</t>
  </si>
  <si>
    <t>73933/1 - PORTA DE ALUMÍNIO, NA COR BRANCO COM PUXADOR DO TIPO ALAVANCA INOX, ROSETA INOX E FERRAGENS CROMADAS, DE ABRIR UMA FOLHA, DIMENSÃO: 0,90X2,10M (C09) (UN)</t>
  </si>
  <si>
    <t>73933/1</t>
  </si>
  <si>
    <t>PORTA EM ALUMÍNIO, COR N/P/B, MOLDURA-VIDRO,COMPLETA, INCLUSIVE CAIXILHOS, DOBRADIÇAS OU ROLDANAS E FECHADURA, EXCLUSIVE VIDRO (SU01)</t>
  </si>
  <si>
    <t>94575 - JANELA BASCULANTE EM ALUMÍNIO ANODIZADO COM VEDAÇÃO EM VIDRO TRANSPARENTE (REF. JC1,JC6,GJ6,GJ7,JC3,JC11,JC10,JC13) (M2)</t>
  </si>
  <si>
    <t>85010_2 - DIVISÓRIA EM ALUMÍNIO ANODIZADO NA COR BRANCA COM VEDAÇÃO EM VIDRO JATEADO (REF. JC9, JC26, JC27) (M2)</t>
  </si>
  <si>
    <t>85010_2</t>
  </si>
  <si>
    <t>94570_3</t>
  </si>
  <si>
    <t>94570_4 - VITRINE EM ALUMÍNIO NA COR BRANCA E VIDRO DUPLO ACÚSTICO TRANSPARENTE SOBRE CONTRAMARCO. FORNECIMENTO E INSTALAÇÃO (REF. JC2)  (M2)</t>
  </si>
  <si>
    <t>94570_4</t>
  </si>
  <si>
    <t>71623 - CHAPIM DE CONCRETO APARENTE COM ACABAMENTO DESEMPENADO, FORMA DE COMPENSADO PLASTIFICADO (MADEIRIT) DE 14 X 10 CM, FUNDIDO NO LOCAL. (M)</t>
  </si>
  <si>
    <t>73882/001 - CALHA EM CONCRETO SIMPLES, EM MEIA CANA, DIAMETRO 400 MM (M)</t>
  </si>
  <si>
    <t>73882/1</t>
  </si>
  <si>
    <t>100563 - RUFO CHAPA ZINCADA COM ARREMATES ARGAMASSA (M2)</t>
  </si>
  <si>
    <t>74106/1</t>
  </si>
  <si>
    <t>73753/1</t>
  </si>
  <si>
    <t>12737 - ESTRUTURA METÁLICA GALVANIZADA, REVESTIDA POR PLACAS DE ACM (ALUMÍNIO COMPOSTO) RECORTADO, E=0,3MM, NA COR COBRE, 1,00 NX 1,00M, FIXAÇÃO DA ESTRUTURA METÁLICA SEM AVANÇO NA EST. ESPACIAL EXISTENTE NO LOCAL POR PARAFUSOS. - FORNECIMENTO E MONTAGEM (M2)</t>
  </si>
  <si>
    <t>10078 - FORNECIMENTO E INSTALAÇÃO DE FACHADA VENTILADA EM PLACAS DE GRÊS PORCELÂNICO EXTRUDADO (E=16MM), FIXADO COM SUBESTRUTURA DE ALUMÍNIO, DA TEMPIO, REF.: GRIS GR02-02 (M2)</t>
  </si>
  <si>
    <t>C4442 - CERÂMICA ESMALTADA C/ ARG. PRÉ-FABRICADA ATÉ 25X25CM - DECORATIVA - P/ PAREDE (M2)</t>
  </si>
  <si>
    <t>CERÂMICA ESMALTADA DIMENSÕES ATÉ 10X10CM (100 CM²)</t>
  </si>
  <si>
    <t>C4442</t>
  </si>
  <si>
    <t>120173 - REVESTIMENTO CERÂMIC0 29,5X29,5CM COM EFEITO 3D COM COLA PAREDES SOBRE EMBOCO (CONFORME ESPECIFICAÇÃO DE PROJETO) (M2)</t>
  </si>
  <si>
    <t>8854 - REVESTIMENTO COM PLACA MDF 6MM REVESTIDO COM LAMINADO MELAMINICO E FITA DE BORDO - ACABAMENTO: LINHO (M2)</t>
  </si>
  <si>
    <t>72961 - REGULARIZACAO E COMPACTACAO DE SUBLEITO ATE 20 CM DE ESPESSURA (M2)</t>
  </si>
  <si>
    <t>73465 - PISO CIMENTADO E=1,5CM C/ARGAMASSA 1:3 CIMENTO AREIA ALISADO COLHER SOBRE BASE EXISTENTE E ARGAMASSA EM PREPARO MECANIZADO (M2)</t>
  </si>
  <si>
    <t>C1847 - PISO DE CONCRETO FCK=13,5MPA ESP=7 CM, INCL. PREPARO DE CAIXA, MOLDADO "IN LOCO", ESTAMPADO COM DESENHO TIPO ASSENTAMENTO ROMANO, COR CONCRETO NATURAL PARA AS CALÇADAS INTERNAS E EXTERNAS. (M2)</t>
  </si>
  <si>
    <t>C1847</t>
  </si>
  <si>
    <t>C3654</t>
  </si>
  <si>
    <t>C3655</t>
  </si>
  <si>
    <t>C3657</t>
  </si>
  <si>
    <t>C3654 - ADAPTADOR PVC P/ REGISTRO 32MM (1") (UN)</t>
  </si>
  <si>
    <t>C3655 - ADAPTADOR PVC P/ REGISTRO 40MM (1 1/4") (UN)</t>
  </si>
  <si>
    <t>C3657 - ADAPTADOR PVC P/ REGISTRO 60MM (2") (UN)</t>
  </si>
  <si>
    <t>7752 - RALO HEMISFÉRICO EM FERRO FUNDIDO TIPO ABACAXI, DN=150MM (UN)</t>
  </si>
  <si>
    <t>89432_1</t>
  </si>
  <si>
    <t>89432_1 - LUVA DE CORRER, PVC, SOLDÁVEL, DN 40MM, INSTALADO EM RAMAL DE DISTRIBUIÇÃO DE ÁGUA FORNECIMENTO E INSTALAÇÃO. (UN)</t>
  </si>
  <si>
    <t xml:space="preserve">90375_1 - BUCHA DE REDUÇÃO, PVC, SOLDÁVEL, DN 32 X 25 MM, INSTALADO EM RAMAL OU SUB-RAMAL DE ÁGUA - FORNECIMENTO E INSTALAÇÃO. </t>
  </si>
  <si>
    <t>90375_1</t>
  </si>
  <si>
    <t>90375_2</t>
  </si>
  <si>
    <t xml:space="preserve">90375_2 - BUCHA DE REDUÇÃO, PVC, SOLDÁVEL, DN 40 X 25 MM, INSTALADO EM RAMAL OU SUB-RAMAL DE ÁGUA - FORNECIMENTO E INSTALAÇÃO. </t>
  </si>
  <si>
    <t xml:space="preserve">90375_3 - BUCHA DE REDUÇÃO, PVC, SOLDÁVEL, DN 50 X 32 MM, INSTALADO EM RAMAL OU SUB-RAMAL DE ÁGUA - FORNECIMENTO E INSTALAÇÃO. </t>
  </si>
  <si>
    <t>90375_3</t>
  </si>
  <si>
    <t xml:space="preserve">90375_4 - BUCHA DE REDUÇÃO, PVC, SOLDÁVEL, DN 50 X 40 MM, INSTALADO EM RAMAL OU SUB-RAMAL DE ÁGUA - FORNECIMENTO E INSTALAÇÃO. </t>
  </si>
  <si>
    <t>90375_4</t>
  </si>
  <si>
    <t xml:space="preserve">89443_1 - TE, PVC, REDUCAO, PVC, SOLDAVEL, 90 GRAUS, 32 MM X 25 MM, INSTALADO EM RAMAL DE DISTRIBUIÇÃO DE ÁGUA - FORNECIMENTO E INSTALAÇÃO. </t>
  </si>
  <si>
    <t>89443_1</t>
  </si>
  <si>
    <t xml:space="preserve">89443_2 - TE, PVC, REDUCAO, PVC, SOLDAVEL, 90 GRAUS, 40 MM X 25 MM, INSTALADO EM RAMAL DE DISTRIBUIÇÃO DE ÁGUA - FORNECIMENTO E INSTALAÇÃO. </t>
  </si>
  <si>
    <t xml:space="preserve">89443_3 - TE, PVC, REDUCAO, PVC, SOLDAVEL, 90 GRAUS, 50 MM X 40 MM, INSTALADO EM RAMAL DE DISTRIBUIÇÃO DE ÁGUA - FORNECIMENTO E INSTALAÇÃO. </t>
  </si>
  <si>
    <t>89443_2</t>
  </si>
  <si>
    <t>89443_3</t>
  </si>
  <si>
    <t>86888 - VASO SANITÁRIO SIFONADO COM DESCARGA EMBUTIDA DE DUPLO ACIONAMENTO 6 OU 10 LITROS, LOUÇA BRANCA, INCLUSO ASSENTO SANITÁRIO DE PLÁSTICO COM TAMPA - FORNECIMENTO E INSTALAÇÃO. (UN)</t>
  </si>
  <si>
    <t xml:space="preserve">86895 - BANCADA DE GRANITO BRANCO CEARÁ PARA LAVATÓRIO 0,50 X 0,60 M, COM CUBA DE SEMI-ENCAIXE - FORNECIMENTO E INSTALAÇÃO. </t>
  </si>
  <si>
    <t>10050 - FORNECIMENTO E ASSENTAMENTO DE TUBO CORRUGADO PAREDE DUPLA PEAD, D= 600MM (24"), P/SISTEMAS DRENAGEM,  (M)</t>
  </si>
  <si>
    <t xml:space="preserve">FORNECIMENTO E ASSENTAMENTO DE TUBO CORRUGADO PAREDE DUPLA PEAD, D= 900MM, P/SISTEMAS DRENAGEM, </t>
  </si>
  <si>
    <t>53099 - TERMINAL DE VENTILAÇÃO PVCS  50MM (UN)</t>
  </si>
  <si>
    <t>53099_1 - TERMINAL DE VENTILAÇÃO PVCS  100MM (UN)</t>
  </si>
  <si>
    <t>53099_1</t>
  </si>
  <si>
    <t>74104/1</t>
  </si>
  <si>
    <t>74104/1 - CAIXA DE INSPEÇÃO EM ALVENARIA DE TIJOLO MACIÇO 60X60X60CM, REVESTIDA INTERNAMENTO COM BARRA LISA (CIMENTO E AREIA, TRAÇO 1:4) E=2,0CM, COM TAMPA PRÉ-MOLDADA DE CONCRETO E FUNDO DE CONCRETO 15MPA TIPO C - ESCAVAÇÃO E CONFECÇÃO (UN)</t>
  </si>
  <si>
    <t>72285 - CAIXA DE AREIA 40X40X40CM EM ALVENARIA - EXECUÇÃO (UN)</t>
  </si>
  <si>
    <t>C1576 - JUNÇÃO SIMPLES DE REDUÇÃO PVC P/ESGOTO 100X50MM (4"X2")-C/ANÉIS (UN)</t>
  </si>
  <si>
    <t>145683 - TE PVC REDUÇÃO ESGOTO DE 100X50MM (UN)</t>
  </si>
  <si>
    <t>89833_1</t>
  </si>
  <si>
    <t>89829_1</t>
  </si>
  <si>
    <t>89862_1</t>
  </si>
  <si>
    <t>5968 - IMPERMEABILIZACAO DE SUPERFICIE COM ARGAMASSA DE CIMENTO E AREIA (MEDIA), TRACO 1:3, COM ADITIVO IMPERMEABILIZANTE, E=2CM. (M2)</t>
  </si>
  <si>
    <t>111609 - ESCADA MARINHEIRO PERFIL DE FERRO C/ ANCORAGEM S/ PROTECAO (M)</t>
  </si>
  <si>
    <t>89833_1 - TE, PVC, SERIE NORMAL, ESGOTO PREDIAL, DN 100 X 50 MM, JUNTA ELÁSTICA, FORNECIDO E INSTALADO EM PRUMADA DE ESGOTO SANITÁRIO OU VENTILAÇÃO. (UN)</t>
  </si>
  <si>
    <t xml:space="preserve">89829_1 - TE, PVC, SERIE NORMAL, ESGOTO PREDIAL, DN 75 X 50 MM, JUNTA ELÁSTICA, FORNECIDO E INSTALADO EM PRUMADA DE ESGOTO SANITÁRIO OU VENTILAÇÃO. </t>
  </si>
  <si>
    <t xml:space="preserve">89862_1 - TE, PVC, SERIE NORMAL, ESGOTO PREDIAL, DN 150 X 100 MM, JUNTA ELÁSTICA, FORNECIDO E INSTALADO EM SUBCOLETOR AÉREO DE ESGOTO SANITÁRIO. </t>
  </si>
  <si>
    <t>1208 - REDUÇÃO EXCENTRICA EM PVC RÍGIDO SOLDÁVEL, PARA ESGOTO, D=150X100MM (UN)</t>
  </si>
  <si>
    <t>1582 - REDUÇÃO EXCENTRICA EM PVC RÍGIDO SOLDÁVEL, PARA ESGOTO PRIMÁRIO, DIÂM =   75 X 50MM (UN)</t>
  </si>
  <si>
    <t>C0678 - CAP (TAMPÃO) OU PLUG (BUJÃO) PVC P/ESGOTO D=100MM SOLD. (UN)</t>
  </si>
  <si>
    <t>C0680 - CAP (TAMPÃO) OU PLUG (BUJÃO) PVC P/ESGOTO D=50MM-SOLD. (UN)</t>
  </si>
  <si>
    <t>C0678</t>
  </si>
  <si>
    <t>C0680</t>
  </si>
  <si>
    <t>74104/001 - CAIXA DE INSPEÇÃO EM ALVENARIA DE TIJOLO MACIÇO 60X60X60CM, REVESTIDA INTERNAMENTO COM BARRA LISA (CIMENTO E AREIA, TRAÇO 1:4) E=2,0CM, COM TAMPA PRÉ-MOLDADA DE CONCRETO E FUNDO DE CONCRETO 15MPA TIPO C - ESCAVAÇÃO E CONFECÇÃO (UN)</t>
  </si>
  <si>
    <t>74051/001 - CAIXA DE GORDURA DUPLA EM CONCRETO PRE-MOLDADO DN 60MM COM TAMPA - FORNECIMENTO E INSTALACAO (UN)</t>
  </si>
  <si>
    <t>522265 - VEDACAO PVC, 100 MM, PARA SAIDA VASO SANITARIO (UN)</t>
  </si>
  <si>
    <t>74051/001</t>
  </si>
  <si>
    <t>C0232 - ASSENTAMENTO DE TUBO DE QUEDA (M)</t>
  </si>
  <si>
    <t>C0608 - CAIXA EM ALVENARIA (80X80X60CM) DE 1 TIJOLO COMUM, LASTRO DE CONCRETO E TAMPA DE CONCRETO (UN)</t>
  </si>
  <si>
    <t>74166/2</t>
  </si>
  <si>
    <t>73963/9</t>
  </si>
  <si>
    <t>238093 - CAIXA DE GORDURA EM PVC, DIAMETRO MINIMO 300 MM, DIAMETRO DE SAIDA 100 MM,CAPACIDADE APROXIMADA 18 LITROS, COM TAMPA (UN)</t>
  </si>
  <si>
    <t>C0601 - CAIXA DE GORDURA/SABÃO EM ALVENARIA (UN)</t>
  </si>
  <si>
    <t>C1436 - GRELHA DE FERRO P/ CALHAS E CAIXAS (M2)</t>
  </si>
  <si>
    <t>C0232</t>
  </si>
  <si>
    <t>C0608</t>
  </si>
  <si>
    <t>C0601</t>
  </si>
  <si>
    <t>C1436</t>
  </si>
  <si>
    <t>73924/3</t>
  </si>
  <si>
    <t>92336_1</t>
  </si>
  <si>
    <t>92336_1 - TUBO DE AÇO GALVANIZADO COM COSTURA, CLASSE MÉDIA, CONEXÃO RANHURADA,DN 75 (3"), INSTALADO EM PRUMADAS - FORNECIMENTO E INSTALAÇÃO. (M)</t>
  </si>
  <si>
    <t>92335_1 - TUBO DE AÇO GALVANIZADO COM COSTURA, CLASSE MÉDIA, CONEXÃO RANHURADA,DN 40 (1.1/2"), INSTALADO EM PRUMADAS - FORNECIMENTO E INSTALAÇÃO. (M)</t>
  </si>
  <si>
    <t>92335_2 - TUBO DE AÇO GALVANIZADO COM COSTURA, CLASSE MÉDIA, CONEXÃO RANHURADA,DN 32 (1.1/4"), INSTALADO EM PRUMADAS - FORNECIMENTO E INSTALAÇÃO. (M)</t>
  </si>
  <si>
    <t>92335_3 - TUBO DE AÇO GALVANIZADO COM COSTURA, CLASSE MÉDIA, CONEXÃO RANHURADA,DN 25 (1"), INSTALADO EM PRUMADAS - FORNECIMENTO E INSTALAÇÃO. (M)</t>
  </si>
  <si>
    <t>92337_1 - TUBO DE AÇO GALVANIZADO COM COSTURA, CLASSE MÉDIA, CONEXÃO RANHURADA,DN 100 (4"), INSTALADO EM PRUMADAS - FORNECIMENTO E INSTALAÇÃO. (M)</t>
  </si>
  <si>
    <t>94471_1 - COTOVELO 90 GRAUS, EM FERRO GALVANIZADO, CONEXÃO ROSQUEADA, DN 25 (1"), INSTALADO EM RESERVAÇÃO DE ÁGUA DE EDIFICAÇÃO QUE POSSUA RESERVATÓRIO DE FIBRA/FIBROCIMENTO FORNECIMENTO E INSTALAÇÃO. (UN)</t>
  </si>
  <si>
    <t>672043 - TE AÇO GALVANIZADO DE 2 1/2' (UN)</t>
  </si>
  <si>
    <t>231112 - ADAPTADOR PVC SOLDAVEL, COM FLANGES LIVRES, 75 MM X 2 1/2", PARA CAIXA D' AGUA (UN)</t>
  </si>
  <si>
    <t>854519 - CHUMBADOR DE ACO 5/8" X 200MM C/ ROSCA E PORCA (UN)</t>
  </si>
  <si>
    <t>73924/003 - PINTURA ESMALTE FOSCO, DUAS DEMAOS, SOBRE SUPERFICIE METALICA (M2)</t>
  </si>
  <si>
    <t>94471_1</t>
  </si>
  <si>
    <t>92335_3</t>
  </si>
  <si>
    <t>92337_1</t>
  </si>
  <si>
    <t>92335_1</t>
  </si>
  <si>
    <t>92335_2</t>
  </si>
  <si>
    <t>427003 - TAMPAO COM CORRENTE, EM LATAO, ENGATE RAPIDO 2 1/2", PARA INSTALACAO PREDIALDE COMBATE A INCENDIO (UN)</t>
  </si>
  <si>
    <t>9973 - ELETRODUTO EM FERRO GALVANIZADO PESADO SEM COSTURA 3/4" (UN)</t>
  </si>
  <si>
    <t>115031 - LÂMPADA SINALIZADORAS ATE 5W (UN)</t>
  </si>
  <si>
    <t>388251 - VALVULA DE ALÍVIO DN 3" COMPLETA (UN)</t>
  </si>
  <si>
    <t>C2687 - VÁLVULA DE FLUXO EM AÇO GALVANIZADO DE (2 1/2") (UN)</t>
  </si>
  <si>
    <t>C2687</t>
  </si>
  <si>
    <t>16.3.1.1.1</t>
  </si>
  <si>
    <t>16.3.1.1.2</t>
  </si>
  <si>
    <t>16.3.1.1.3</t>
  </si>
  <si>
    <t>16.3.1.1.4</t>
  </si>
  <si>
    <t>16.3.1.1.5</t>
  </si>
  <si>
    <t>16.3.1.1.9</t>
  </si>
  <si>
    <t>16.3.1.1.10</t>
  </si>
  <si>
    <t>16.3.1.1.11</t>
  </si>
  <si>
    <t>16.3.1.1.13</t>
  </si>
  <si>
    <t>16.3.1.1.18</t>
  </si>
  <si>
    <t>16.3.1.1.19</t>
  </si>
  <si>
    <t>16.3.1.1.20</t>
  </si>
  <si>
    <t>16.3.1.1.23</t>
  </si>
  <si>
    <t>16.3.1.1.27</t>
  </si>
  <si>
    <t>16.3.1.1.28</t>
  </si>
  <si>
    <t>16.3.1.1.29</t>
  </si>
  <si>
    <t>16.3.1.1.30</t>
  </si>
  <si>
    <t>16.3.1.1.31</t>
  </si>
  <si>
    <t>16.3.1.1.32</t>
  </si>
  <si>
    <t>16.3.1.1.33</t>
  </si>
  <si>
    <t>16.3.1.1.34</t>
  </si>
  <si>
    <t>16.3.1.1.38</t>
  </si>
  <si>
    <t>16.3.1.1.39</t>
  </si>
  <si>
    <t>16.3.1.1.40</t>
  </si>
  <si>
    <t>16.3.1.1.41</t>
  </si>
  <si>
    <t>16.3.1.1.42</t>
  </si>
  <si>
    <t>16.3.1.1.43</t>
  </si>
  <si>
    <t>16.3.1.1.45</t>
  </si>
  <si>
    <t>16.3.1.1.46</t>
  </si>
  <si>
    <t>16.3.1.1.47</t>
  </si>
  <si>
    <t>16.3.1.1.48</t>
  </si>
  <si>
    <t>FORNECIMENTO E INSTALAÇÃO DE MINI RACK DE PAREDE 19" X 5U X 450MM</t>
  </si>
  <si>
    <t>16.3.4.1.1</t>
  </si>
  <si>
    <t>16.3.4.1.2</t>
  </si>
  <si>
    <t>FORNECIMENTO E INSTALAÇÃO DE CATRACAS ELETRÔNICAS, COM LEITOR DE PROXIMIDADE, DA PRIME OU SIMILAR, INCLUSIVE FRETE, TREINAMENTO, SOFTWARE, CARTÕES DE PROXIMIDADE E COFRE COLETOR</t>
  </si>
  <si>
    <t>C1576</t>
  </si>
  <si>
    <t>C1456 - HIDRANTE C/REGISTRO GLOBO ANGULAR D= 65MM (2 1/2") (UN)</t>
  </si>
  <si>
    <t>TAMPA EM FOFO - D=600MM</t>
  </si>
  <si>
    <t>C4328 - SOBRETAMPA EM FERRO FUNDIDO C/ D=600 MM (UN)</t>
  </si>
  <si>
    <t>SOBRETAMPA EM FERRO FUNDIDO C/ D=600 MM</t>
  </si>
  <si>
    <t>C4328</t>
  </si>
  <si>
    <t>C1456</t>
  </si>
  <si>
    <r>
      <rPr>
        <sz val="11"/>
        <rFont val="Times New Roman"/>
        <family val="1"/>
      </rPr>
      <t>16.3.2.5.2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</si>
  <si>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16.3.2.5.3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</si>
  <si>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16.3.2.5.4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</si>
  <si>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16.3.2.5.5</t>
    </r>
    <r>
      <rPr>
        <sz val="11"/>
        <color theme="1"/>
        <rFont val="Calibri"/>
        <family val="2"/>
        <scheme val="minor"/>
      </rPr>
      <t/>
    </r>
  </si>
  <si>
    <t>3767_1</t>
  </si>
  <si>
    <t>3767_1 - DUTO CORRUGADO FLEXÍVEL EM PEAD Ø = 2.1/2",  LANÇADO DIRETAMENTE NO SOLO, EXCLUSIVE ESCAVAÇÃO E REATERRO (M)</t>
  </si>
  <si>
    <t>11522 - CURVA DE INVERSÃO 75 X 50 MM PARA ELETROCALHA METÁLICA (UN)</t>
  </si>
  <si>
    <t>11286 - CURVA HORIZONTAL PARA ELETROCALHA 75X50MM (UN)</t>
  </si>
  <si>
    <t>9280 - TÊ HORIZONTAL 150 X 50 MM COM BASE LISA PERFURADA PARA ELETROCALHA METÁLICA  (UN)</t>
  </si>
  <si>
    <t>748 - FORNECIMENTO E INSTALAÇÃO DE ELETROCALHA METÁLICA 150 X 50 X 300 MM (UN)</t>
  </si>
  <si>
    <t>11290 - CURVA DE INVERSÃO 150 X 50 MM PARA ELETROCALHA METÁLICA (UN)</t>
  </si>
  <si>
    <t>11548 - CURVA HORIZONTAL 150 X 50 MM PARA ELETROCALHA METÁLICA, COM ÂNGULO 90°  (UN)</t>
  </si>
  <si>
    <t>9533_2 - FLANGE DE LIGAÇÃO 150X50MM PARA ELETROCALHA METÁLICA  (UN)</t>
  </si>
  <si>
    <t>9533_2</t>
  </si>
  <si>
    <t>10849 - CURVA VERTICAL 200 X 50 MM PARA ELETROCALHA METÁLICA, COM ÂNGULO 90°  (UN)</t>
  </si>
  <si>
    <t>Curva vertical 200 x 50 mm para eletrocalha metálica, com ângulo 90° (ref.: mopa ou similar)</t>
  </si>
  <si>
    <t>7144 - CURVA HORIZONTAL 200 X 50 MM PARA ELETROCALHA METÁLICA, COM ÂNGULO 90°  (UN)</t>
  </si>
  <si>
    <t>7143 - TÊ HORIZONTAL 200 X 50 MM COM BASE LISA PERFURADA PARA ELETROCALHA METÁLICA  (UN)</t>
  </si>
  <si>
    <t>12924 - FLANGE DE LIGAÇÃO 200X50MM PARA ELETROCALHA METÁLICA  (UN)</t>
  </si>
  <si>
    <t>4533 - FORNECIMENTO E INSTALAÇÃO DE ELETROCALHA PERFURADA 200 X 50 X 300 MM (UN)</t>
  </si>
  <si>
    <t>11289 - CURVA VERTICAL 200 X 100 MM PARA ELETROCALHA METÁLICA, COM ÂNGULO 90°  (UN)</t>
  </si>
  <si>
    <t>63048_9 - CURVA HORIZONTAL LISA P/A ELETROCALHA 400X50MM (UN)</t>
  </si>
  <si>
    <t>Curva horizontal 400 x 50 mm para eletrocalha metálica, com ângulo de 90º</t>
  </si>
  <si>
    <t>63048_9</t>
  </si>
  <si>
    <t>Eletrocalha metálica perfurada 400 x 100 x 3000 mm (ref. mopa ou similar)</t>
  </si>
  <si>
    <t>FORNECIMENTO E INSTALAÇÃO DE ELETROCALHA PERFURADA 400 X 50 X 3000 MM  (M)</t>
  </si>
  <si>
    <t>8101_1 - FORNECIMENTO E INSTALAÇÃO DE ELETROCALHA PERFURADA 700 X 100 X 3000 MM  (UN)</t>
  </si>
  <si>
    <t>8101_1</t>
  </si>
  <si>
    <t>63048_1 - CURVA VERTICAL EXTERNA LISA P/A ELETROCALHA 700X50MM (UN)</t>
  </si>
  <si>
    <t>63048_1</t>
  </si>
  <si>
    <t>724 - FORNECIMENTO E INSTALAÇÃO DE SAÍDA HORIZONTAL PARA ELETRODUTO 1" (UN)</t>
  </si>
  <si>
    <t xml:space="preserve"> Saída horizontal para eletroduto 1 1/2" (ref. vl 33 valemam ou similar)</t>
  </si>
  <si>
    <t>12489 - FORNECIMENTO E INSTALAÇÃO DE SAÍDA HORIZONTAL PARA ELETRODUTO 4" (UN)</t>
  </si>
  <si>
    <t xml:space="preserve"> Saída horizontal para eletroduto 4" (ref. mopa ou similar)</t>
  </si>
  <si>
    <t>FORNECIMENTO E INSTALAÇÃO DE SAÍDA HORIZONTAL PARA ELETRODUTO 4"</t>
  </si>
  <si>
    <t>C1250 - ENVELOPE DE CONCRETO P/PROTEÇÃO DE TUBO PVC ENTERRADO (M)</t>
  </si>
  <si>
    <t>C1250</t>
  </si>
  <si>
    <t>7384 - FIXAÇÃO DE ELETROCALHA COM VERGALHÃO (TIRANTE) COM ROSCA TOTAL Ø 1/4"X1000MM (M)</t>
  </si>
  <si>
    <t>8697 - SUPORTE VERTICAL 75 X 50 MM PARA FIXAÇÃO DE ELETROCALHA METÁLICA  (UN)</t>
  </si>
  <si>
    <t>12573 - SUPORTE VERTICAL 150 X 50 MM PARA FIXAÇÃO DE ELETROCALHA METÁLICA  (UN)</t>
  </si>
  <si>
    <t>12976 - SUPORTE VERTICAL 200 X 50 MM PARA FIXAÇÃO DE ELETROCALHA METÁLICA  (UN)</t>
  </si>
  <si>
    <t xml:space="preserve">SUPORTE VERTICAL  200 X 50 MM  PARA FIXAÇÃO DE ELETROCALHA METÁLICA </t>
  </si>
  <si>
    <t>12977 - SUPORTE VERTICAL 400 X 50 MM PARA FIXAÇÃO DE ELETROCALHA METÁLICA  (UN)</t>
  </si>
  <si>
    <t xml:space="preserve">SUPORTE VERTICAL  400 X 50 MM  PARA FIXAÇÃO DE ELETROCALHA METÁLICA </t>
  </si>
  <si>
    <t>12978 - SUPORTE VERTICAL 200 X 100 MM PARA FIXAÇÃO DE ELETROCALHA METÁLICA  (UN)</t>
  </si>
  <si>
    <t>SUPORTE VERTICAL 200 X 100 MM PARA FIXAÇÃO DE ELETROCALHA METÁLICA</t>
  </si>
  <si>
    <t xml:space="preserve">SUPORTE VERTICAL  700 X 100 MM  PARA FIXAÇÃO DE ELETROCALHA METÁLICA </t>
  </si>
  <si>
    <t>3988 - SUPORTE VERTICAL 700 X 100 MM PARA FIXAÇÃO DE ELETROCALHA METÁLICA  (UN)</t>
  </si>
  <si>
    <t>629_1 - CAIXA DE PASSAGEM COM TAMPA PARAFUSADA 300X300X100MM (UN)</t>
  </si>
  <si>
    <t>629_1</t>
  </si>
  <si>
    <t>FORNECIMENTO E MONTAGEM DE RACK FECHADO TIPO ARMÁRIO 19" X 44U X 870 MM</t>
  </si>
  <si>
    <t>RACK FECHADO TIPO ARMÁRIO 19" X 44U X 870MM</t>
  </si>
  <si>
    <t>12781 - FORNECIMENTO E MONTAGEM DE RACK FECHADO TIPO ARMÁRIO 19" X 44U X 870 MM</t>
  </si>
  <si>
    <t>725 - FORNECIMENTO E INSTALAÇÃO DE SAÍDA HORIZONTAL PARA ELETRODUTO 1 1/2" (UN)</t>
  </si>
  <si>
    <t xml:space="preserve">FORNECIMENTO E INSTALAÇÃO DE SAÍDA HORIZONTAL PARA ELETRODUTO 1 1/2" </t>
  </si>
  <si>
    <t>7879 - SUPORTE VERTICAL 100 X 50 MM PARA FIXAÇÃO DE ELETROCALHA METÁLICA  (UN)</t>
  </si>
  <si>
    <t xml:space="preserve">ELETROCALHA METÁLICA PERFURADA 100 X 50 X 3000 MM </t>
  </si>
  <si>
    <t>Curva vertical 100 x 50 mm para eletrocalha metálica, com ângulo 90° (ref.: mopa ou similar)</t>
  </si>
  <si>
    <t>8443 - CURVA VERTICAL 100 X 50 MM PARA ELETROCALHA METÁLICA, COM ÂNGULO 90°  (UN)</t>
  </si>
  <si>
    <t>9533 - FLANGE DE LIGAÇÃO 100X50MM PARA ELETROCALHA METÁLICA  (UN)</t>
  </si>
  <si>
    <t>FIXAÇÃO PARA ELETRODUTOS E ELETROCALHAS</t>
  </si>
  <si>
    <t xml:space="preserve">FLANGE 400 X 50MM PARA ELETROCALHA METÁLICA </t>
  </si>
  <si>
    <t>4109 - FLANGE DE LIGAÇÃO 400X50MM PARA ELETROCALHA METÁLICA  (UN)</t>
  </si>
  <si>
    <t>8112 - Tê horizontal 400 x 50 mm com base lisa perfurada para eletrocalha metálica (ref. Mopa ou similar)</t>
  </si>
  <si>
    <t xml:space="preserve"> Tê horizontal 400 x 50mm para eletrocalha metálica (ref. Mopa ou similar)</t>
  </si>
  <si>
    <t xml:space="preserve"> Tê horizontal 100 x 50mm para eletrocalha metálica (ref. Mopa ou similar)</t>
  </si>
  <si>
    <t>8113 - Tê horizontal 100 x 50 mm com base lisa perfurada para eletrocalha metálica (ref. Mopa ou similar)</t>
  </si>
  <si>
    <t>C0627 - CAIXA DE PASSAGEM COM TAMPA PARAFUSADA 150X150X80MM (UN)</t>
  </si>
  <si>
    <t>C0627</t>
  </si>
  <si>
    <r>
      <rPr>
        <sz val="11"/>
        <rFont val="Times New Roman"/>
        <family val="1"/>
      </rPr>
      <t>16.3.3.2.2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</si>
  <si>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16.3.3.2.3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</si>
  <si>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16.3.3.2.4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</si>
  <si>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16.3.3.2.5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</si>
  <si>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16.3.3.2.6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</si>
  <si>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16.3.3.2.7</t>
    </r>
    <r>
      <rPr>
        <sz val="11"/>
        <color theme="1"/>
        <rFont val="Calibri"/>
        <family val="2"/>
        <scheme val="minor"/>
      </rPr>
      <t/>
    </r>
  </si>
  <si>
    <t>CURVA VERTICAL 200 X 50 MM PARA ELETROCALHA METÁLICA, COM ÂNGULO 90°  (UN)</t>
  </si>
  <si>
    <t>CURVA HORIZONTAL LISA P/A ELETROCALHA 400X50MM (UN)</t>
  </si>
  <si>
    <r>
      <rPr>
        <sz val="11"/>
        <rFont val="Times New Roman"/>
        <family val="1"/>
      </rPr>
      <t>16.3.3.1.2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</si>
  <si>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16.3.3.1.3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</si>
  <si>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16.3.3.1.4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</si>
  <si>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16.3.3.1.5</t>
    </r>
    <r>
      <rPr>
        <sz val="11"/>
        <color theme="1"/>
        <rFont val="Calibri"/>
        <family val="2"/>
        <scheme val="minor"/>
      </rPr>
      <t/>
    </r>
  </si>
  <si>
    <t>COMP-7</t>
  </si>
  <si>
    <t>Camêra de vídeo digital, monofocal, fixa, do tipo IP, 2MP, caixa de proteção contra luz solar e intemperismo IP66, Ref. GS2020IP, Giga Security ou similar</t>
  </si>
  <si>
    <t>COMP-8</t>
  </si>
  <si>
    <t>Sirene de alcance - 500m, 100A-220v, ref.Engesig ou similar</t>
  </si>
  <si>
    <t>59624 - SIRENE DE ALCANCE 500 M</t>
  </si>
  <si>
    <t>SIRENE DE ALCANCE 500 M</t>
  </si>
  <si>
    <t>59624_1 - SENSOR DE PRESENÇA INFRAVERMELHO PASSIVO. (UN)</t>
  </si>
  <si>
    <t>59624_1</t>
  </si>
  <si>
    <t>8016 - CENTRAL DE CONTROLE DE ALARME DE INTRUSÃO (UN)</t>
  </si>
  <si>
    <r>
      <rPr>
        <sz val="11"/>
        <rFont val="Times New Roman"/>
        <family val="1"/>
      </rPr>
      <t>16.3.5.3.3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</si>
  <si>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16.3.5.3.4</t>
    </r>
    <r>
      <rPr>
        <sz val="11"/>
        <color theme="1"/>
        <rFont val="Calibri"/>
        <family val="2"/>
        <scheme val="minor"/>
      </rPr>
      <t/>
    </r>
  </si>
  <si>
    <t>C1179 - ELETRODUTO DE ALUMÍNIO, INCLUSIVE CONEXÕES DE 3/4" (M)</t>
  </si>
  <si>
    <t>C1181 - ELETRODUTO DE ALUMÍNIO, INCLUSIVE CONEXÕES DE 1" (M)</t>
  </si>
  <si>
    <t>C1179</t>
  </si>
  <si>
    <t>C1181</t>
  </si>
  <si>
    <t>TÊ HORIZONTAL 75 X 50MM PARA ELETROCALHA METÁLICA</t>
  </si>
  <si>
    <t>9426 - TÊ HORIZONTAL 75 X 50 MM COM BASE LISA PERFURADA PARA ELETROCALHA METÁLICA  (UN)</t>
  </si>
  <si>
    <t>FLANGE DE LIGAÇÃO PARA ELETROCALHA METÁLICA 75 X 50MM</t>
  </si>
  <si>
    <t>11130 - LUMINÁRIA TIPO SPOT DE EMBUTIR COM LÂMPADA LED 8,5W (UN)</t>
  </si>
  <si>
    <t>C4412_1 - LUMINÁRIA LED DE EMBUTIR NO PISO, COM CORPO EM ALUMÍNIO INJETADO, BORRACHA DE VEDAÇÃO, DIFUSOR EM VIDRO TEMPERADO, IP66, COM UMA LÂMPADA LED 50 (UN)</t>
  </si>
  <si>
    <t>3836 - CAIXA EM CHAPA METÁLICA GALVANIZADA 60 X 50 X 20CM, PARA QUADRO DE DISTRIBUIÇÃO ELÉTRICA (UN)</t>
  </si>
  <si>
    <t>64021 - BARRAMENTO COBRE INTERLIGACAO 380V 2""X1.1/4"" (UN)</t>
  </si>
  <si>
    <t>3820 - RELÉ DE TEMPO 7PV00 20S 220V (UN)</t>
  </si>
  <si>
    <t>Relé de falta de fase 127-220V, ref. 3UGO2 40-OA507</t>
  </si>
  <si>
    <t>3820_1</t>
  </si>
  <si>
    <t>3820_2</t>
  </si>
  <si>
    <t>3820_1 - RELÉ FALTA DE FASE 380/220V (UN)</t>
  </si>
  <si>
    <t>3820_2 - RELÉ DE SOBRECARGA TÉRMICA PARA MOTOR (UN)</t>
  </si>
  <si>
    <t>72344_1 - CONTATOR TRIPOLAR I NOMINAL 65A - FORNECIMENTO E INSTALACAO INCLUSIVE ELETROTÉCNICO (UN)</t>
  </si>
  <si>
    <t>72344_1</t>
  </si>
  <si>
    <t>64355 - CHAVE BLINDADA 3 POSICOES 30A PARA COMANDO DE BOMBAS (UN)</t>
  </si>
  <si>
    <t>3803 - BOTÃO DE COMANDO 22,5MM (UN)</t>
  </si>
  <si>
    <t>3803_1 - SINALIZADOR LED DE COMANDO 22,5MM (UN)</t>
  </si>
  <si>
    <t>3803_1</t>
  </si>
  <si>
    <t>CAIXA EM CHAPA METÁLICA GALVANIZADA 60 X 50 X 20CM, PARA QUADRO DE DISTRIBUIÇÃO ELÉTRICA (UN)</t>
  </si>
  <si>
    <t>72343 - CONTATOR TRIPOLAR I NOMINAL 22A - FORNECIMENTO E INSTALACAO INCLUSIVE ELETROTÉCNICO (UN)</t>
  </si>
  <si>
    <t>72341_1 - CONTATOR TRIPOLAR I NOMINAL 16A - FORNECIMENTO E INSTALACAO INCLUSIVE ELETROTÉCNICO (UN)</t>
  </si>
  <si>
    <t>72341_1</t>
  </si>
  <si>
    <r>
      <rPr>
        <sz val="11"/>
        <rFont val="Times New Roman"/>
        <family val="1"/>
      </rPr>
      <t>16.3.9.4.4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</si>
  <si>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16.3.9.4.5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</si>
  <si>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16.3.9.4.6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</si>
  <si>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16.3.9.4.7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</si>
  <si>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16.3.9.4.8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</si>
  <si>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16.3.9.4.9</t>
    </r>
    <r>
      <rPr>
        <sz val="11"/>
        <color theme="1"/>
        <rFont val="Calibri"/>
        <family val="2"/>
        <scheme val="minor"/>
      </rPr>
      <t/>
    </r>
  </si>
  <si>
    <t>MICROFONE PARA PARTICIPANTES</t>
  </si>
  <si>
    <r>
      <rPr>
        <sz val="11"/>
        <rFont val="Times New Roman"/>
        <family val="1"/>
      </rPr>
      <t>16.3.10.1.2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</si>
  <si>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16.3.10.1.3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</si>
  <si>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16.3.10.3.3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</si>
  <si>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16.3.10.3.4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</si>
  <si>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16.3.10.3.5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</si>
  <si>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16.3.10.3.6</t>
    </r>
    <r>
      <rPr>
        <sz val="11"/>
        <color theme="1"/>
        <rFont val="Calibri"/>
        <family val="2"/>
        <scheme val="minor"/>
      </rPr>
      <t/>
    </r>
  </si>
  <si>
    <t>7903 - FORNECIMENTO E INSTALAÇAO DE HASTE DE ATERRAMENTO GALVANIZADA A FOGO 3/8"X3,45M (RE-BAR) TEL-760, EXCLISIVE CLIPS (UN)</t>
  </si>
  <si>
    <t>73781/1</t>
  </si>
  <si>
    <t xml:space="preserve">FORNECIMENTO E INSTALAÇÃO DE ELETROCALHA METÁLICA 75 X 50 X 3000 MM </t>
  </si>
  <si>
    <t>9546 - FORNECIMENTO E INSTALAÇÃO DE LEITO GALVANIZADO REFORÇADO 300 X 100 X 3000 MM</t>
  </si>
  <si>
    <t>FORNECIMENTO E INSTALAÇÃO DE LEITO GALVANIZADO REFORÇADO 300 X 100 X 3000 MM</t>
  </si>
  <si>
    <t>LEITO GALVANIZADO REFORÇADO 300 X 100 X 3000 MM</t>
  </si>
  <si>
    <t xml:space="preserve"> Luminária industrial chapa aço, blindada, prova tempo para lâmpada fluorescente 2 x 40w (tecnolux ref.tb165/24 ou similar)
</t>
  </si>
  <si>
    <t>619 - LUMINÁRIA INDUSTRIAL EM CHAPA DE AÇO, BLINDADA, A PROVA DE TEMPO, P/ LÂMPADA FLUORESCENTE 2 X 20 W (TECNOLUX - REF TB165/24 OU SIMILAR)</t>
  </si>
  <si>
    <t>7780_1 - LUMINÁRIA DE EMERGÊNCIA 2 X 55W (UN)</t>
  </si>
  <si>
    <t>7780_1</t>
  </si>
  <si>
    <t>9508_1 - CABO DE COBRE ISOLADO EPR, FLEXIVEL, 25MM², 8,7/15KV / 90º C (M)</t>
  </si>
  <si>
    <t>9508_1</t>
  </si>
  <si>
    <t>96562_1 - PERFILADO DE SEÇÃO 38X76 MM PARA SUPORTE DE LEITO PESADO, LARGURA ATE 50 MM. (M)</t>
  </si>
  <si>
    <t>96562_1</t>
  </si>
  <si>
    <t>3922 -TELA DE AÇO GALVANIZADO FIO 13BWG, COM REVESTIMENTO EM PVC, MALHA 3" (M²)</t>
  </si>
  <si>
    <t>Duto flexivel de alumínio Ø 100mm</t>
  </si>
  <si>
    <t>GERADOR</t>
  </si>
  <si>
    <t>9512_1</t>
  </si>
  <si>
    <t>ELEVADOR</t>
  </si>
  <si>
    <t>TERMINAL DE VENTILAÇÃO PVC  50MM</t>
  </si>
  <si>
    <t>TERMINAL DE VENTILAÇÃO PVC  100MM</t>
  </si>
  <si>
    <t>TAMPÃO EM CHAPA XADREZ DE FERRO GALVANIZADO DIM: 80X80CM, INCLUSIVE CANTONEIRA "L", 2" X 3/16" E JUNTAS DE VEDAÇÃO.</t>
  </si>
  <si>
    <t>FORNECIMENTO E INSTALAÇÃO DE AR CONDICIONADO TIPO SPLIT WALL 60.000 BTU'S COM COMPRESSOR SCROLL - CONTEMPLA A MÃO DE OBRA, SUPORTE E TUBULAÇÃO ATÉ 3,0M</t>
  </si>
  <si>
    <r>
      <rPr>
        <sz val="11"/>
        <rFont val="Times New Roman"/>
        <family val="1"/>
      </rPr>
      <t>16.3.11.9.2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</si>
  <si>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16.3.11.9.3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</si>
  <si>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16.3.11.9.4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</si>
  <si>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16.3.11.9.5</t>
    </r>
    <r>
      <rPr>
        <sz val="11"/>
        <color theme="1"/>
        <rFont val="Calibri"/>
        <family val="2"/>
        <scheme val="minor"/>
      </rPr>
      <t/>
    </r>
  </si>
  <si>
    <t>ESTRADO (TAPETE) DE BORRACHA ISOLANTE 15 KV - DIMENSÕES 1.000 X 1.000 X 25 MM</t>
  </si>
  <si>
    <t>12844 - ESTRADO (TAPETE) DE BORRACHA ISOLANTE 15 KV - DIMENSÕES 1.000 X 1.000 X 25 MM</t>
  </si>
  <si>
    <t>Fornecimento e instalação de ar condicionado tipo split wall 60.000 BTU's com compressor scroll - contempla a mão de obra, suporte e tubulação até 3,0m</t>
  </si>
  <si>
    <t>11103 - FORNECIMENTO E INSTALAÇÃO DE AR CONDICIONADO TIPO SPLIT WALL 60.000 BTU'S COM COMPRESSOR SCROLL - CONTEMPLA A MÃO DE OBRA, SUPORTE E TUBULAÇÃO ATÉ 3,0M</t>
  </si>
  <si>
    <t>11542 - TAMPÃO EM CHAPA XADREZ DE FERRO GALVANIZADO DIM: 80X80CM, INCLUSIVE CANTONEIRA "L", 2" X 3/16" E JUNTAS DE VEDAÇÃO.</t>
  </si>
  <si>
    <t xml:space="preserve"> Perfil Aço, Cantoneira abas iguais - 2" x 3/16" (3,63 kg/m)</t>
  </si>
  <si>
    <r>
      <rPr>
        <sz val="11"/>
        <rFont val="Times New Roman"/>
        <family val="1"/>
      </rPr>
      <t>16.3.3.2.8</t>
    </r>
    <r>
      <rPr>
        <sz val="11"/>
        <color theme="1"/>
        <rFont val="Calibri"/>
        <family val="2"/>
        <scheme val="minor"/>
      </rPr>
      <t/>
    </r>
  </si>
  <si>
    <t>Projetor para data-show, Full HD, 3D, relação de contraste 35.000:1, relação de projeção 16:9/4:3, conexões HDMI, VGA, RCA, USB, Wi-FI, narca OPTOMA, EPSON, ou simila</t>
  </si>
  <si>
    <t>12955 - PROJETOR PARA DATA-SHOW, FULL HD, 3D, RELAÇÃO DE CONTRASTE 35.000:1, RELAÇÃO DE PROJEÇÃO 16:9/4:3, CONEXÕES HDMI, VGA, RCA, USB, WI-FI, NARCA OPTOMA, EPSON, OU SIMILAR</t>
  </si>
  <si>
    <t>KIT BANDEJA EMENDA STACK 12F</t>
  </si>
  <si>
    <t>DIO A270 MODULO BASICO (BANDEJA)</t>
  </si>
  <si>
    <t>EXTENSÃO OPTICA CONECTORIZADA, MULTIMODO OM4, 1,5METRO, 6F, CONECTORES TIPO LC, COM ADAPTADORES ÓPTICOS DUPLEX</t>
  </si>
  <si>
    <t>BANDEJA PARA ACOMODACAO DE SOBRA DE CORDAO 1U CURTO (PRETO RAL9005)</t>
  </si>
  <si>
    <t>KIT SUPORTE ADAPTADOR P/ DIO A270 LC/LC (KIT 3 PEÇAS)</t>
  </si>
  <si>
    <t>COMP-9</t>
  </si>
  <si>
    <t>CORDÃO OPTICO DUPLEX OM4 MULTIMODO 50/125, LC/LC, 2,5 M (UN) - FORNECIMENTO E INSTALAÇÃO</t>
  </si>
  <si>
    <t>COMP-10</t>
  </si>
  <si>
    <t>CABO DE FIBRA ÓPTICA MULTIMODO 50/125 OM4 10 GIGABIT 6F - FORNECIMENTO E INSTALAÇÃO</t>
  </si>
  <si>
    <t>COMP-11</t>
  </si>
  <si>
    <t>COMP-9.1</t>
  </si>
  <si>
    <t>COMP-9.2</t>
  </si>
  <si>
    <t>COMP-9.3</t>
  </si>
  <si>
    <t>COMP-9.4</t>
  </si>
  <si>
    <t>COMP-9.5</t>
  </si>
  <si>
    <t>D.I.O. COMPLETO PARA 12 FIBRAS MULTIMODO, INCLUINDO ACESSÓRIOS (BANDEJAS, EXTENSÕES ÓPTICAS CONECTORIZADAS OM4, ADAPTADORES DUPLEX LC/LC)</t>
  </si>
  <si>
    <t>Brise metálico de alumínio, ref. B57, branco nieve 7000, da Hunter Douglas ou similar (material e mão de obra)</t>
  </si>
  <si>
    <t>COMP-10 - CORDÃO OPTICO DUPLEX OM4 MULTIMODO 50/125, LC/LC, 2,5 M (UN) - FORNECIMENTO E INSTALAÇÃO</t>
  </si>
  <si>
    <t>COMP-9 - D.I.O. COMPLETO PARA 12 FIBRAS MULTIMODO, INCLUINDO ACESSÓRIOS (BANDEJAS, EXTENSÕES ÓPTICAS CONECTORIZADAS OM4, ADAPTADORES DUPLEX LC/LC)</t>
  </si>
  <si>
    <t>CORDÃO OPTICO DUPLEX OM4 MULTIMODO 50/125, LC/LC, 2,5 M (UN)</t>
  </si>
  <si>
    <t>COMP-11 - CABO DE FIBRA ÓPTICA MULTIMODO 50/125 OM4 10 GIGABIT 6F - FORNECIMENTO E INSTALAÇÃO</t>
  </si>
  <si>
    <t>CABO DE FIBRA ÓPTICA MULTIMODO 50/125 OM4 10 GIGABIT 6F</t>
  </si>
  <si>
    <t>10726_1</t>
  </si>
  <si>
    <t>Projetor extra reforçado, blindado, hermético, base de alumínio fundido com movimentos horizontais, difusor em lente de cristal temperado (tecnolux - ref. bw -5/3 ou similar)</t>
  </si>
  <si>
    <t>Lâmpada led 50w de potência, luz branca bivolt, marca LLum ou similar</t>
  </si>
  <si>
    <t>C4412_1</t>
  </si>
  <si>
    <t>C1478 - INSTALAÇÃO INTEGRADA DE CANALETA NO PISO  25X30MM (UN)</t>
  </si>
  <si>
    <t>INSTALAÇÃO INTEGRADA DE CANALETA NO PISO  25X30MM (UN)</t>
  </si>
  <si>
    <t>C1478</t>
  </si>
  <si>
    <t>11908 - TRANSFORMADOR DE FORÇA À SECO 500 KVA/13.800-380/220V (FORNECIMENTO E MONTAGEM) (UN)</t>
  </si>
  <si>
    <t>MAT141050</t>
  </si>
  <si>
    <t>11908_2 - TRANSFORMADOR DE FORÇA À SECO 300 KVA/13.800-380/220V (FORNECIMENTO E MONTAGEM) (UN)</t>
  </si>
  <si>
    <t>11908_1</t>
  </si>
  <si>
    <t>9599 - ESCADA METÁLICA EM AÇO INOX (M)</t>
  </si>
  <si>
    <t>1620_2</t>
  </si>
  <si>
    <t>10832 - ELABORAÇÃO DE PROJETO "AS BUILT" DE TODA A EDIFICAÇÃO. (M2)</t>
  </si>
  <si>
    <t>9537 - LIMPEZA FINAL DA OBRA (M2)</t>
  </si>
  <si>
    <t>10726_1 - FORNECIMENTO E INSTALAÇÃO DE KIT GERADOR FOTOVOLTAICO 50,70KWP, INCLUINDO MÓDULOS, INVERSOR, CABOS, FIXAÇÃO E PROTEÇÃO (UND.)</t>
  </si>
  <si>
    <t>7223 - FORNECIMENTO E INSTALAÇÃO DE CARPETE BERBER POINT 920 DA BEAULIEU E=7MM (M²)</t>
  </si>
  <si>
    <t>FORNECIMENTO E INSTALAÇÃO DE CARPETE BERBER POINT 920 DA BEAULIEU E=7MM</t>
  </si>
  <si>
    <t>EXAUSTOR MULTIVAC MOD MURO 150A, VAZÃO 70 M3/H, MOTOR POT. 12W 220V/1Ø/60HZ, COM SISTEMA INTERTRAVADO COM INTERRUPTOR DE LUZ</t>
  </si>
  <si>
    <t>C4784</t>
  </si>
  <si>
    <t>C4781</t>
  </si>
  <si>
    <t xml:space="preserve">DETECTOR DE METAIS, TIPO PORTAL, MICROPROCESSADO </t>
  </si>
  <si>
    <t>16.3.1.1.6</t>
  </si>
  <si>
    <t>16.3.1.1.7</t>
  </si>
  <si>
    <t>16.3.1.1.8</t>
  </si>
  <si>
    <t>16.3.1.1.12</t>
  </si>
  <si>
    <t>16.3.1.1.14</t>
  </si>
  <si>
    <t>16.3.1.1.15</t>
  </si>
  <si>
    <t>16.3.1.1.16</t>
  </si>
  <si>
    <t>16.3.1.1.17</t>
  </si>
  <si>
    <t>16.3.1.1.21</t>
  </si>
  <si>
    <t>16.3.1.1.22</t>
  </si>
  <si>
    <t>16.3.1.1.24</t>
  </si>
  <si>
    <t>16.3.1.1.25</t>
  </si>
  <si>
    <t>16.3.1.1.26</t>
  </si>
  <si>
    <t>16.3.1.1.35</t>
  </si>
  <si>
    <t>16.3.1.1.36</t>
  </si>
  <si>
    <t>16.3.1.1.37</t>
  </si>
  <si>
    <t>16.3.1.1.44</t>
  </si>
  <si>
    <r>
      <rPr>
        <sz val="11"/>
        <rFont val="Times New Roman"/>
        <family val="1"/>
      </rPr>
      <t>16.3.9.4.10</t>
    </r>
    <r>
      <rPr>
        <sz val="11"/>
        <color theme="1"/>
        <rFont val="Calibri"/>
        <family val="2"/>
        <scheme val="minor"/>
      </rPr>
      <t/>
    </r>
  </si>
  <si>
    <t>COMP-12</t>
  </si>
  <si>
    <r>
      <rPr>
        <sz val="11"/>
        <rFont val="Times New Roman"/>
        <family val="1"/>
      </rPr>
      <t>13.4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</si>
  <si>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</si>
  <si>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</si>
  <si>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</si>
  <si>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</si>
  <si>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</si>
  <si>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</si>
  <si>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13.11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</si>
  <si>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13.12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</si>
  <si>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13.13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</si>
  <si>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13.14</t>
    </r>
    <r>
      <rPr>
        <sz val="11"/>
        <color theme="1"/>
        <rFont val="Calibri"/>
        <family val="2"/>
        <scheme val="minor"/>
      </rPr>
      <t/>
    </r>
  </si>
  <si>
    <t>14.5</t>
  </si>
  <si>
    <r>
      <rPr>
        <sz val="11"/>
        <rFont val="Times New Roman"/>
        <family val="1"/>
      </rPr>
      <t>16.3.3.2.9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</si>
  <si>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16.3.3.2.10</t>
    </r>
    <r>
      <rPr>
        <sz val="11"/>
        <color theme="1"/>
        <rFont val="Calibri"/>
        <family val="2"/>
        <scheme val="minor"/>
      </rPr>
      <t/>
    </r>
  </si>
  <si>
    <t>16.2.1.2.4</t>
  </si>
  <si>
    <t>16.2.1.2.5</t>
  </si>
  <si>
    <t>16.2.1.2.6</t>
  </si>
  <si>
    <t>16.2.1.2.7</t>
  </si>
  <si>
    <t>16.2.1.2.8</t>
  </si>
  <si>
    <t>16.2.1.2.9</t>
  </si>
  <si>
    <t>16.2.1.2.10</t>
  </si>
  <si>
    <t>16.2.1.2.11</t>
  </si>
  <si>
    <t>16.2.1.2.12</t>
  </si>
  <si>
    <t>16.2.1.2.13</t>
  </si>
  <si>
    <t>16.2.1.2.14</t>
  </si>
  <si>
    <t>16.2.1.2.15</t>
  </si>
  <si>
    <t>16.2.1.2.16</t>
  </si>
  <si>
    <t>16.2.1.2.17</t>
  </si>
  <si>
    <t>16.2.1.2.18</t>
  </si>
  <si>
    <r>
      <rPr>
        <sz val="11"/>
        <rFont val="Times New Roman"/>
        <family val="1"/>
      </rPr>
      <t>16.1.1.5.3</t>
    </r>
    <r>
      <rPr>
        <sz val="11"/>
        <color theme="1"/>
        <rFont val="Calibri"/>
        <family val="2"/>
        <scheme val="minor"/>
      </rPr>
      <t/>
    </r>
  </si>
  <si>
    <t>BOMBA CENTRÍFUGA, TRIFÁSICA, 1,5 CV OU 1,48 HP - FORNECIMENTO E INSTALAÇÃO</t>
  </si>
  <si>
    <t>FORNECIMENTO E ASSENTAMENTO DE TUBO CORRUGADO PAREDE DUPLA PEAD, D= 600MM (24"), P/SISTEMAS DRENAGEM</t>
  </si>
  <si>
    <t xml:space="preserve">TUBO CORRUGADO PAREDE DUPLA PEAD, D= 800MM P/SISTEMAS DRENAGEM, </t>
  </si>
  <si>
    <t>10052 - FORNECIMENTO E ASSENTAMENTO DE TUBO CORRUGADO PAREDE DUPLA PEAD, D= 800MM, P/SISTEMAS DRENAGEM  (M)</t>
  </si>
  <si>
    <t>10049 - FORNECIMENTO E ASSENTAMENTO DE TUBO CORRUGADO PAREDE DUPLA PEAD, D= 450MM (18"), P/SISTEMAS DRENAGEM  (M)</t>
  </si>
  <si>
    <t>73781/1 - MUFLA TERMINAL PRIMARIA UNIPOLAR USO INTERNO PARA CABO 25/120MM2, ISOLACAO 15/25KV EM EPR - BORRACHA DE SILICONE. FORNECIMENTO E INSTALACAO. (UN)</t>
  </si>
  <si>
    <t>MUFLA TERMINAL PRIMARIA UNIPOLAR USO INTERNO PARA CABO 25/120MM2 ISOLACAO 15/25KV EM EPR - BORRACHA DE SILICONE</t>
  </si>
  <si>
    <t>MUFLA TERMINAL PRIMARIA UNIPOLAR USO INTERNO PARA CABO 25/120MM2, ISOLACAO 15/25KV EM EPR - BORRACHA DE SILICONE. FORNECIMENTO E INSTALACAO.</t>
  </si>
  <si>
    <r>
      <rPr>
        <sz val="11"/>
        <rFont val="Times New Roman"/>
        <family val="1"/>
      </rPr>
      <t>16.3.11.5.5</t>
    </r>
    <r>
      <rPr>
        <sz val="11"/>
        <color theme="1"/>
        <rFont val="Calibri"/>
        <family val="2"/>
        <scheme val="minor"/>
      </rPr>
      <t/>
    </r>
  </si>
  <si>
    <t xml:space="preserve">DISJUNTOR TERMOMAGNÉTICO TRIPOLAR 63 A </t>
  </si>
  <si>
    <t xml:space="preserve">DISJUNTOR TERMOMAGNÉTICO TRIPOLAR 100 A </t>
  </si>
  <si>
    <t>DISJUNTOR TERMOMAGNÉTICO TRIPOLAR , CORRENTE NOMINAL DE 150A - FORNECIMENTO E INSTALAÇÃO. AF_10/2020</t>
  </si>
  <si>
    <t>TELA DE PROJEÇÃO RETRÁTIL 2,0X1,5M</t>
  </si>
  <si>
    <t>COMP-13</t>
  </si>
  <si>
    <t>TELA DE PROJEÇÃO RETRÁTIL ELÉTRICA 2,0X1,5M</t>
  </si>
  <si>
    <t>Câmera IP Fisheye PoE 5 Megapixel VIP 5500 F Intelbras OU SIMILAR</t>
  </si>
  <si>
    <t>CÂMERA IP FISHEYE POE 5 MEGAPIXEL VIP 5500 F INTELBRAS OU SIMILAR</t>
  </si>
  <si>
    <t>COMP-14</t>
  </si>
  <si>
    <t>CONCRETO FCK = 30MPA, TRAÇO 1:2,1:2,5 (CIMENTO/ AREIA MÉDIA/ BRITA 1) - PREPARO MECÂNICO COM BETONEIRA 400 L</t>
  </si>
  <si>
    <r>
      <rPr>
        <sz val="11"/>
        <rFont val="Times New Roman"/>
        <family val="1"/>
      </rPr>
      <t>4.3.10</t>
    </r>
    <r>
      <rPr>
        <sz val="11"/>
        <color theme="1"/>
        <rFont val="Calibri"/>
        <family val="2"/>
        <scheme val="minor"/>
      </rPr>
      <t/>
    </r>
  </si>
  <si>
    <t>91332_1</t>
  </si>
  <si>
    <t>PORTA DE MADEIRA FRISADA, SEMI-OCA (LEVE OU MÉDIA), PADRÃO MÉDIO, 80X210CM, ESPESSURA DE 3,5CM, ITENS INCLUSOS: DOBRADIÇAS, MONTAGEM E INSTALAÇÃO DO BATENTE, FECHADURA COM EXECUÇÃO DO FURO E ACABAMENTO EM MELAMINA COR CARVALHO- FORNECIMENTO E INSTALAÇÃO. (C01) (UN)</t>
  </si>
  <si>
    <t>91332_2</t>
  </si>
  <si>
    <t>PORTA DE MADEIRA FRISADA, SEMI-OCA (LEVE OU MÉDIA), PADRÃO MÉDIO, 80X210CM, ESPESSURA DE 3,5CM, ITENS INCLUSOS: DOBRADIÇAS, MONTAGEM E INSTALAÇÃO DO BATENTE, FECHADURA COM EXECUÇÃO DO FURO E ACABAMENTO MELAMÍNICO, COM CHAPA DE AÇO INOX NA BASE DA PORTA - FORNECIMENTO E INSTALAÇÃO. (C02) (UN)</t>
  </si>
  <si>
    <t>FORNECIMENTO E INSTALAÇÃO DE VOICE PAINEL 50 PORTAS</t>
  </si>
  <si>
    <t xml:space="preserve">VOICE PAINEL 50 PORTAS </t>
  </si>
  <si>
    <t>CABO TELEFÔNICO CI-50 50 PARES INSTALADO EM ENTRADA DE EDIFICAÇÃO - FORNECIMENTO E INSTALAÇÃO</t>
  </si>
  <si>
    <t>CABO ELETRÔNICO CATEGORIA 6, INSTALADO EM EDIFICAÇÃO INSTITUCIONAL - FORNECIMENTO E INSTALAÇÃO</t>
  </si>
  <si>
    <t>PATCH PANEL 48 PORTAS, CATEGORIA 6 - FORNECIMENTO E INSTALAÇÃO</t>
  </si>
  <si>
    <t>QUADRO DE DISTRIBUIÇÃO PARA TELEFONE N.5, 80X80X12CM EM CHAPA METALICA, SEM ACESSORIOS, PADRAO TELEBRAS, FORNECIMENTO E INSTALAÇÃO</t>
  </si>
  <si>
    <t>LUMINÁRIA TIPO CALHA, DE SOBREPOR, COM 2 LÂMPADAS TUBULARES LED DE 18 W - FORNECIMENTO E INSTALAÇÃO</t>
  </si>
  <si>
    <t>CORDOALHA DE COBRE NU 35 MM², NÃO ENTERRADA, COM ISOLADOR - FORNECIMENTO E INSTALAÇÃO</t>
  </si>
  <si>
    <t>CAPTOR TIPO FRANKLIN PARA SPDA - FORNECIMENTO E INSTALAÇÃO</t>
  </si>
  <si>
    <t>CAIXA DE INSPEÇÃO PARA ATERRAMENTO, CIRCULAR, EM POLIETILENO, DIÂMETRO INTERNO = 0,3 M</t>
  </si>
  <si>
    <t>HASTE DE ATERRAMENTO 5/8''  PARA SPDA - FORNECIMENTO E INSTALAÇÃO</t>
  </si>
  <si>
    <t>CORDOALHA DE COBRE NU 50 MM², ENTERRADA, SEM ISOLADOR - FORNECIMENTO E INSTALAÇÃO</t>
  </si>
  <si>
    <t>MULTIKIT DE DERIVAÇÃO PARA SISTEMA VRV - FORNECIMENTO E INSTALAÇÃO</t>
  </si>
  <si>
    <t>779329 - MULTIKIT DE DERIVAÇÃO PARA SISTEMA VRV - FORNECIMENTO E INSTALAÇÃO</t>
  </si>
  <si>
    <t>C4785 - REDE FRIGORÍGENA C/ TUBO DE COBRE 1 1/8", ISOLADO COM BORRACHA ELASTOMÉRICA, SUSTENTAÇÃO, SOLDA E LIMPEZA (M)</t>
  </si>
  <si>
    <t>Tubo de cobre flexível Ø 1 1/8" - 28mm, e= 1mm</t>
  </si>
  <si>
    <t>C4785</t>
  </si>
  <si>
    <t>Tubo de cobre flexível Ø 1" - 25,40mm, e= 1mm</t>
  </si>
  <si>
    <t>C4781 - REDE FRIGORÍGENA C/ TUBO DE COBRE 7/8" FLEXÍVEL, ISOLADO COM BORRACHA ELASTOMÉRICA, SUSTENTAÇÃO, SOLDA E LIMPEZA (M)</t>
  </si>
  <si>
    <t>C4784 - REDE FRIGORÍGENA C/ TUBO DE COBRE 1", ISOLADO COM BORRACHA ELASTOMÉRICA, SUSTENTAÇÃO, SOLDA E LIMPEZA (M)</t>
  </si>
  <si>
    <t>Tubo de cobre flexível Ø 7/8" - 22,23mm, e= 1mm</t>
  </si>
  <si>
    <t xml:space="preserve">GÁS REFRIGERANTE </t>
  </si>
  <si>
    <t xml:space="preserve">Gás refrigerante </t>
  </si>
  <si>
    <t>Isolamento esponjoso elastomérico para tubo de cobre 3/4"</t>
  </si>
  <si>
    <t xml:space="preserve">UNID EVAPORADORA VRV TIPO CASSETE 5,0HP </t>
  </si>
  <si>
    <t xml:space="preserve">MULTIKIT PARA VRV - INSTALADO
</t>
  </si>
  <si>
    <r>
      <rPr>
        <sz val="11"/>
        <rFont val="Times New Roman"/>
        <family val="1"/>
      </rPr>
      <t>16.4.1.3.3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</si>
  <si>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</si>
  <si>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</si>
  <si>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</si>
  <si>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</si>
  <si>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</si>
  <si>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</si>
  <si>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</si>
  <si>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</si>
  <si>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</si>
  <si>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16.4.1.3.13</t>
    </r>
    <r>
      <rPr>
        <sz val="11"/>
        <color theme="1"/>
        <rFont val="Calibri"/>
        <family val="2"/>
        <scheme val="minor"/>
      </rPr>
      <t/>
    </r>
  </si>
  <si>
    <t>COMP-15</t>
  </si>
  <si>
    <t>FORNECIMENTO E INSTALAÇÃO DE NO-BREAK 110/220 V, 2.2 KVA COM 06 SAÍDAS 110 V AC</t>
  </si>
  <si>
    <t>FORNECIMENTO E INSTALAÇÃO DE NO-BREAK 110/220V, 2.2 KVA COM 06 SAIDAS 110V AC</t>
  </si>
  <si>
    <t>NO-BREAK 110/220V 2.2KVA COM 05 SAIDA 110 AC</t>
  </si>
  <si>
    <t>LETRA AÇO INOX ESCOVADO/POLIDO H = 10 CM - INSTALADO</t>
  </si>
  <si>
    <t>LETRA AÇO INOX ESCOVADO/POLIDO H = 30 CM - INSTALADO</t>
  </si>
  <si>
    <t>LETRA AÇO INOX ESCOVADO/POLIDO H = 50 CM - INSTALADO</t>
  </si>
  <si>
    <r>
      <rPr>
        <sz val="11"/>
        <rFont val="Times New Roman"/>
        <family val="1"/>
      </rPr>
      <t>16.3.7.1.5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</si>
  <si>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16.3.7.1.6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</si>
  <si>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16.3.7.1.7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</si>
  <si>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</si>
  <si>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</si>
  <si>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</si>
  <si>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</si>
  <si>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</si>
  <si>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</si>
  <si>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16.3.2.1.12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</si>
  <si>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16.3.2.1.13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</si>
  <si>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16.3.2.1.14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</si>
  <si>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16.3.2.1.15</t>
    </r>
    <r>
      <rPr>
        <sz val="11"/>
        <color theme="1"/>
        <rFont val="Calibri"/>
        <family val="2"/>
        <scheme val="minor"/>
      </rPr>
      <t/>
    </r>
  </si>
  <si>
    <t>TRANSCEIVER CISCO SFP+ 10GBASE-SR OU SIMILAR EQUIVALENTE</t>
  </si>
  <si>
    <t>Projetor à LED, IP 67, perfil de alumínio etrudado, com 36 LED's de alta potência (1,2W/LED),com lentes de abertura de 30°, ref. CHROMADEL RGB ou similar</t>
  </si>
  <si>
    <t>PROJETOR À LED, IP 67, PERFIL DE ALUMÍNIO ETRUDADO, COM 36 LED'S DE ALTA POTÊNCIA (1,2W/LED),COM LENTES DE ABERTURA DE 30°, REF. CHROMADEL RGB OU SIMILAR</t>
  </si>
  <si>
    <t>TRIBUNAL DE JUSTIÇA DO PIAUÍ - SUPERINTENDÊNCIA DE ENGENHARIA E ARQUITETURA</t>
  </si>
  <si>
    <t>PREÇO</t>
  </si>
  <si>
    <t xml:space="preserve">PERFIL "U" DE ACO LAMINADO, "U" 152 X 15,6 </t>
  </si>
  <si>
    <t xml:space="preserve">MONTADOR DE ESTRUTURA METÁLICA COM ENCARGOS COMPLEMENTARES </t>
  </si>
  <si>
    <t xml:space="preserve">SERVENTE COM ENCARGOS COMPLEMENTARES </t>
  </si>
  <si>
    <t>ESTRUTURA METALICA EM TESOURAS OU TRELICAS, VAO LIVRE DE 15M, FORNECIMENTO E MONTAGEM, NAO SENDO CONSIDERADOS OS FECHAMENTOS METALICOS, AS COLUNAS, OS SERVICOS GERAIS EM ALVENARIA E CONCRETO, AS TELHAS DE COBERTURA E A PINTURA DE ACABAMENTO</t>
  </si>
  <si>
    <t>ESTRUTURA METALICA EM TESOURAS OU TRELICAS, VAO LIVRE DE 15M, FORNECIMENTO E MONTAGEM, NAO SENDO CONSIDERADOS OS FECHAMENTOS METALICOS, AS COLUNAS, OS SERVICOS GERAIS EM ALVENARIA E CONCRETO, AS TELHAS DE COBERTURA E A PINTURA DE ACABAMENTO (M2)</t>
  </si>
  <si>
    <t>COMP-5</t>
  </si>
  <si>
    <t>COMP-6</t>
  </si>
  <si>
    <t>COMP-16</t>
  </si>
  <si>
    <t>SWITCH TIPO 1 - CISCO CATALYST C9200L-48P-4X-E OU SIMILAR EQUIVALENTE</t>
  </si>
  <si>
    <t>SWITCH TIPO 2 - CISCO CATALYST C9200L-48T-4X-E OU SIMILAR EQUIVALENTE</t>
  </si>
  <si>
    <t>SWITCH TIPO 3 -  CISCO CATALYST C9200L-48T-4G-E OU SIMILAR EQUIVALENTE</t>
  </si>
  <si>
    <t>COMP-17</t>
  </si>
  <si>
    <t xml:space="preserve">SWITCH TIPO 2 - CISCO CATALYST C9200L-48T-4X-E OU SIMILAR EQUIVALENTE </t>
  </si>
  <si>
    <t xml:space="preserve">SWITCH TIPO 3 -  CISCO CATALYST C9200L-48T-4G-E OU SIMILAR EQUIVALENTE </t>
  </si>
  <si>
    <t>LUMINÁRIA ARANDELA TIPO TARTARUGA, COM GRADE, DE SOBREPOR, COM 1 LÂMPADA 15 W - FORNECIMENTO E INSTALAÇÃO</t>
  </si>
  <si>
    <t>1620_2 - LETRA AÇO INOX ESCOVADO/POLIDO H = 30 CM - INSTALADO</t>
  </si>
  <si>
    <t>74106/1 - IMPERMEABILIZACAO DE ESTRUTURAS ENTERRADAS, COM TINTA ASFALTICA, DUAS DEMAOS. (M2)</t>
  </si>
  <si>
    <t>73753/1 - IMPERMEABILIZACAO DE SUPERFICIE COM MANTA ASFALTICA PROTEGIDA COM FILME DE ALUMINIO GOFRADO (DE ESPESSURA 0,8MM), INCLUSA APLICACAO DE EMULSAO ASFALTICA, E=3MM. (CALHAS E LAJE DA CAIXA DÁGUA) (M2)</t>
  </si>
  <si>
    <t>Fornecimento e instalação de catracas eletrônicas, com leitor de proximidade, da Prime ou similar, inclusive frete, treinamento, software, cartões de proximidade e cofre coletor</t>
  </si>
  <si>
    <t>73963/9 - POCO DE VISITA PARA REDE DE ESG. SANIT., EM ANEIS DE CONCRETO, DIÂMETRO = 110CM, PROF = 170CM, EXCLUINDO TAMPAO FERRO FUNDIDO. (UN)</t>
  </si>
  <si>
    <t>74166/2 - CAIXA DE INSPECAO EM ANEL DE CONCRETO PRE MOLDADO, COM 950MM DE ALTURA TOTAL. ANEIS COM ESP=50MM, DIAM.=600MM. EXCLUSIVE TAMPAO E ESCAVACAO - FORNECIMENTO E INSTALACAO (UN)</t>
  </si>
  <si>
    <t>Curva horizontal 75 x 50 mm para eletrocalha metálica (ref.: mopa ou similar)</t>
  </si>
  <si>
    <t>FORNECIMENTO E INSTALAÇÃO DE ELETROCALHA METÁLICA 75 X 50 X 3000 MM (UN)</t>
  </si>
  <si>
    <r>
      <rPr>
        <sz val="11"/>
        <rFont val="Times New Roman"/>
        <family val="1"/>
      </rPr>
      <t>16.3.2.2.6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</si>
  <si>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</si>
  <si>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</si>
  <si>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</si>
  <si>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</si>
  <si>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</si>
  <si>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</si>
  <si>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</si>
  <si>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</si>
  <si>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</si>
  <si>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</si>
  <si>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</si>
  <si>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</si>
  <si>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16.3.2.2.19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</si>
  <si>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</si>
  <si>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</si>
  <si>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</si>
  <si>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</si>
  <si>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</si>
  <si>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</si>
  <si>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</si>
  <si>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</si>
  <si>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</si>
  <si>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16.3.2.2.29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</si>
  <si>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16.3.2.2.30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</si>
  <si>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16.3.2.2.31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</si>
  <si>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16.3.2.2.34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</si>
  <si>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16.3.2.2.35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</si>
  <si>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16.3.2.2.37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</si>
  <si>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16.3.2.2.38</t>
    </r>
    <r>
      <rPr>
        <sz val="11"/>
        <color theme="1"/>
        <rFont val="Calibri"/>
        <family val="2"/>
        <scheme val="minor"/>
      </rPr>
      <t/>
    </r>
  </si>
  <si>
    <t>63988 - FORNECIMENTO E INSTALAÇÃO DE ELETROCALHA PERFURADA 400 X 50 X 3000 MM  (UN)</t>
  </si>
  <si>
    <t>6913 - FLANGE DE LIGAÇÃO PARA ELETROCALHA METÁLICA 75 X 50MM</t>
  </si>
  <si>
    <t>762 - FORNECIMENTO E INSTALAÇÃO DE ELETROCALHA PERFURADA 100 X 50 X 3000 MM  (UN)</t>
  </si>
  <si>
    <t>763 - FORNECIMENTO E INSTALAÇÃO DE ELETROCALHA PERFURADA 200 X 100 X 3000 MM  (UN)</t>
  </si>
  <si>
    <t xml:space="preserve">UNID EVAPORADORA VRV TIPO CASSETE 4,0HP </t>
  </si>
  <si>
    <t xml:space="preserve">UNID EVAPORADORA VRV TIPO TETO 2,5HP 
</t>
  </si>
  <si>
    <t xml:space="preserve">UNID EVAPORADORA VRV TIPO PAREDE 1,0HP 
</t>
  </si>
  <si>
    <t>REVESTIMENTO CERÂMICO 29,5X29,5CM COM EFEITO 3D COM COLA PAREDES SOBRE EMBOCO (CONFORME ESPECIFICAÇÃO DE PROJETO)</t>
  </si>
  <si>
    <t>TUBO/DUTO ALUMINIO 100X5000</t>
  </si>
  <si>
    <r>
      <rPr>
        <sz val="11"/>
        <rFont val="Times New Roman"/>
        <family val="1"/>
      </rPr>
      <t>16.1.1.5.4</t>
    </r>
    <r>
      <rPr>
        <sz val="11"/>
        <color theme="1"/>
        <rFont val="Calibri"/>
        <family val="2"/>
        <scheme val="minor"/>
      </rPr>
      <t/>
    </r>
  </si>
  <si>
    <t>CAIXA D'AGUA DE POLIETILENO ALTA DENSIDADE, 3.000 LITROS</t>
  </si>
  <si>
    <t>Caixa d'agua de polietileno alta densidade, 3.000 litros</t>
  </si>
  <si>
    <t>91338/1</t>
  </si>
  <si>
    <t>PORTA DE ALUMÍNIO ANODIZADO DE ABRIR DE 1,60X2,10M COM DUAS FOLHAS NA COR BRANCA, COM GUARNIÇÃO E VIDRO TRANSPARENTE, FIXAÇÃO COM PARAFUSOS - FORNECIMENTO E INSTALAÇÃO. (C03) (UN)</t>
  </si>
  <si>
    <t>90844_1</t>
  </si>
  <si>
    <t>90844_2</t>
  </si>
  <si>
    <t>90844_1 - PORTA DE ABRIR, DUAS FOLHAS E DIMENSÃO 1,72X2,12M. COM PUXADOR ANTIPÂNICO ROSETA INOX, ASSENTADA EM ALVENARIA.(C05) (UN)</t>
  </si>
  <si>
    <t>90844_2 - PORTA DE ABRIR, DUAS FOLHAS E DIMENSÃO 1,80X2,60M. COM PUXADOR ANTI-PÂNICO ROSETA INOX, ASSENTADA EM ALVENARIA.(C06) (UN)</t>
  </si>
  <si>
    <t>90844_3</t>
  </si>
  <si>
    <t>90844_3 - PORTA DE ABRIR, DUAS FOLHAS E DIMENSÃO 1,50X2,10M. COM PUXADOR ANTI-PÂNICO ROSETA INOX, ASSENTADA EM ALVENARIA.(C08) (UN)</t>
  </si>
  <si>
    <t>85010_1</t>
  </si>
  <si>
    <t>85010_1 - CORTINA DE VIDRO COM BASCULANTE E VEDAÇÃO COM VIDRO FUMÊ (REF.JC4, JC5, JC15, JC16, JC14) (M2)</t>
  </si>
  <si>
    <t>REVESTIMENTO CERÂMICO PARA PISO COM PLACAS TIPO PORCELANATO DE DIMENSÕES 60X60 CM POLIDO</t>
  </si>
  <si>
    <t>REVESTIMENTO CERÂMICO PARA PISO COM PLACAS TIPO PORCELANATO DE DIMENSÕES 60X60 CM NATURAL</t>
  </si>
  <si>
    <t xml:space="preserve"> Rejunte colorido flexivel para revestimentos cerâmicos</t>
  </si>
  <si>
    <t>Cerâmica 60 x 60 cm, porcelanato, natural, retificado, Portobello, linha pietra di firenze, grigio ou similar</t>
  </si>
  <si>
    <t>2,09</t>
  </si>
  <si>
    <t>10,00</t>
  </si>
  <si>
    <t>16,77</t>
  </si>
  <si>
    <t>24,27</t>
  </si>
  <si>
    <t>19,75</t>
  </si>
  <si>
    <t>8,70</t>
  </si>
  <si>
    <t>7,85</t>
  </si>
  <si>
    <t>4,51</t>
  </si>
  <si>
    <t>Letras aço escovado 50 x 50cm</t>
  </si>
  <si>
    <t>Letras aço inox escovado/polido 10 x 10cm</t>
  </si>
  <si>
    <t>PLACA DE INAUGURAÇÃO DE OBRA EM ALUMÍNIO 0,60 X 0,80 M</t>
  </si>
  <si>
    <t>Argamassa cimento e areia traço t-1 (1:3) - 1 saco cimento 50kg / 3 padiolas areia dim. 0.35 x 0.45 x 0.23 m - Confecção mecânica e transporte</t>
  </si>
  <si>
    <t>Placa de inauguração em alumínio fundido medindo 0,60 x 0,80m</t>
  </si>
  <si>
    <r>
      <rPr>
        <sz val="11"/>
        <rFont val="Times New Roman"/>
        <family val="1"/>
      </rPr>
      <t>20.3.4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</si>
  <si>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20.3.5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</si>
  <si>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20.3.6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</si>
  <si>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20.3.7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</si>
  <si>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20.3.8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</si>
  <si>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20.3.9</t>
    </r>
    <r>
      <rPr>
        <sz val="11"/>
        <color theme="1"/>
        <rFont val="Calibri"/>
        <family val="2"/>
        <scheme val="minor"/>
      </rPr>
      <t/>
    </r>
  </si>
  <si>
    <t>PLANTIO DE GRAMA EM PLACAS</t>
  </si>
  <si>
    <t>COMPOSIÇÃO DE CUSTOS</t>
  </si>
  <si>
    <t>CÂMERA IP, 2MP, POE - INSTALADA</t>
  </si>
  <si>
    <t>COMP-7 - CÂMERA IP, 2MP, POE - INSTALADA</t>
  </si>
  <si>
    <t xml:space="preserve">DISJUNTOR TERMOMAGNÉTICO TRIPOLAR 125 A </t>
  </si>
  <si>
    <t>BARRAMENTO DE COBRE 2''X1.1/4''</t>
  </si>
  <si>
    <t xml:space="preserve">SWITCH TIPO 1 - CISCO CATALYST C9200L-48P-4X-E OU SIMILAR EQUIVALENTE </t>
  </si>
  <si>
    <t>Estrado ( tapete ) de borracha isolante 15 kv - dimensões 1.000x1.000x25mm</t>
  </si>
  <si>
    <t>70473 - TUBO/DUTO ALUMINIO 100X5000 (M)</t>
  </si>
  <si>
    <r>
      <rPr>
        <sz val="11"/>
        <rFont val="Times New Roman"/>
        <family val="1"/>
      </rPr>
      <t>9.3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</si>
  <si>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9.4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</si>
  <si>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9.5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</si>
  <si>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8.1.8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</si>
  <si>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2.1.10</t>
    </r>
    <r>
      <rPr>
        <sz val="11"/>
        <color theme="1"/>
        <rFont val="Calibri"/>
        <family val="2"/>
        <scheme val="minor"/>
      </rPr>
      <t/>
    </r>
  </si>
  <si>
    <t>74125/2</t>
  </si>
  <si>
    <t xml:space="preserve"> PLACA INDICATIVA EM ACRÍLICO E=2MM, EM BRAILLE, COM ESFERAS EM INOX E TEXTO EM ALTO RÊLEVO, DIM.: 8 X 28 CM, FORNECIMENTO E INSTAÇÃO</t>
  </si>
  <si>
    <t xml:space="preserve"> Placa indicativa em acrílico e=2mm, em braille, com esferas em inox e texto em alto rêlevo, dim.: 8 x 28 cm, fornecimento e instação</t>
  </si>
  <si>
    <r>
      <rPr>
        <sz val="11"/>
        <rFont val="Times New Roman"/>
        <family val="1"/>
      </rPr>
      <t>20.3.10</t>
    </r>
    <r>
      <rPr>
        <sz val="11"/>
        <color theme="1"/>
        <rFont val="Calibri"/>
        <family val="2"/>
        <scheme val="minor"/>
      </rPr>
      <t/>
    </r>
  </si>
  <si>
    <t>PLACA INDICATIVA EM ACRÍLICO E=2MM, EM BRAILLE, COM ESFERAS EM INOX E TEXTO EM ALTO RÊLEVO, DIM.: 8 X 28 CM, FORNECIMENTO E INSTAÇÃO</t>
  </si>
  <si>
    <t>Caixa d'agua fibra vidro 20.000 litros - Fortlev-Torres (ou similar)</t>
  </si>
  <si>
    <r>
      <rPr>
        <sz val="11"/>
        <rFont val="Times New Roman"/>
        <family val="1"/>
      </rPr>
      <t>16.1.1.2.14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</si>
  <si>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16.1.1.2.15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</si>
  <si>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16.1.1.2.16</t>
    </r>
    <r>
      <rPr>
        <sz val="11"/>
        <color theme="1"/>
        <rFont val="Calibri"/>
        <family val="2"/>
        <scheme val="minor"/>
      </rPr>
      <t/>
    </r>
  </si>
  <si>
    <t>94570_3 - VITRINE EM ALUMÍNIO NA COR BRANCA E VIDRO TEMPERADO DE 6MM TRANSPARENTE SOBRE CONTRAMARCO. FORNECIMENTO E INSTALAÇÃO (REF.JC7) (M2)</t>
  </si>
  <si>
    <t>FORRO EM DRYWALL, PARA AMBIENTES COMERCIAIS, INCLUSIVE ESTRUTURA DE FIXAÇÃO</t>
  </si>
  <si>
    <t>DETECTOR PORTAL DE ALTA SENSIBILIDADE REF. AS360T DA MINEORO OU SIMILAR</t>
  </si>
  <si>
    <t>Detector portal de alta sensibilidade ref. as360t da mineoro ou similar</t>
  </si>
  <si>
    <r>
      <rPr>
        <sz val="11"/>
        <rFont val="Times New Roman"/>
        <family val="1"/>
      </rPr>
      <t>5.14</t>
    </r>
  </si>
  <si>
    <t>73909/001</t>
  </si>
  <si>
    <t>DIVISÓRIA ARTICULADA ACÚSTICA</t>
  </si>
  <si>
    <t>MONTAGEM E DESMONTAGEM DE FÔRMA DE VIGA, ESCORAMENTO METÁLICO, PÉ-DIREITO SIMPLES, EM CHAPA DE MADEIRA RESINADA, 2 UTILIZAÇÕES.  (INCLUSO ESCORAMENTO)</t>
  </si>
  <si>
    <t>MONTAGEM E DESMONTAGEM DE FÔRMA PARA ESCADAS, COM 2 LANCES, EM MADEIRA SERRADA, 2 UTILIZAÇÕES. ESCORAS INCLÚSAS</t>
  </si>
  <si>
    <t>PORTA DE MADEIRA FRISADA, SEMI-OCA (LEVE OU MÉDIA), PADRÃO MÉDIO, 80X210CM, ESPESSURA DE 3,5CM, ITENS INCLUSOS: DOBRADIÇAS, MONTAGEM E INSTALAÇÃO DO BATENTE, COM FECHADURA E ACABAMENTO EM MELAMINA CARVALHO- FORNECIMENTO E INSTALAÇÃO. (E01)</t>
  </si>
  <si>
    <t>PORTA DE MADEIRA FRISADA, SEMI-OCA (LEVE OU MÉDIA), PADRÃO MÉDIO, 80X210CM, ESPESSURA DE 3,5CM, ITENS INCLUSOS: DOBRADIÇAS, MONTAGEM E INSTALAÇÃO DO BATENTE, FECHADURA COM EXECUÇÃO DO FURO E ACABAMENTO MELAMÍNICO, COM CHAPA DE AÇO INOX NA BASE DA PORTA - FORNECIMENTO E INSTALAÇÃO. (E02)</t>
  </si>
  <si>
    <r>
      <rPr>
        <sz val="11"/>
        <rFont val="Times New Roman"/>
        <family val="1"/>
      </rPr>
      <t>7.3</t>
    </r>
    <r>
      <rPr>
        <sz val="11"/>
        <color theme="1"/>
        <rFont val="Calibri"/>
        <family val="2"/>
        <scheme val="minor"/>
      </rPr>
      <t/>
    </r>
  </si>
  <si>
    <t>8937_11</t>
  </si>
  <si>
    <t>FORNECIMENTO E INSTALAÇÃO DE PORTA EM MADEIRA DE ABRIR ACÚSTICA, 80X210CM, UMA FOLHA, ISOLAÇÃO 34DB, DOBRADIÇAS INOX, BATENTE 10CM E ALIZAR FIXO REGULÁVEL, ACABAMENTO MELAMÍNICO NA COR CARVALHO(E03)</t>
  </si>
  <si>
    <t>91338_24</t>
  </si>
  <si>
    <t>PORTA DE ALUMÍNIO ANODIZADO DE ABRIR DE 1.50X2.10M COM DUAS FOLHAS NA COR BRANCA, COM GUARNIÇÃO E VIDRO FUMÊ, COM BANDEIRA, FIXAÇÃO COM PARAFUSOS - FORNECIMENTO E INSTALAÇÃO. (E05)</t>
  </si>
  <si>
    <t>91338_23</t>
  </si>
  <si>
    <t>PORTA DE ALUMÍNIO ANODIZADO DE ABRIR DE 0,9X3,00M COM DUAS FOLHAS NA COR BRANCA, COM GUARNIÇÃO E VIDRO FUMÊ, COM BANDEIRA, FIXAÇÃO COM PARAFUSOS - FORNECIMENTO E INSTALAÇÃO. (E04)</t>
  </si>
  <si>
    <t>91338_20</t>
  </si>
  <si>
    <t>PORTA DE ALUMÍNIO ANODIZADO DE ABRIR DE 1,20X2,10M COM DUAS FOLHAS NA COR BRANCA, COM GUARNIÇÃO E VIDRO TRANSPARENTE, FIXAÇÃO COM PARAFUSOS - FORNECIMENTO E INSTALAÇÃO. (E06)</t>
  </si>
  <si>
    <t>91338_25</t>
  </si>
  <si>
    <t>PORTA DE ALUMÍNIO ANODIZADO DE ABRIR DE 1.80X3.00M COM DUAS FOLHAS NA COR BRANCA, COM GUARNIÇÃO E VIDRO FUMÊ, COM BANDEIRA, FIXAÇÃO COM PARAFUSOS - FORNECIMENTO E INSTALAÇÃO. (E07)</t>
  </si>
  <si>
    <t>85010_3</t>
  </si>
  <si>
    <t>JANELA EM ALUMÍNIO ANODIZADO COM VEDAÇÃO EM VIDRO TRANSPARENTE (REF.JE1, JE2, JE3, JE4, JE7, JE8, JE9, JE11, JE12, JE13, JE14, JE15)</t>
  </si>
  <si>
    <r>
      <rPr>
        <sz val="11"/>
        <rFont val="Times New Roman"/>
        <family val="1"/>
      </rPr>
      <t>8.2.2</t>
    </r>
  </si>
  <si>
    <t>112900_5</t>
  </si>
  <si>
    <t>JANELA EM VIDRO DUPLO ACÚSTICO TRANSPARENTE (REF. JE10)</t>
  </si>
  <si>
    <t>CORTINA DE VIDRO COM BASCULANTE E VEDAÇÃO COM VIDRO FUMÊ.</t>
  </si>
  <si>
    <t>C3652</t>
  </si>
  <si>
    <t>RUFO/ALGEIROZ EM CONCRETO PRÉ-MOLDADO L=30CM</t>
  </si>
  <si>
    <t>FORRO ACÚSTICO DE FIBRA MINERAL - INSTALADO</t>
  </si>
  <si>
    <t xml:space="preserve">MASSA ÚNICA, PARA RECEBIMENTO DE PINTURA, EM ARGAMASSA INDUSTRIALIZADA, PREPARO MECÂNICO, APLICADO COM EQUIPAMENTO DE MISTURA E PROJEÇÃO DE 1,5 M3/H DE ARGAMASSA EM FACES INTERNAS DE PAREDES, ESPESSURA DE 10MM, COM EXECUÇÃO DE TALISCAS. </t>
  </si>
  <si>
    <t xml:space="preserve">REVESTIMENTO CERÂMICO PARA PAREDES INTERNAS COM PLACAS TIPO ESMALTADA EXTRA DE DIMENSÕES 30X60 CM APLICADAS EM AMBIENTES DE ÁREA MAIOR QUE 5 M² NA ALTURA INTEIRA DAS PAREDES. </t>
  </si>
  <si>
    <t xml:space="preserve">REVESTIMENTO CERÂMICO PARA PAREDES INTERNAS COM PLACAS TIPO GRÊS OU SEMI-GRÊS GRIS-ARMANI-30X60 CM APLICADAS EM AMBIENTES DE ÁREA MAIOR QUE 10 M² NA ALTURA INTEIRA DAS PAREDES. </t>
  </si>
  <si>
    <t>REVESTIMENTO COM PLACA MDF 6MM REVESTIDO COM LAMINADO MELAMINICO E FITA DE BORDO. TAN BRANCO REAL</t>
  </si>
  <si>
    <t>PISO GRANITO ASSENTADO SOBRE ARGAMASSA CIMENTO / CAL / AREIA TRACO 1:0,25:3 INCLUSIVE REJUNTE EM CIMENTO</t>
  </si>
  <si>
    <r>
      <rPr>
        <sz val="11"/>
        <rFont val="Times New Roman"/>
        <family val="1"/>
      </rPr>
      <t>16.1.1.2.17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</si>
  <si>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16.1.1.2.18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</si>
  <si>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16.1.1.5.5</t>
    </r>
    <r>
      <rPr>
        <sz val="11"/>
        <color theme="1"/>
        <rFont val="Calibri"/>
        <family val="2"/>
        <scheme val="minor"/>
      </rPr>
      <t/>
    </r>
  </si>
  <si>
    <t>CAIXA D'AGUA DE POLIETILENO ALTA DENSIDADE, 3.000 LITROS - INSTALADA</t>
  </si>
  <si>
    <r>
      <rPr>
        <sz val="11"/>
        <rFont val="Times New Roman"/>
        <family val="1"/>
      </rPr>
      <t>16.2.1.2.4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</si>
  <si>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</si>
  <si>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</si>
  <si>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</si>
  <si>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</si>
  <si>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</si>
  <si>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</si>
  <si>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</si>
  <si>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</si>
  <si>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</si>
  <si>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</si>
  <si>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</si>
  <si>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</si>
  <si>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</si>
  <si>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16.2.1.2.18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</si>
  <si>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</si>
  <si>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16.3.1.1.11</t>
    </r>
    <r>
      <rPr>
        <sz val="11"/>
        <color theme="1"/>
        <rFont val="Calibri"/>
        <family val="2"/>
        <scheme val="minor"/>
      </rPr>
      <t/>
    </r>
  </si>
  <si>
    <t xml:space="preserve">CURVA 90 GRAUS PARA ELETRODUTO, PVC, ROSCÁVEL, (2.1/2"), PARA CIRCUITOS TERMINAIS, INSTALADA EM PAREDE - FORNECIMENTO E INSTALAÇÃO. </t>
  </si>
  <si>
    <r>
      <rPr>
        <sz val="11"/>
        <rFont val="Times New Roman"/>
        <family val="1"/>
      </rPr>
      <t>16.3.1.1.12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</si>
  <si>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</si>
  <si>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</si>
  <si>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</si>
  <si>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</si>
  <si>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</si>
  <si>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16.3.1.1.18</t>
    </r>
    <r>
      <rPr>
        <sz val="11"/>
        <color theme="1"/>
        <rFont val="Calibri"/>
        <family val="2"/>
        <scheme val="minor"/>
      </rPr>
      <t/>
    </r>
  </si>
  <si>
    <t>FORNECIMENTO E INSTALAÇÃO DE ELETROCALHA PERFURADA 400 X 50 X 3000 MM  (UN)</t>
  </si>
  <si>
    <r>
      <rPr>
        <sz val="11"/>
        <rFont val="Times New Roman"/>
        <family val="1"/>
      </rPr>
      <t>16.3.1.1.19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</si>
  <si>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16.3.1.1.20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</si>
  <si>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16.3.1.1.21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</si>
  <si>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16.3.1.1.22</t>
    </r>
    <r>
      <rPr>
        <sz val="11"/>
        <color theme="1"/>
        <rFont val="Calibri"/>
        <family val="2"/>
        <scheme val="minor"/>
      </rPr>
      <t/>
    </r>
  </si>
  <si>
    <t>C0630</t>
  </si>
  <si>
    <t>CAIXA DE PASSAGEM COM TAMPA PARAFUSADA 600X600X150MM</t>
  </si>
  <si>
    <t>FORNECIMENTO E MONTAGEM DE RACK FECHADO TIPO ARMÁRIO 19" X 36U X 870 MM</t>
  </si>
  <si>
    <t>16.3.2.1.4</t>
  </si>
  <si>
    <r>
      <rPr>
        <sz val="11"/>
        <rFont val="Times New Roman"/>
        <family val="1"/>
      </rPr>
      <t>16.3.2.1.16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</si>
  <si>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16.3.2.1.17</t>
    </r>
    <r>
      <rPr>
        <sz val="11"/>
        <color theme="1"/>
        <rFont val="Calibri"/>
        <family val="2"/>
        <scheme val="minor"/>
      </rPr>
      <t/>
    </r>
  </si>
  <si>
    <t>C0628</t>
  </si>
  <si>
    <t>CAIXA DE PASSAGEM COM TAMPA PARAFUSADA 200X200X100MM</t>
  </si>
  <si>
    <t>CATV</t>
  </si>
  <si>
    <t>ANTENAS E EQUIPAMENTOS</t>
  </si>
  <si>
    <t>16.3.3.1.1</t>
  </si>
  <si>
    <t>ELETRODUTOS E ACESSÓRIOS</t>
  </si>
  <si>
    <t>CABO HDMI 4K ULTRA HD (M)</t>
  </si>
  <si>
    <t>FIO FLEXÍVEL 2 X 0,2MM2 PARA MICROFONE/AUDIO</t>
  </si>
  <si>
    <t xml:space="preserve">CAIXA RETANGULAR 4" X 4" BAIXA (0,30 M DO PISO), METÁLICA, INSTALADA EM PAREDE - FORNECIMENTO E INSTALAÇÃO. </t>
  </si>
  <si>
    <r>
      <rPr>
        <sz val="11"/>
        <rFont val="Times New Roman"/>
        <family val="1"/>
      </rPr>
      <t>16.3.3.4.2</t>
    </r>
  </si>
  <si>
    <r>
      <rPr>
        <sz val="11"/>
        <rFont val="Times New Roman"/>
        <family val="1"/>
      </rPr>
      <t>16.3.4.1.2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</si>
  <si>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16.3.4.1.3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</si>
  <si>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16.3.4.1.4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</si>
  <si>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16.3.4.1.5</t>
    </r>
    <r>
      <rPr>
        <sz val="11"/>
        <color theme="1"/>
        <rFont val="Calibri"/>
        <family val="2"/>
        <scheme val="minor"/>
      </rPr>
      <t/>
    </r>
  </si>
  <si>
    <r>
      <rPr>
        <b/>
        <sz val="11"/>
        <rFont val="Times New Roman"/>
        <family val="1"/>
      </rPr>
      <t>16.3.4.2</t>
    </r>
  </si>
  <si>
    <r>
      <rPr>
        <sz val="11"/>
        <rFont val="Times New Roman"/>
        <family val="1"/>
      </rPr>
      <t>16.3.4.2.1</t>
    </r>
  </si>
  <si>
    <r>
      <rPr>
        <sz val="11"/>
        <rFont val="Times New Roman"/>
        <family val="1"/>
      </rPr>
      <t>16.3.4.2.2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</si>
  <si>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16.3.4.2.3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</si>
  <si>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16.3.4.2.4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</si>
  <si>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16.3.4.2.5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</si>
  <si>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16.3.4.2.6</t>
    </r>
    <r>
      <rPr>
        <sz val="11"/>
        <color theme="1"/>
        <rFont val="Calibri"/>
        <family val="2"/>
        <scheme val="minor"/>
      </rPr>
      <t/>
    </r>
  </si>
  <si>
    <r>
      <rPr>
        <b/>
        <sz val="11"/>
        <rFont val="Times New Roman"/>
        <family val="1"/>
      </rPr>
      <t>16.3.4.3</t>
    </r>
  </si>
  <si>
    <r>
      <rPr>
        <sz val="11"/>
        <rFont val="Times New Roman"/>
        <family val="1"/>
      </rPr>
      <t>16.3.4.3.1</t>
    </r>
  </si>
  <si>
    <r>
      <rPr>
        <sz val="11"/>
        <rFont val="Times New Roman"/>
        <family val="1"/>
      </rPr>
      <t>16.3.4.3.2</t>
    </r>
  </si>
  <si>
    <r>
      <rPr>
        <sz val="11"/>
        <rFont val="Times New Roman"/>
        <family val="1"/>
      </rPr>
      <t>16.3.4.3.3</t>
    </r>
  </si>
  <si>
    <r>
      <rPr>
        <sz val="11"/>
        <rFont val="Times New Roman"/>
        <family val="1"/>
      </rPr>
      <t>16.3.4.3.4</t>
    </r>
  </si>
  <si>
    <r>
      <rPr>
        <sz val="11"/>
        <rFont val="Times New Roman"/>
        <family val="1"/>
      </rPr>
      <t>16.3.4.3.5</t>
    </r>
  </si>
  <si>
    <r>
      <rPr>
        <sz val="11"/>
        <rFont val="Times New Roman"/>
        <family val="1"/>
      </rPr>
      <t>16.3.4.3.6</t>
    </r>
  </si>
  <si>
    <r>
      <rPr>
        <sz val="11"/>
        <rFont val="Times New Roman"/>
        <family val="1"/>
      </rPr>
      <t>16.3.4.3.7</t>
    </r>
  </si>
  <si>
    <r>
      <rPr>
        <sz val="11"/>
        <rFont val="Times New Roman"/>
        <family val="1"/>
      </rPr>
      <t>16.3.4.3.8</t>
    </r>
  </si>
  <si>
    <r>
      <rPr>
        <sz val="11"/>
        <rFont val="Times New Roman"/>
        <family val="1"/>
      </rPr>
      <t>16.3.4.3.9</t>
    </r>
  </si>
  <si>
    <r>
      <rPr>
        <sz val="11"/>
        <rFont val="Times New Roman"/>
        <family val="1"/>
      </rPr>
      <t>16.3.4.3.10</t>
    </r>
  </si>
  <si>
    <r>
      <rPr>
        <sz val="11"/>
        <rFont val="Times New Roman"/>
        <family val="1"/>
      </rPr>
      <t>16.3.4.3.11</t>
    </r>
  </si>
  <si>
    <r>
      <rPr>
        <sz val="11"/>
        <rFont val="Times New Roman"/>
        <family val="1"/>
      </rPr>
      <t>16.3.4.3.12</t>
    </r>
  </si>
  <si>
    <r>
      <rPr>
        <sz val="11"/>
        <rFont val="Times New Roman"/>
        <family val="1"/>
      </rPr>
      <t>16.3.4.3.13</t>
    </r>
  </si>
  <si>
    <r>
      <rPr>
        <sz val="11"/>
        <rFont val="Times New Roman"/>
        <family val="1"/>
      </rPr>
      <t>16.3.4.3.14</t>
    </r>
  </si>
  <si>
    <r>
      <rPr>
        <b/>
        <sz val="11"/>
        <rFont val="Times New Roman"/>
        <family val="1"/>
      </rPr>
      <t>16.3.4.4</t>
    </r>
  </si>
  <si>
    <r>
      <rPr>
        <sz val="11"/>
        <rFont val="Times New Roman"/>
        <family val="1"/>
      </rPr>
      <t>16.3.4.4.1</t>
    </r>
  </si>
  <si>
    <r>
      <rPr>
        <b/>
        <sz val="11"/>
        <rFont val="Times New Roman"/>
        <family val="1"/>
      </rPr>
      <t>16.3.4.5</t>
    </r>
  </si>
  <si>
    <r>
      <rPr>
        <sz val="11"/>
        <rFont val="Times New Roman"/>
        <family val="1"/>
      </rPr>
      <t>16.3.4.5.1</t>
    </r>
  </si>
  <si>
    <r>
      <rPr>
        <sz val="11"/>
        <rFont val="Times New Roman"/>
        <family val="1"/>
      </rPr>
      <t>16.3.4.5.2</t>
    </r>
  </si>
  <si>
    <t>16.3.5.1</t>
  </si>
  <si>
    <t>16.3.5.2</t>
  </si>
  <si>
    <r>
      <rPr>
        <sz val="11"/>
        <rFont val="Times New Roman"/>
        <family val="1"/>
      </rPr>
      <t>16.3.6.1.2</t>
    </r>
  </si>
  <si>
    <r>
      <rPr>
        <sz val="11"/>
        <rFont val="Times New Roman"/>
        <family val="1"/>
      </rPr>
      <t>16.3.6.1.3</t>
    </r>
  </si>
  <si>
    <r>
      <rPr>
        <sz val="11"/>
        <rFont val="Times New Roman"/>
        <family val="1"/>
      </rPr>
      <t>16.3.6.1.4</t>
    </r>
  </si>
  <si>
    <r>
      <rPr>
        <sz val="11"/>
        <rFont val="Times New Roman"/>
        <family val="1"/>
      </rPr>
      <t>16.3.6.1.5</t>
    </r>
  </si>
  <si>
    <r>
      <rPr>
        <sz val="11"/>
        <rFont val="Times New Roman"/>
        <family val="1"/>
      </rPr>
      <t>16.3.6.1.6</t>
    </r>
  </si>
  <si>
    <r>
      <rPr>
        <sz val="11"/>
        <rFont val="Times New Roman"/>
        <family val="1"/>
      </rPr>
      <t>16.3.6.1.7</t>
    </r>
  </si>
  <si>
    <r>
      <rPr>
        <sz val="11"/>
        <rFont val="Times New Roman"/>
        <family val="1"/>
      </rPr>
      <t>16.3.6.1.8</t>
    </r>
  </si>
  <si>
    <r>
      <rPr>
        <sz val="11"/>
        <rFont val="Times New Roman"/>
        <family val="1"/>
      </rPr>
      <t>16.3.6.1.9</t>
    </r>
  </si>
  <si>
    <r>
      <rPr>
        <sz val="11"/>
        <rFont val="Times New Roman"/>
        <family val="1"/>
      </rPr>
      <t>16.3.6.1.10</t>
    </r>
  </si>
  <si>
    <r>
      <rPr>
        <sz val="11"/>
        <rFont val="Times New Roman"/>
        <family val="1"/>
      </rPr>
      <t>16.3.6.1.11</t>
    </r>
  </si>
  <si>
    <t xml:space="preserve">CURVA HORIZONTAL 50 X 50 MM PARA ELETROCALHA METÁLICA, COM ÂNGULO 90° </t>
  </si>
  <si>
    <r>
      <rPr>
        <sz val="11"/>
        <rFont val="Times New Roman"/>
        <family val="1"/>
      </rPr>
      <t>16.3.6.1.12</t>
    </r>
  </si>
  <si>
    <r>
      <rPr>
        <sz val="11"/>
        <rFont val="Times New Roman"/>
        <family val="1"/>
      </rPr>
      <t>16.3.6.1.13</t>
    </r>
  </si>
  <si>
    <r>
      <rPr>
        <sz val="11"/>
        <rFont val="Times New Roman"/>
        <family val="1"/>
      </rPr>
      <t>16.3.6.1.14</t>
    </r>
  </si>
  <si>
    <r>
      <rPr>
        <sz val="11"/>
        <rFont val="Times New Roman"/>
        <family val="1"/>
      </rPr>
      <t>16.3.6.1.15</t>
    </r>
  </si>
  <si>
    <r>
      <rPr>
        <sz val="11"/>
        <rFont val="Times New Roman"/>
        <family val="1"/>
      </rPr>
      <t>16.3.6.1.16</t>
    </r>
  </si>
  <si>
    <r>
      <rPr>
        <sz val="11"/>
        <rFont val="Times New Roman"/>
        <family val="1"/>
      </rPr>
      <t>16.3.6.1.17</t>
    </r>
  </si>
  <si>
    <r>
      <rPr>
        <sz val="11"/>
        <rFont val="Times New Roman"/>
        <family val="1"/>
      </rPr>
      <t>16.3.6.1.18</t>
    </r>
  </si>
  <si>
    <r>
      <rPr>
        <sz val="11"/>
        <rFont val="Times New Roman"/>
        <family val="1"/>
      </rPr>
      <t>16.3.6.1.19</t>
    </r>
  </si>
  <si>
    <r>
      <rPr>
        <sz val="11"/>
        <rFont val="Times New Roman"/>
        <family val="1"/>
      </rPr>
      <t>16.3.6.1.20</t>
    </r>
  </si>
  <si>
    <r>
      <rPr>
        <sz val="11"/>
        <rFont val="Times New Roman"/>
        <family val="1"/>
      </rPr>
      <t>16.3.6.3.2</t>
    </r>
  </si>
  <si>
    <r>
      <rPr>
        <sz val="11"/>
        <rFont val="Times New Roman"/>
        <family val="1"/>
      </rPr>
      <t>16.3.6.3.3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</si>
  <si>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16.3.6.3.4</t>
    </r>
    <r>
      <rPr>
        <sz val="11"/>
        <color theme="1"/>
        <rFont val="Calibri"/>
        <family val="2"/>
        <scheme val="minor"/>
      </rPr>
      <t/>
    </r>
  </si>
  <si>
    <t xml:space="preserve">CABO DE COBRE FLEXÍVEL ISOLADO, 4,0 MM², ANTI-CHAMA 450/750 V, PARA CIRCUITOS TERMINAIS - FORNECIMENTO E INSTALAÇÃO. </t>
  </si>
  <si>
    <r>
      <rPr>
        <sz val="11"/>
        <rFont val="Times New Roman"/>
        <family val="1"/>
      </rPr>
      <t>16.3.6.5.3</t>
    </r>
  </si>
  <si>
    <t>FORNECIMENTO E INSTALAÇÃO DE KIT GERADOR FOTOVOLTAICO 31,20KWP, INCLUINDO MÓDULOS, INVERSOR, CABOS, FIXAÇÃO E PROTEÇÃO</t>
  </si>
  <si>
    <r>
      <rPr>
        <sz val="11"/>
        <rFont val="Times New Roman"/>
        <family val="1"/>
      </rPr>
      <t>16.3.8.2.8</t>
    </r>
  </si>
  <si>
    <r>
      <rPr>
        <sz val="11"/>
        <rFont val="Times New Roman"/>
        <family val="1"/>
      </rPr>
      <t>16.3.8.2.9</t>
    </r>
  </si>
  <si>
    <r>
      <rPr>
        <sz val="11"/>
        <rFont val="Times New Roman"/>
        <family val="1"/>
      </rPr>
      <t>16.3.8.2.10</t>
    </r>
  </si>
  <si>
    <r>
      <rPr>
        <sz val="11"/>
        <rFont val="Times New Roman"/>
        <family val="1"/>
      </rPr>
      <t>16.3.8.2.11</t>
    </r>
  </si>
  <si>
    <t>FORNECIMENTO E INSTALAÇÃO DE ELETROCALHA PERFURADA 100 X 50 X 3000 MM  COM TAMPA</t>
  </si>
  <si>
    <r>
      <rPr>
        <sz val="11"/>
        <rFont val="Times New Roman"/>
        <family val="1"/>
      </rPr>
      <t>16.3.8.2.12</t>
    </r>
  </si>
  <si>
    <r>
      <rPr>
        <sz val="11"/>
        <rFont val="Times New Roman"/>
        <family val="1"/>
      </rPr>
      <t>16.3.8.2.13</t>
    </r>
  </si>
  <si>
    <r>
      <rPr>
        <sz val="11"/>
        <rFont val="Times New Roman"/>
        <family val="1"/>
      </rPr>
      <t>16.3.8.2.14</t>
    </r>
  </si>
  <si>
    <r>
      <rPr>
        <sz val="11"/>
        <rFont val="Times New Roman"/>
        <family val="1"/>
      </rPr>
      <t>16.3.8.2.15</t>
    </r>
  </si>
  <si>
    <r>
      <rPr>
        <sz val="11"/>
        <rFont val="Times New Roman"/>
        <family val="1"/>
      </rPr>
      <t>16.3.8.2.16</t>
    </r>
  </si>
  <si>
    <r>
      <rPr>
        <sz val="11"/>
        <rFont val="Times New Roman"/>
        <family val="1"/>
      </rPr>
      <t>16.3.8.2.17</t>
    </r>
  </si>
  <si>
    <t xml:space="preserve">SUPORTE HORIZONTAL 100 X 50 MM PARA FIXAÇÃO DE ELETROCALHA METÁLICA </t>
  </si>
  <si>
    <t>1JQDFL - TÉRREO</t>
  </si>
  <si>
    <t>QUADRO DE DISTRIBUIÇÃO DE ENERGIA EM CHAPA DE AÇO GALVANIZADO, DE EMBUTIR, COM BARRAMENTO TRIFÁSICO, PARA 24 DISJUNTORES DIN 100A - FORNECIMENTO E INSTALAÇÃO</t>
  </si>
  <si>
    <t>DISJUNTOR BIPOLAR DR 25 A - DISPOSITIVO RESIDUAL DIFERENCIAL, TIPO AC, 30MA</t>
  </si>
  <si>
    <r>
      <rPr>
        <sz val="11"/>
        <rFont val="Times New Roman"/>
        <family val="1"/>
      </rPr>
      <t>16.3.9.1.11</t>
    </r>
  </si>
  <si>
    <t>2JQDFL - PAV 1</t>
  </si>
  <si>
    <r>
      <rPr>
        <sz val="11"/>
        <rFont val="Times New Roman"/>
        <family val="1"/>
      </rPr>
      <t>16.3.9.2.3</t>
    </r>
  </si>
  <si>
    <r>
      <rPr>
        <sz val="11"/>
        <rFont val="Times New Roman"/>
        <family val="1"/>
      </rPr>
      <t>16.3.9.2.4</t>
    </r>
  </si>
  <si>
    <r>
      <rPr>
        <sz val="11"/>
        <rFont val="Times New Roman"/>
        <family val="1"/>
      </rPr>
      <t>16.3.9.2.5</t>
    </r>
  </si>
  <si>
    <r>
      <rPr>
        <sz val="11"/>
        <rFont val="Times New Roman"/>
        <family val="1"/>
      </rPr>
      <t>16.3.9.2.11</t>
    </r>
  </si>
  <si>
    <t>3JQDFE - TÉRREO</t>
  </si>
  <si>
    <t>DISJUNTOR MONOPOLAR TIPO DIN, CORRENTE NOMINAL DE 20A - FORNECIMENTO E INSTALAÇÃO</t>
  </si>
  <si>
    <t>DISJUNTOR TERMOMAGNÉTICO TRIPOLAR 80 A</t>
  </si>
  <si>
    <r>
      <rPr>
        <sz val="11"/>
        <rFont val="Times New Roman"/>
        <family val="1"/>
      </rPr>
      <t>16.3.9.3.11</t>
    </r>
  </si>
  <si>
    <t>4JQDFE - PAV. 1</t>
  </si>
  <si>
    <t xml:space="preserve">DISJUNTOR MONOPOLAR TIPO DIN, CORRENTE NOMINAL DE 20A - FORNECIMENTO E INSTALAÇÃO. </t>
  </si>
  <si>
    <r>
      <rPr>
        <b/>
        <sz val="11"/>
        <rFont val="Times New Roman"/>
        <family val="1"/>
      </rPr>
      <t>16.3.9.5</t>
    </r>
  </si>
  <si>
    <t>5JQDCLIM - COBERTURA</t>
  </si>
  <si>
    <r>
      <rPr>
        <sz val="11"/>
        <rFont val="Times New Roman"/>
        <family val="1"/>
      </rPr>
      <t>16.3.9.5.2</t>
    </r>
  </si>
  <si>
    <r>
      <rPr>
        <sz val="11"/>
        <rFont val="Times New Roman"/>
        <family val="1"/>
      </rPr>
      <t>16.3.9.5.3</t>
    </r>
  </si>
  <si>
    <r>
      <rPr>
        <sz val="11"/>
        <rFont val="Times New Roman"/>
        <family val="1"/>
      </rPr>
      <t>16.3.9.5.4</t>
    </r>
  </si>
  <si>
    <r>
      <rPr>
        <sz val="11"/>
        <rFont val="Times New Roman"/>
        <family val="1"/>
      </rPr>
      <t>16.3.9.5.5</t>
    </r>
  </si>
  <si>
    <t>DISJUNTOR TERMOMAGNETICO TRIPOLAR 80 A</t>
  </si>
  <si>
    <r>
      <rPr>
        <sz val="11"/>
        <rFont val="Times New Roman"/>
        <family val="1"/>
      </rPr>
      <t>16.3.9.5.6</t>
    </r>
  </si>
  <si>
    <t xml:space="preserve">DISJUNTOR TERMOMAGNETICO TRIPOLAR EM CAIXA MOLDADA 175 A </t>
  </si>
  <si>
    <r>
      <rPr>
        <sz val="11"/>
        <rFont val="Times New Roman"/>
        <family val="1"/>
      </rPr>
      <t>16.3.9.5.14</t>
    </r>
  </si>
  <si>
    <r>
      <rPr>
        <b/>
        <sz val="11"/>
        <rFont val="Times New Roman"/>
        <family val="1"/>
      </rPr>
      <t>16.3.9.6</t>
    </r>
  </si>
  <si>
    <t>6JQDCLIM - COBERTURA</t>
  </si>
  <si>
    <r>
      <rPr>
        <sz val="11"/>
        <rFont val="Times New Roman"/>
        <family val="1"/>
      </rPr>
      <t>16.3.9.6.2</t>
    </r>
  </si>
  <si>
    <r>
      <rPr>
        <sz val="11"/>
        <rFont val="Times New Roman"/>
        <family val="1"/>
      </rPr>
      <t>16.3.9.6.3</t>
    </r>
  </si>
  <si>
    <r>
      <rPr>
        <sz val="11"/>
        <rFont val="Times New Roman"/>
        <family val="1"/>
      </rPr>
      <t>16.3.9.6.5</t>
    </r>
  </si>
  <si>
    <t>DISJUNTOR TERMOMAGNÉTICO TRIPOLAR 150 A</t>
  </si>
  <si>
    <r>
      <rPr>
        <sz val="11"/>
        <rFont val="Times New Roman"/>
        <family val="1"/>
      </rPr>
      <t>16.3.9.6.11</t>
    </r>
  </si>
  <si>
    <r>
      <rPr>
        <sz val="11"/>
        <rFont val="Times New Roman"/>
        <family val="1"/>
      </rPr>
      <t>16.3.9.6.12</t>
    </r>
  </si>
  <si>
    <r>
      <rPr>
        <b/>
        <sz val="11"/>
        <rFont val="Times New Roman"/>
        <family val="1"/>
      </rPr>
      <t>16.3.9.7</t>
    </r>
  </si>
  <si>
    <t>7JQDELEV - COBERTA</t>
  </si>
  <si>
    <r>
      <rPr>
        <sz val="11"/>
        <rFont val="Times New Roman"/>
        <family val="1"/>
      </rPr>
      <t>16.3.9.7.2</t>
    </r>
  </si>
  <si>
    <r>
      <rPr>
        <sz val="11"/>
        <rFont val="Times New Roman"/>
        <family val="1"/>
      </rPr>
      <t>16.3.9.7.3</t>
    </r>
  </si>
  <si>
    <r>
      <rPr>
        <sz val="11"/>
        <rFont val="Times New Roman"/>
        <family val="1"/>
      </rPr>
      <t>16.3.9.7.4</t>
    </r>
  </si>
  <si>
    <r>
      <rPr>
        <sz val="11"/>
        <rFont val="Times New Roman"/>
        <family val="1"/>
      </rPr>
      <t>16.3.9.7.5</t>
    </r>
  </si>
  <si>
    <r>
      <rPr>
        <sz val="11"/>
        <rFont val="Times New Roman"/>
        <family val="1"/>
      </rPr>
      <t>16.3.9.7.6</t>
    </r>
  </si>
  <si>
    <r>
      <rPr>
        <sz val="11"/>
        <rFont val="Times New Roman"/>
        <family val="1"/>
      </rPr>
      <t>16.3.9.7.11</t>
    </r>
  </si>
  <si>
    <r>
      <rPr>
        <b/>
        <sz val="11"/>
        <rFont val="Times New Roman"/>
        <family val="1"/>
      </rPr>
      <t>16.3.9.8</t>
    </r>
  </si>
  <si>
    <t>8JQBIN - TOPO</t>
  </si>
  <si>
    <r>
      <rPr>
        <sz val="11"/>
        <rFont val="Times New Roman"/>
        <family val="1"/>
      </rPr>
      <t>16.3.9.8.2</t>
    </r>
  </si>
  <si>
    <r>
      <rPr>
        <sz val="11"/>
        <rFont val="Times New Roman"/>
        <family val="1"/>
      </rPr>
      <t>16.3.9.8.3</t>
    </r>
  </si>
  <si>
    <r>
      <rPr>
        <sz val="11"/>
        <rFont val="Times New Roman"/>
        <family val="1"/>
      </rPr>
      <t>16.3.9.8.4</t>
    </r>
  </si>
  <si>
    <r>
      <rPr>
        <sz val="11"/>
        <rFont val="Times New Roman"/>
        <family val="1"/>
      </rPr>
      <t>16.3.9.8.5</t>
    </r>
  </si>
  <si>
    <r>
      <rPr>
        <sz val="11"/>
        <rFont val="Times New Roman"/>
        <family val="1"/>
      </rPr>
      <t>16.3.9.8.6</t>
    </r>
  </si>
  <si>
    <r>
      <rPr>
        <sz val="11"/>
        <rFont val="Times New Roman"/>
        <family val="1"/>
      </rPr>
      <t>16.3.9.8.7</t>
    </r>
  </si>
  <si>
    <r>
      <rPr>
        <sz val="11"/>
        <rFont val="Times New Roman"/>
        <family val="1"/>
      </rPr>
      <t>16.3.9.8.8</t>
    </r>
  </si>
  <si>
    <r>
      <rPr>
        <sz val="11"/>
        <rFont val="Times New Roman"/>
        <family val="1"/>
      </rPr>
      <t>16.3.9.8.9</t>
    </r>
  </si>
  <si>
    <r>
      <rPr>
        <sz val="11"/>
        <rFont val="Times New Roman"/>
        <family val="1"/>
      </rPr>
      <t>16.3.9.8.10</t>
    </r>
  </si>
  <si>
    <r>
      <rPr>
        <sz val="11"/>
        <rFont val="Times New Roman"/>
        <family val="1"/>
      </rPr>
      <t>16.3.9.8.11</t>
    </r>
  </si>
  <si>
    <r>
      <rPr>
        <sz val="11"/>
        <rFont val="Times New Roman"/>
        <family val="1"/>
      </rPr>
      <t>16.3.9.8.13</t>
    </r>
  </si>
  <si>
    <r>
      <rPr>
        <sz val="11"/>
        <rFont val="Times New Roman"/>
        <family val="1"/>
      </rPr>
      <t>16.3.9.8.14</t>
    </r>
  </si>
  <si>
    <r>
      <rPr>
        <b/>
        <sz val="11"/>
        <rFont val="Times New Roman"/>
        <family val="1"/>
      </rPr>
      <t>16.3.9.9</t>
    </r>
  </si>
  <si>
    <t>09JQBR - TÉRREO</t>
  </si>
  <si>
    <r>
      <rPr>
        <sz val="11"/>
        <rFont val="Times New Roman"/>
        <family val="1"/>
      </rPr>
      <t>16.3.9.9.1</t>
    </r>
  </si>
  <si>
    <r>
      <rPr>
        <sz val="11"/>
        <rFont val="Times New Roman"/>
        <family val="1"/>
      </rPr>
      <t>16.3.9.9.3</t>
    </r>
  </si>
  <si>
    <r>
      <rPr>
        <sz val="11"/>
        <rFont val="Times New Roman"/>
        <family val="1"/>
      </rPr>
      <t>16.3.9.9.4</t>
    </r>
  </si>
  <si>
    <r>
      <rPr>
        <sz val="11"/>
        <rFont val="Times New Roman"/>
        <family val="1"/>
      </rPr>
      <t>16.3.9.9.5</t>
    </r>
  </si>
  <si>
    <r>
      <rPr>
        <sz val="11"/>
        <rFont val="Times New Roman"/>
        <family val="1"/>
      </rPr>
      <t>16.3.9.9.6</t>
    </r>
  </si>
  <si>
    <r>
      <rPr>
        <sz val="11"/>
        <rFont val="Times New Roman"/>
        <family val="1"/>
      </rPr>
      <t>16.3.9.9.7</t>
    </r>
  </si>
  <si>
    <r>
      <rPr>
        <sz val="11"/>
        <rFont val="Times New Roman"/>
        <family val="1"/>
      </rPr>
      <t>16.3.9.9.11</t>
    </r>
  </si>
  <si>
    <r>
      <rPr>
        <sz val="11"/>
        <rFont val="Times New Roman"/>
        <family val="1"/>
      </rPr>
      <t>16.3.9.9.12</t>
    </r>
  </si>
  <si>
    <r>
      <rPr>
        <sz val="11"/>
        <rFont val="Times New Roman"/>
        <family val="1"/>
      </rPr>
      <t>16.3.9.9.13</t>
    </r>
  </si>
  <si>
    <r>
      <rPr>
        <sz val="11"/>
        <rFont val="Times New Roman"/>
        <family val="1"/>
      </rPr>
      <t>16.3.9.9.14</t>
    </r>
  </si>
  <si>
    <r>
      <rPr>
        <b/>
        <sz val="11"/>
        <rFont val="Times New Roman"/>
        <family val="1"/>
      </rPr>
      <t>16.3.9.10</t>
    </r>
  </si>
  <si>
    <t>10JQBRU - TÉRREO</t>
  </si>
  <si>
    <r>
      <rPr>
        <sz val="11"/>
        <rFont val="Times New Roman"/>
        <family val="1"/>
      </rPr>
      <t>16.3.9.10.1</t>
    </r>
  </si>
  <si>
    <r>
      <rPr>
        <sz val="11"/>
        <rFont val="Times New Roman"/>
        <family val="1"/>
      </rPr>
      <t>16.3.9.10.3</t>
    </r>
  </si>
  <si>
    <r>
      <rPr>
        <sz val="11"/>
        <rFont val="Times New Roman"/>
        <family val="1"/>
      </rPr>
      <t>16.3.9.10.4</t>
    </r>
  </si>
  <si>
    <r>
      <rPr>
        <sz val="11"/>
        <rFont val="Times New Roman"/>
        <family val="1"/>
      </rPr>
      <t>16.3.9.10.5</t>
    </r>
  </si>
  <si>
    <r>
      <rPr>
        <sz val="11"/>
        <rFont val="Times New Roman"/>
        <family val="1"/>
      </rPr>
      <t>16.3.9.10.6</t>
    </r>
  </si>
  <si>
    <r>
      <rPr>
        <sz val="11"/>
        <rFont val="Times New Roman"/>
        <family val="1"/>
      </rPr>
      <t>16.3.9.10.7</t>
    </r>
  </si>
  <si>
    <r>
      <rPr>
        <sz val="11"/>
        <rFont val="Times New Roman"/>
        <family val="1"/>
      </rPr>
      <t>16.3.9.10.11</t>
    </r>
  </si>
  <si>
    <r>
      <rPr>
        <sz val="11"/>
        <rFont val="Times New Roman"/>
        <family val="1"/>
      </rPr>
      <t>16.3.9.10.12</t>
    </r>
  </si>
  <si>
    <r>
      <rPr>
        <sz val="11"/>
        <rFont val="Times New Roman"/>
        <family val="1"/>
      </rPr>
      <t>16.3.9.10.13</t>
    </r>
  </si>
  <si>
    <r>
      <rPr>
        <sz val="11"/>
        <rFont val="Times New Roman"/>
        <family val="1"/>
      </rPr>
      <t>16.3.9.10.14</t>
    </r>
  </si>
  <si>
    <r>
      <rPr>
        <b/>
        <sz val="11"/>
        <rFont val="Times New Roman"/>
        <family val="1"/>
      </rPr>
      <t>16.3.9.11</t>
    </r>
  </si>
  <si>
    <t>QD - ENTRADA - 1JQUPS</t>
  </si>
  <si>
    <r>
      <rPr>
        <sz val="11"/>
        <rFont val="Times New Roman"/>
        <family val="1"/>
      </rPr>
      <t>16.3.9.11.2</t>
    </r>
  </si>
  <si>
    <t>DISJUNTOR TERMOMAGNÉTICO TRIPOLAR 50 A</t>
  </si>
  <si>
    <r>
      <rPr>
        <b/>
        <sz val="11"/>
        <rFont val="Times New Roman"/>
        <family val="1"/>
      </rPr>
      <t>16.3.9.12</t>
    </r>
  </si>
  <si>
    <t>QD - SAÍDA - 1JQUPS</t>
  </si>
  <si>
    <r>
      <rPr>
        <sz val="11"/>
        <rFont val="Times New Roman"/>
        <family val="1"/>
      </rPr>
      <t>16.3.9.12.2</t>
    </r>
  </si>
  <si>
    <t xml:space="preserve">DISJUNTOR TERMOMAGNÉTICO TRIPOLAR 16 A </t>
  </si>
  <si>
    <r>
      <rPr>
        <sz val="11"/>
        <rFont val="Times New Roman"/>
        <family val="1"/>
      </rPr>
      <t>16.3.9.12.3</t>
    </r>
  </si>
  <si>
    <t xml:space="preserve">DISJUNTOR TERMOMAGNÉTICO TRIPOLAR 80 A </t>
  </si>
  <si>
    <r>
      <rPr>
        <b/>
        <sz val="11"/>
        <rFont val="Times New Roman"/>
        <family val="1"/>
      </rPr>
      <t>16.3.9.13</t>
    </r>
  </si>
  <si>
    <t>QD - ENTRADA - 2JQUPS</t>
  </si>
  <si>
    <r>
      <rPr>
        <sz val="11"/>
        <rFont val="Times New Roman"/>
        <family val="1"/>
      </rPr>
      <t>16.3.9.13.2</t>
    </r>
  </si>
  <si>
    <r>
      <rPr>
        <b/>
        <sz val="11"/>
        <rFont val="Times New Roman"/>
        <family val="1"/>
      </rPr>
      <t>16.3.9.14</t>
    </r>
  </si>
  <si>
    <t>QD - SAÍDA - 2JQUPS</t>
  </si>
  <si>
    <r>
      <rPr>
        <sz val="11"/>
        <rFont val="Times New Roman"/>
        <family val="1"/>
      </rPr>
      <t>16.3.9.14.1</t>
    </r>
  </si>
  <si>
    <t>QUADRO DE DISTRIBUIÇÃO DE ENERGIA EM CHAPA DE AÇO GALVANIZADO, DE EMBUTIR, COM BARRAMENTO TRIFÁSICO, PARA 12 DISJUNTORES DIN 100A - FORNECIMENTO E INSTALAÇÃO</t>
  </si>
  <si>
    <r>
      <rPr>
        <sz val="11"/>
        <rFont val="Times New Roman"/>
        <family val="1"/>
      </rPr>
      <t>16.3.9.14.2</t>
    </r>
  </si>
  <si>
    <r>
      <rPr>
        <b/>
        <sz val="11"/>
        <rFont val="Times New Roman"/>
        <family val="1"/>
      </rPr>
      <t>16.3.10.4</t>
    </r>
  </si>
  <si>
    <r>
      <rPr>
        <sz val="11"/>
        <rFont val="Times New Roman"/>
        <family val="1"/>
      </rPr>
      <t>16.3.10.4.1</t>
    </r>
  </si>
  <si>
    <r>
      <rPr>
        <sz val="11"/>
        <rFont val="Times New Roman"/>
        <family val="1"/>
      </rPr>
      <t>16.3.10.4.2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</si>
  <si>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</si>
  <si>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</si>
  <si>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</si>
  <si>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</si>
  <si>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</si>
  <si>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</si>
  <si>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</si>
  <si>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16.3.10.4.10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</si>
  <si>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16.3.11.1.1</t>
    </r>
  </si>
  <si>
    <r>
      <rPr>
        <sz val="11"/>
        <rFont val="Times New Roman"/>
        <family val="1"/>
      </rPr>
      <t>16.3.11.1.2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</si>
  <si>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16.3.11.1.3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</si>
  <si>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16.3.11.1.4</t>
    </r>
    <r>
      <rPr>
        <sz val="11"/>
        <color theme="1"/>
        <rFont val="Calibri"/>
        <family val="2"/>
        <scheme val="minor"/>
      </rPr>
      <t/>
    </r>
  </si>
  <si>
    <t>16.3.11.3.1</t>
  </si>
  <si>
    <t>16.3.11.3.2</t>
  </si>
  <si>
    <t>16.3.11.3.3</t>
  </si>
  <si>
    <t>16.3.11.3.4</t>
  </si>
  <si>
    <t>16.3.11.3.5</t>
  </si>
  <si>
    <t>16.3.11.3.6</t>
  </si>
  <si>
    <r>
      <rPr>
        <sz val="11"/>
        <rFont val="Times New Roman"/>
        <family val="1"/>
      </rPr>
      <t>16.4.1.2.2</t>
    </r>
  </si>
  <si>
    <t>DIFUSOR REGULAVEL PLASTICO 100MM - FORNECIMENTO E INSTALAÇÃO</t>
  </si>
  <si>
    <t xml:space="preserve">(COMPOSIÇÃO REPRESENTATIVA) DO SERVIÇO DE INSTALAÇÃO DE TUBOS DE PVC, SÉRIE R, ÁGUA PLUVIAL, DN 100 MM (INSTALADO EM RAMAL DE ENCAMINHAMENTO, OU CONDUTORES VERTICAIS), INCLUSIVE CONEXÕES, CORTES E FIXAÇÕES, PARA PRÉDIOS. </t>
  </si>
  <si>
    <r>
      <rPr>
        <sz val="11"/>
        <rFont val="Times New Roman"/>
        <family val="1"/>
      </rPr>
      <t>16.4.1.4.4</t>
    </r>
  </si>
  <si>
    <t xml:space="preserve">(COMPOSIÇÃO REPRESENTATIVA) DO SERVIÇO DE INSTALAÇÃO DE TUBOS DE PVC, SÉRIE R, ÁGUA PLUVIAL, DN 75 MM (INSTALADO EM RAMAL DE ENCAMINHAMENTO, OU CONDUTORES VERTICAIS), INCLUSIVE CONEXÕES, CORTE E FIXAÇÕES, PARA PRÉDIOS. </t>
  </si>
  <si>
    <t>TEXTURA ACRÍLICA, APLICAÇÃO MANUAL EM PAREDE, UMA DEMÃO. LARANJA CÁDMIO</t>
  </si>
  <si>
    <t>PINTURA LISA COM TINTA ACRÍLICA NA COR CINZA CLARO</t>
  </si>
  <si>
    <t xml:space="preserve">PINTURA LISA COM TINTA ACRÍLICA NA COR BRANCO ACETINADO
</t>
  </si>
  <si>
    <t>TEXTURA ACRÍLICA, APLICAÇÃO MANUAL EM PAREDE, UMA DEMÃO. COM QUARTZO</t>
  </si>
  <si>
    <t>CONSTRUÇÃO DA CORREGEDORIA E EJUD DO NOVO COMPLEXO JUDICIÁRIO DO PALÁCIO DA JUSTIÇA DO PIAUÍ</t>
  </si>
  <si>
    <t>DIVISÓRIA ARTICULADA ACÚSTICA (M2)</t>
  </si>
  <si>
    <t>PAINEL ACÚSTICO CONSTITUÍDO DE GRADEAMENTO EM COMPENSADO NAVAL 18MM, PREENCHIDO COM LÃ DE PET ACÚSTICA 15MM DENS = 15KG/M3 E ACABAMENTO EM TECIDO ORTOFÔNICO E ALISAR EM MADEIRA MACIÇA 40MMX15MM BOLEADA NAS BORDAS TRATADA COM SELADORA - MÓGNO VERTICAL</t>
  </si>
  <si>
    <t>FORNECIMENTO E INSTALAÇÃO DE PORTA EM MADEIRA DE ABRIR ACÚSTICA, 80X210CM, UMA FOLHA, ISOLAÇÃO 34DB, DOBRADIÇAS INOX, BATENTE 10CM E ALIZAR FIXO REGULÁVEL, ACABAMENTO MELAMÍNICO NA COR CARVALHO(E09) (UN)</t>
  </si>
  <si>
    <t xml:space="preserve">Porta acústica em madeira 0,80 x 2,10, espessura 60mm </t>
  </si>
  <si>
    <t>Fechadura para portas internas, Imab, linha nebula, ref 0921 ou similar</t>
  </si>
  <si>
    <t>Forro acústico, em placas semirígidas SONEX Illtec Skin, ou similar, dim. 500x500x25mm, absorção sonora NRC= 0,65, resistência fogo: classe A, instalado com perfís ou adesivo</t>
  </si>
  <si>
    <t>PORTA DE ALUMÍNIO ANODIZADO DE ABRIR DE 1.50X2.10M COM DUAS FOLHAS NA COR BRANCA, COM GUARNIÇÃO E VIDRO FUMÊ, COM BANDEIRA, FIXAÇÃO COM PARAFUSOS - FORNECIMENTO E INSTALAÇÃO. (E05) (UN)</t>
  </si>
  <si>
    <t>PELÍCULA INSULFILM G 5</t>
  </si>
  <si>
    <t>PORTA DE ALUMÍNIO ANODIZADO DE ABRIR DE 0,9X3,00M COM DUAS FOLHAS NA COR BRANCA, COM GUARNIÇÃO E VIDRO FUMÊ, COM BANDEIRA, FIXAÇÃO COM PARAFUSOS - FORNECIMENTO E INSTALAÇÃO. (E04) (UN)</t>
  </si>
  <si>
    <t>PORTA DE ALUMÍNIO ANODIZADO DE ABRIR DE 1,20X2,10M COM DUAS FOLHAS NA COR BRANCA, COM GUARNIÇÃO E VIDRO TRANSPARENTE, FIXAÇÃO COM PARAFUSOS - FORNECIMENTO E INSTALAÇÃO. (E06) (UN)</t>
  </si>
  <si>
    <t>PORTA DE ALUMÍNIO ANODIZADO DE ABRIR DE 1.80X3.00M COM DUAS FOLHAS NA COR BRANCA, COM GUARNIÇÃO E VIDRO FUMÊ, COM BANDEIRA, FIXAÇÃO COM PARAFUSOS - FORNECIMENTO E INSTALAÇÃO. (E07) (UN)</t>
  </si>
  <si>
    <t>JANELA EM ALUMÍNIO ANODIZADO COM VEDAÇÃO EM VIDRO TRANSPARENTE (REF.JE1, JE2, JE3, JE4, JE7, JE8, JE9, JE11, JE12, JE13, JE14, JE15) (M2)</t>
  </si>
  <si>
    <t>JANELA EM VIDRO DUPLO ACÚSTICO TRANSPARENTE (REF. JE10) (M2)</t>
  </si>
  <si>
    <t>RUFO/ALGEIROZ EM CONCRETO PRÉ-MOLDADO L=30CM (M)</t>
  </si>
  <si>
    <t>ARAME GALVANIZADO 18 BWG, 1,24MM (0,009 KG/M)</t>
  </si>
  <si>
    <t xml:space="preserve">ARMAÇÃO DE ESTRUTURAS DE CONCRETO ARMADO, EXCETO VIGAS, PILARES, LAJES E FUNDAÇÕES, UTILIZANDO AÇO CA-50 DE 6,3 MM - MONTAGEM. </t>
  </si>
  <si>
    <t>PISO GRANITO ASSENTADO SOBRE ARGAMASSA CIMENTO / CAL / AREIA TRACO 1:0,25:3 INCLUSIVE REJUNTE EM CIMENTO (M2)</t>
  </si>
  <si>
    <t>10726 - FORNECIMENTO E INSTALAÇÃO DE KIT GERADOR FOTOVOLTAICO 31,20KWP, INCLUINDO MÓDULOS, INVERSOR, CABOS, FIXAÇÃO E PROTEÇÃO (UND.)</t>
  </si>
  <si>
    <t>FORNECIMENTO E INSTALAÇÃO DE SAÍDA HORIZONTAL PARA ELETRODUTO 3/4" (UN)</t>
  </si>
  <si>
    <t>CAIXA D'AGUA FIBRA VIDRO 15.000 LITROS - FORTLEV-TORRES (OU SIMILAR)</t>
  </si>
  <si>
    <t>CAIXA DE PASSAGEM COM TAMPA PARAFUSADA 600X600X150MM (UN)</t>
  </si>
  <si>
    <t>CAIXA DE PASSAGEM METALICA DE SOBREPOR COM TAMPA PARAFUSADA, DIMENSOES 60 X 60 X 15 CM</t>
  </si>
  <si>
    <t>10305 - FORNECIMENTO E MONTAGEM DE RACK FECHADO TIPO ARMÁRIO 19" X 36U X 870 MM</t>
  </si>
  <si>
    <t>RACK FECHADO TIPO ARMÁRIO 19" X 36U X 870MM</t>
  </si>
  <si>
    <t>CAIXA DE PASSAGEM COM TAMPA PARAFUSADA 200X200X100MM (UN)</t>
  </si>
  <si>
    <t xml:space="preserve">Cabo HDMI 15m Blindado 2.0 Ethernet 15 metros 4K ULTRA HD 3D 2160p
</t>
  </si>
  <si>
    <t xml:space="preserve">Cabo para audio, AF, 2 x 22awg
</t>
  </si>
  <si>
    <t>SUPORTE VERTICAL 50 X 50 MM PARA FIXAÇÃO DE ELETROCALHA METÁLICA  (UN)</t>
  </si>
  <si>
    <t xml:space="preserve">SUPORTE VERTICAL  50 X 50 MM  PARA FIXAÇÃO DE ELETROCALHA METÁLICA </t>
  </si>
  <si>
    <t>CURVA HORIZONTAL PARA ELETROCALHA 50X50MM (UN)</t>
  </si>
  <si>
    <t>Curva horizontal 50 x 50 mm para eletrocalha metálica, com ângulo 90°</t>
  </si>
  <si>
    <t>FORNECIMENTO E INSTALAÇÃO DE ELETROCALHA METÁLICA 50 X 50 X 3000 MM (UN)</t>
  </si>
  <si>
    <t>ELETROCALHA METÁLICA PERFURADA 50 X 50 X 3000 MM (REF. VL 3.01 75/50 GE VALEMAM OU SIMILAR)</t>
  </si>
  <si>
    <t>DIFUSOR REGULAVEL PLASTICO 100MM - FORNECIMENTO E INSTALAÇÃO (UN)</t>
  </si>
  <si>
    <t>DIFUSOR REGULAVEL PLASTICO 100MM</t>
  </si>
  <si>
    <t>ADMINISTRAÇÃO LOCAL (CONTEMPLADO NA CORREGEDORIA)</t>
  </si>
  <si>
    <r>
      <rPr>
        <sz val="11"/>
        <rFont val="Times New Roman"/>
        <family val="1"/>
      </rPr>
      <t>1.1.8</t>
    </r>
    <r>
      <rPr>
        <sz val="11"/>
        <color theme="1"/>
        <rFont val="Calibri"/>
        <family val="2"/>
        <scheme val="minor"/>
      </rPr>
      <t/>
    </r>
  </si>
  <si>
    <t>TAPUME COM TELHA METÁLICA</t>
  </si>
  <si>
    <t>INSTALAÇÃO DO CANTEIRO (CONTEMPLADO NA CORREGEDORIA)</t>
  </si>
  <si>
    <t>DEMOLIÇÃO DE PAVIMENTO INTERTRAVADO, DE FORMA MANUAL, COM REAPROVEITAMENTO</t>
  </si>
  <si>
    <t xml:space="preserve">ENTRADA DE ENERGIA ELÉTRICA, AÉREA, TRIFÁSICA, COM CAIXA DE SOBREPOR, CABO DE 35 MM2 E DISJUNTOR DIN 50A </t>
  </si>
  <si>
    <t xml:space="preserve">TRANSCEIVER CISCO SFP+ 10GBASE-SR OU SIMILAR EQUIVALENTE </t>
  </si>
  <si>
    <r>
      <rPr>
        <sz val="11"/>
        <rFont val="Times New Roman"/>
        <family val="1"/>
      </rPr>
      <t>16.3.2.1.3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</si>
  <si>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</si>
  <si>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</si>
  <si>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</si>
  <si>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</si>
  <si>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16.3.2.1.8</t>
    </r>
    <r>
      <rPr>
        <sz val="11"/>
        <color theme="1"/>
        <rFont val="Calibri"/>
        <family val="2"/>
        <scheme val="minor"/>
      </rPr>
      <t/>
    </r>
  </si>
  <si>
    <t>PROJETOR PARA DATA-SHOW, FULL HD, 3D, RELAÇÃO DE CONTRASTE 35.000:1, RELAÇÃO DE PROJEÇÃO 16:9/4:3, CONEXÕES HDMI, VGA, RCA, USB, WI-FI, MARCA OPTOMA, EPSON, OU SIMILAR</t>
  </si>
  <si>
    <t xml:space="preserve">PROJETOR PARA DATA-SHOW, FULL HD, 3D, RELAÇÃO DE CONTRASTE 35.000:1, RELAÇÃO DE PROJEÇÃO 16:9/4:3, CONEXÕES HDMI, VGA, RCA, USB, WI-FI, MARCA OPTOMA, EPSON, OU SIMILAR </t>
  </si>
  <si>
    <r>
      <rPr>
        <sz val="11"/>
        <rFont val="Times New Roman"/>
        <family val="1"/>
      </rPr>
      <t>16.3.2.1.18</t>
    </r>
    <r>
      <rPr>
        <sz val="11"/>
        <color theme="1"/>
        <rFont val="Calibri"/>
        <family val="2"/>
        <scheme val="minor"/>
      </rPr>
      <t/>
    </r>
  </si>
  <si>
    <t>RUA PADRE HUMBERTO PIETROGRANDE, 3509, BAIRRO SÃO RAIMUNDO, MARGEM DO RIO POTY - TERESINA - PIAUÍ</t>
  </si>
  <si>
    <t>LUMINÁRIA INDUSTRIAL EM CHAPA DE AÇO, BLINDADA, A PROVA DE TEMPO, P/ LÂMPADA 2 X 20 W (TECNOLUX - REF TB165/24 OU SIMILAR)</t>
  </si>
  <si>
    <t>PLANILHA ORÇAMENTÁRIA</t>
  </si>
  <si>
    <t>FORNECIMENTO E INSTALAÇÃO DE ELEVADOR ELÉTRICO SOCIAL PARA 08 PASSAGEIROS OU 600KG, COM 02 PARADAS, PAINEIS E TETO EM AÇO ESCOVADO, CORRIMÃO TUBULAR, PORTAS AÇO INOX</t>
  </si>
  <si>
    <r>
      <rPr>
        <sz val="11"/>
        <rFont val="Times New Roman"/>
        <family val="1"/>
      </rPr>
      <t>16.3.11.1.3.2</t>
    </r>
    <r>
      <rPr>
        <sz val="11"/>
        <color theme="1"/>
        <rFont val="Calibri"/>
        <family val="2"/>
        <scheme val="minor"/>
      </rPr>
      <t/>
    </r>
  </si>
  <si>
    <t>INSTALAÇÃO DE GRUPO GERADOR 450 KVA</t>
  </si>
  <si>
    <t xml:space="preserve">PAINEL DE MÉDIA TENSÃO 15 KV - SE-ANEXOS  - COM DISJUNTORES, ACESSÓRIOS, MONTAGEM E INSTALAÇÃO
</t>
  </si>
  <si>
    <r>
      <rPr>
        <sz val="11"/>
        <rFont val="Times New Roman"/>
        <family val="1"/>
      </rPr>
      <t>1.1.9</t>
    </r>
    <r>
      <rPr>
        <sz val="11"/>
        <color theme="1"/>
        <rFont val="Calibri"/>
        <family val="2"/>
        <scheme val="minor"/>
      </rPr>
      <t/>
    </r>
  </si>
  <si>
    <t>ARQUEÓLOGO PLENO (NÍVEL SUPERIOR)</t>
  </si>
  <si>
    <t>30,75</t>
  </si>
  <si>
    <t>38,51</t>
  </si>
  <si>
    <t>28,30</t>
  </si>
  <si>
    <t>3,90</t>
  </si>
  <si>
    <t>12,42</t>
  </si>
  <si>
    <t>12,51</t>
  </si>
  <si>
    <t>1,53</t>
  </si>
  <si>
    <t>7,86</t>
  </si>
  <si>
    <t>13,79</t>
  </si>
  <si>
    <t>42,60</t>
  </si>
  <si>
    <t>50,12</t>
  </si>
  <si>
    <t>18,32</t>
  </si>
  <si>
    <t>8,65</t>
  </si>
  <si>
    <t>21,01</t>
  </si>
  <si>
    <t>11,84</t>
  </si>
  <si>
    <t>7904 - CLIPS 3/8" PARA HASTE DE ATERRAMENTO GALVANIZADA  (UN)</t>
  </si>
  <si>
    <t>CONECTOR EM LATAO TIPO MINIGAR PARA CABOS 16 -50 MM²- SPDA</t>
  </si>
  <si>
    <t xml:space="preserve">FLANGE 200 X 50MM PARA ELETROCALHA METÁLICA </t>
  </si>
  <si>
    <t xml:space="preserve">INSTALAÇÃO DE UNIDADE EVAPORADORA PARA SISTEMA VRF/VRV </t>
  </si>
  <si>
    <t>CPOS</t>
  </si>
  <si>
    <t>43.08.020</t>
  </si>
  <si>
    <t>UNIDADE EVAPORADORA TIPO VRV - PAREDE, CAPAC. 1,0 HP - FORNECIMENTO</t>
  </si>
  <si>
    <t xml:space="preserve">UNIDADE EVAPORADORA TIPO VRV - PAREDE, CAPAC. 2,0 HP - FORNECIMENTO </t>
  </si>
  <si>
    <t>UNIDADE EVAPORADORA TIPO VRV - TETO APARENTE, CAPAC. 2,5 HP - FORNECIMENTO</t>
  </si>
  <si>
    <t xml:space="preserve">UNIDADE EVAPORADORA TIPO VRV - CASSETE, CAPAC. 2,5 HP - FORNECIMENTO </t>
  </si>
  <si>
    <t xml:space="preserve">UNIDADE EVAPORADORA TIPO VRV - CASSETE, CAPAC. 4,0 HP - FORNECIMENTO </t>
  </si>
  <si>
    <t xml:space="preserve">UNIDADE EVAPORADORA TIPO VRV - CASSETE, CAPAC. 5,0 HP - FORNECIMENTO </t>
  </si>
  <si>
    <r>
      <rPr>
        <sz val="11"/>
        <rFont val="Times New Roman"/>
        <family val="1"/>
      </rPr>
      <t>16.4.1.3.9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</si>
  <si>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</si>
  <si>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</si>
  <si>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16.4.1.3.12</t>
    </r>
    <r>
      <rPr>
        <sz val="11"/>
        <color theme="1"/>
        <rFont val="Calibri"/>
        <family val="2"/>
        <scheme val="minor"/>
      </rPr>
      <t/>
    </r>
  </si>
  <si>
    <t>UNID CONDENSADORA 36,0HP, ALIMENTAÇÃO ELÉTRICA 380V/3F/60HZ  – FORNECIMENTO</t>
  </si>
  <si>
    <t xml:space="preserve">UNID CONDENSADORA 48,0HP, ALIMENTAÇÃO ELÉTRICA 380V/3F/60HZ  – FORNECIMENTO </t>
  </si>
  <si>
    <t xml:space="preserve">UNID CONDENSADORA 52,0HP, ALIMENTAÇÃO ELÉTRICA 380V/3F/60HZ  – FORNECIMENTO </t>
  </si>
  <si>
    <t xml:space="preserve">UNID CONDENSADORA 56,0HP, ALIMENTAÇÃO ELÉTRICA 380V/3F/60HZ  – FORNECIMENTO </t>
  </si>
  <si>
    <t>43.08.004</t>
  </si>
  <si>
    <t xml:space="preserve">INSTALAÇÃO DE UNIDADE CONDENSADORA PARA SISTEMA VRF/VRV </t>
  </si>
  <si>
    <r>
      <rPr>
        <sz val="11"/>
        <rFont val="Times New Roman"/>
        <family val="1"/>
      </rPr>
      <t>16.4.1.3.14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</si>
  <si>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</si>
  <si>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16.4.1.3.13</t>
    </r>
    <r>
      <rPr>
        <sz val="11"/>
        <color theme="1"/>
        <rFont val="Calibri"/>
        <family val="2"/>
        <scheme val="minor"/>
      </rPr>
      <t/>
    </r>
  </si>
  <si>
    <t xml:space="preserve">UNID CONDENSADORA 36,0HP, ALIMENTAÇÃO ELÉTRICA 380V/3F/60HZ  – FORNECIMENTO </t>
  </si>
  <si>
    <t>UNID CONDENSADORA 48,0HP, ALIMENTAÇÃO ELÉTRICA 380V/3F/60HZ  – FORNECIMENTO</t>
  </si>
  <si>
    <t>UNID CONDENSADORA 52,0HP, ALIMENTAÇÃO ELÉTRICA 380V/3F/60HZ  – FORNECIMENTO</t>
  </si>
  <si>
    <t>UNID CONDENSADORA 56,0HP, ALIMENTAÇÃO ELÉTRICA 380V/3F/60HZ  – FORNECIMENTO</t>
  </si>
  <si>
    <t xml:space="preserve">UNID CONDENSADORA 30,0HP, ALIMENTAÇÃO ELÉTRICA 380V/3F/60HZ  – FORNECIMENTO </t>
  </si>
  <si>
    <t xml:space="preserve">UNID CONDENSADORA 38,0HP, ALIMENTAÇÃO ELÉTRICA 380V/3F/60HZ  – FORNECIMENTO </t>
  </si>
  <si>
    <t xml:space="preserve">UNID CONDENSADORA 62,0HP, ALIMENTAÇÃO ELÉTRICA 380V/3F/60HZ  – FORNECIMENTO </t>
  </si>
  <si>
    <t xml:space="preserve">UNIDADE EVAPORADORA TIPO VRV - CASSETE, CAPAC. 3,0 HP - FORNECIMENTO </t>
  </si>
  <si>
    <t>UNIDADE EVAPORADORA TIPO VRV - CASSETE, CAPAC. 2,5 HP - FORNECIMENTO</t>
  </si>
  <si>
    <t xml:space="preserve"> UNIDADE EVAPORADORA TIPO VRV - PAREDE, CAPAC. 1,0 HP - FORNECIMENTO </t>
  </si>
  <si>
    <t xml:space="preserve">UNID CONDENSADORA 62,0HP, ALIMENTAÇÃO ELÉTRICA 380V/3F/60HZ – FORNECIMENTO </t>
  </si>
  <si>
    <t>Cabo de cobre PP Cordplast 5 x 4.0 mm2, 450/750v</t>
  </si>
  <si>
    <t>Fornecimento e instalação de fachada em pele de vidro, em vidro laminado 3+3 refletivo</t>
  </si>
  <si>
    <t xml:space="preserve">FLANGE 150 X 50MM PARA ELETROCALHA METÁLICA </t>
  </si>
  <si>
    <t xml:space="preserve">CLIPS 3/8" PARA HASTE DE ATERRAMENTO GALVANIZADA </t>
  </si>
  <si>
    <r>
      <rPr>
        <sz val="11"/>
        <rFont val="Times New Roman"/>
        <family val="1"/>
      </rPr>
      <t>16.3.10.1.6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</si>
  <si>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16.3.11.1.5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</si>
  <si>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16.3.11.1.6</t>
    </r>
    <r>
      <rPr>
        <sz val="11"/>
        <color theme="1"/>
        <rFont val="Calibri"/>
        <family val="2"/>
        <scheme val="minor"/>
      </rPr>
      <t/>
    </r>
  </si>
  <si>
    <t>BANDEJA DESLIZANTE PARA RACK 19'' 1U</t>
  </si>
  <si>
    <r>
      <rPr>
        <sz val="11"/>
        <rFont val="Times New Roman"/>
        <family val="1"/>
      </rPr>
      <t>16.3.2.1.19</t>
    </r>
    <r>
      <rPr>
        <sz val="11"/>
        <color theme="1"/>
        <rFont val="Calibri"/>
        <family val="2"/>
        <scheme val="minor"/>
      </rPr>
      <t/>
    </r>
  </si>
  <si>
    <t>PATCH PANEL 24 PORTAS, CATEGORIA 6 - FORNECIMENTO E INSTALAÇÃO</t>
  </si>
  <si>
    <t>BASE METÁLICA PARA MASTRO 1 ½  PARA SPDA - FORNECIMENTO E INSTALAÇÃO.</t>
  </si>
  <si>
    <t>MASTRO 1 ½  PARA SPDA - FORNECIMENTO E INSTALAÇÃO</t>
  </si>
  <si>
    <t>ELABORAÇÃO DE PROJETO "AS BUILT" DE TODA A EDIFICAÇÃO</t>
  </si>
  <si>
    <t>C3909</t>
  </si>
  <si>
    <t>I7379</t>
  </si>
  <si>
    <t>I7377</t>
  </si>
  <si>
    <t>IGNEX - PALITO IGNITOR PARA SOLDA EXOTÉRMICA</t>
  </si>
  <si>
    <t>CABO DE COBRE ISOLADO EPR, FLEXIVEL, 25MM², 8,7/15KV/90º C</t>
  </si>
  <si>
    <t>CAIXA D'AGUA FIBRA VIDRO 20.000 LITROS - FORTLEV-TORRES (OU SIMILAR)</t>
  </si>
  <si>
    <t>37,49</t>
  </si>
  <si>
    <t>15,67</t>
  </si>
  <si>
    <t>22,89</t>
  </si>
  <si>
    <t>18,01</t>
  </si>
  <si>
    <t>14,99</t>
  </si>
  <si>
    <t>13,32</t>
  </si>
  <si>
    <t>11,73</t>
  </si>
  <si>
    <t>3,61</t>
  </si>
  <si>
    <t>39,59</t>
  </si>
  <si>
    <t>17,49</t>
  </si>
  <si>
    <t>47,52</t>
  </si>
  <si>
    <t>12,33</t>
  </si>
  <si>
    <t>12,39</t>
  </si>
  <si>
    <t>8,28</t>
  </si>
  <si>
    <t>10,89</t>
  </si>
  <si>
    <t>6,52</t>
  </si>
  <si>
    <t>5,34</t>
  </si>
  <si>
    <t>7,80</t>
  </si>
  <si>
    <t>14,33</t>
  </si>
  <si>
    <t>21,71</t>
  </si>
  <si>
    <t>11,57</t>
  </si>
  <si>
    <t>89,23</t>
  </si>
  <si>
    <t>5,86</t>
  </si>
  <si>
    <t>16,18</t>
  </si>
  <si>
    <t>11,82</t>
  </si>
  <si>
    <t>11,54</t>
  </si>
  <si>
    <t>5,89</t>
  </si>
  <si>
    <t>60,09</t>
  </si>
  <si>
    <t>7,15</t>
  </si>
  <si>
    <t>35,24</t>
  </si>
  <si>
    <t>183,14</t>
  </si>
  <si>
    <t>2,08</t>
  </si>
  <si>
    <t>19,62</t>
  </si>
  <si>
    <t>11,42</t>
  </si>
  <si>
    <t>12,19</t>
  </si>
  <si>
    <t>3,43</t>
  </si>
  <si>
    <t>18,07</t>
  </si>
  <si>
    <t>22,71</t>
  </si>
  <si>
    <t>41,79</t>
  </si>
  <si>
    <t>70,27</t>
  </si>
  <si>
    <t>20,84</t>
  </si>
  <si>
    <t>6,10</t>
  </si>
  <si>
    <t>2,51</t>
  </si>
  <si>
    <t>23,64</t>
  </si>
  <si>
    <t>4,92</t>
  </si>
  <si>
    <t>32,83</t>
  </si>
  <si>
    <t>42,64</t>
  </si>
  <si>
    <t>218,01</t>
  </si>
  <si>
    <t>10,62</t>
  </si>
  <si>
    <t>15,24</t>
  </si>
  <si>
    <t>14,95</t>
  </si>
  <si>
    <t>28,07</t>
  </si>
  <si>
    <t>28,20</t>
  </si>
  <si>
    <t>12,58</t>
  </si>
  <si>
    <t>14,27</t>
  </si>
  <si>
    <t>606,45</t>
  </si>
  <si>
    <t>92,57</t>
  </si>
  <si>
    <t>13,89</t>
  </si>
  <si>
    <t>7,55</t>
  </si>
  <si>
    <t>10,28</t>
  </si>
  <si>
    <t>32,46</t>
  </si>
  <si>
    <t>37,91</t>
  </si>
  <si>
    <t>44,46</t>
  </si>
  <si>
    <t>37,62</t>
  </si>
  <si>
    <t>30,04</t>
  </si>
  <si>
    <t>24,04</t>
  </si>
  <si>
    <t>34,93</t>
  </si>
  <si>
    <t>81,74</t>
  </si>
  <si>
    <t>544,87</t>
  </si>
  <si>
    <t>861,35</t>
  </si>
  <si>
    <t>17,54</t>
  </si>
  <si>
    <t>15,17</t>
  </si>
  <si>
    <t>23,42</t>
  </si>
  <si>
    <t>64,91</t>
  </si>
  <si>
    <t>109,51</t>
  </si>
  <si>
    <t>29,79</t>
  </si>
  <si>
    <t>120,03</t>
  </si>
  <si>
    <t>77,04</t>
  </si>
  <si>
    <t>56,65</t>
  </si>
  <si>
    <t>25,87</t>
  </si>
  <si>
    <t>10,31</t>
  </si>
  <si>
    <t>75,32</t>
  </si>
  <si>
    <t>71,75</t>
  </si>
  <si>
    <t>57,82</t>
  </si>
  <si>
    <t>19,57</t>
  </si>
  <si>
    <t>19,77</t>
  </si>
  <si>
    <t>116,01</t>
  </si>
  <si>
    <t>33,05</t>
  </si>
  <si>
    <t>69,56</t>
  </si>
  <si>
    <t>92,62</t>
  </si>
  <si>
    <t>34,97</t>
  </si>
  <si>
    <t>1,41</t>
  </si>
  <si>
    <t>13,40</t>
  </si>
  <si>
    <t>10,41</t>
  </si>
  <si>
    <t>5,88</t>
  </si>
  <si>
    <t>78,34</t>
  </si>
  <si>
    <t>2.524,11</t>
  </si>
  <si>
    <t>2.544,22</t>
  </si>
  <si>
    <t>14.132,97</t>
  </si>
  <si>
    <t>5.801,52</t>
  </si>
  <si>
    <t xml:space="preserve">ARMAÇÃO DE BLOCO, VIGA BALDRAME OU SAPATA UTILIZANDO AÇO CA-50 DE 5,0 MM - MONTAGEM. </t>
  </si>
  <si>
    <t>953,02</t>
  </si>
  <si>
    <t>789,93</t>
  </si>
  <si>
    <t>517,48</t>
  </si>
  <si>
    <t>863,10</t>
  </si>
  <si>
    <t>230,19</t>
  </si>
  <si>
    <t>380,13</t>
  </si>
  <si>
    <t>94,03</t>
  </si>
  <si>
    <t>24,32</t>
  </si>
  <si>
    <t>45,16</t>
  </si>
  <si>
    <t>14,05</t>
  </si>
  <si>
    <t>35,30</t>
  </si>
  <si>
    <t>44,03</t>
  </si>
  <si>
    <t>106,91</t>
  </si>
  <si>
    <t>86,61</t>
  </si>
  <si>
    <t>483,41</t>
  </si>
  <si>
    <t>102,02</t>
  </si>
  <si>
    <t>15,62</t>
  </si>
  <si>
    <t>12,70</t>
  </si>
  <si>
    <t>12,92</t>
  </si>
  <si>
    <t>423,98</t>
  </si>
  <si>
    <t>82,51</t>
  </si>
  <si>
    <t>68,01</t>
  </si>
  <si>
    <t>76,19</t>
  </si>
  <si>
    <t>17,42</t>
  </si>
  <si>
    <t>7,50</t>
  </si>
  <si>
    <t>37,06</t>
  </si>
  <si>
    <t>20,40</t>
  </si>
  <si>
    <t>36,92</t>
  </si>
  <si>
    <t>10,91</t>
  </si>
  <si>
    <t>26,53</t>
  </si>
  <si>
    <t>36,08</t>
  </si>
  <si>
    <t>50,88</t>
  </si>
  <si>
    <t>69,97</t>
  </si>
  <si>
    <t>120,02</t>
  </si>
  <si>
    <t>238,71</t>
  </si>
  <si>
    <t>19,10</t>
  </si>
  <si>
    <t>22,06</t>
  </si>
  <si>
    <t>25,28</t>
  </si>
  <si>
    <t>15,10</t>
  </si>
  <si>
    <t>99,11</t>
  </si>
  <si>
    <t>299,32</t>
  </si>
  <si>
    <t>581,90</t>
  </si>
  <si>
    <t>11,30</t>
  </si>
  <si>
    <t>69,65</t>
  </si>
  <si>
    <t>72,27</t>
  </si>
  <si>
    <t>79,90</t>
  </si>
  <si>
    <t>85,95</t>
  </si>
  <si>
    <t>372,80</t>
  </si>
  <si>
    <t>504,61</t>
  </si>
  <si>
    <t>542,04</t>
  </si>
  <si>
    <t>901,11</t>
  </si>
  <si>
    <t>1.283,57</t>
  </si>
  <si>
    <t>141,29</t>
  </si>
  <si>
    <t>397,16</t>
  </si>
  <si>
    <t>2.125,83</t>
  </si>
  <si>
    <t>4.460,31</t>
  </si>
  <si>
    <t>69,60</t>
  </si>
  <si>
    <t>1.938,51</t>
  </si>
  <si>
    <t>74,75</t>
  </si>
  <si>
    <t>58,09</t>
  </si>
  <si>
    <t>59,09</t>
  </si>
  <si>
    <t>114,58</t>
  </si>
  <si>
    <t>184,70</t>
  </si>
  <si>
    <t>121,30</t>
  </si>
  <si>
    <t>1.303,52</t>
  </si>
  <si>
    <t>607,07</t>
  </si>
  <si>
    <t>181,83</t>
  </si>
  <si>
    <t>390,36</t>
  </si>
  <si>
    <t>23,50</t>
  </si>
  <si>
    <t>14,81</t>
  </si>
  <si>
    <t>46,89</t>
  </si>
  <si>
    <t>21,69</t>
  </si>
  <si>
    <t>16,73</t>
  </si>
  <si>
    <t>49,17</t>
  </si>
  <si>
    <t>30,32</t>
  </si>
  <si>
    <t>57,54</t>
  </si>
  <si>
    <t>79,04</t>
  </si>
  <si>
    <t>101,03</t>
  </si>
  <si>
    <t>124,65</t>
  </si>
  <si>
    <t>62,66</t>
  </si>
  <si>
    <t>76,57</t>
  </si>
  <si>
    <t>30,13</t>
  </si>
  <si>
    <t>110,41</t>
  </si>
  <si>
    <t>28,10</t>
  </si>
  <si>
    <t>113,13</t>
  </si>
  <si>
    <t>9,44</t>
  </si>
  <si>
    <t>65,13</t>
  </si>
  <si>
    <t>34,10</t>
  </si>
  <si>
    <t>73,90</t>
  </si>
  <si>
    <t>67,59</t>
  </si>
  <si>
    <t>61,21</t>
  </si>
  <si>
    <t>29,59</t>
  </si>
  <si>
    <t>44,60</t>
  </si>
  <si>
    <t>7,99</t>
  </si>
  <si>
    <t>433,55</t>
  </si>
  <si>
    <t>778,45</t>
  </si>
  <si>
    <t>516,71</t>
  </si>
  <si>
    <t>72,36</t>
  </si>
  <si>
    <t>76,21</t>
  </si>
  <si>
    <t>67,81</t>
  </si>
  <si>
    <t>99,97</t>
  </si>
  <si>
    <t>243,57</t>
  </si>
  <si>
    <t>139,86</t>
  </si>
  <si>
    <t>85,48</t>
  </si>
  <si>
    <t>397,42</t>
  </si>
  <si>
    <t>1.437,63</t>
  </si>
  <si>
    <t>1.971,45</t>
  </si>
  <si>
    <t>60,83</t>
  </si>
  <si>
    <t>24,25</t>
  </si>
  <si>
    <t>101,97</t>
  </si>
  <si>
    <t>20,03</t>
  </si>
  <si>
    <t>18,40</t>
  </si>
  <si>
    <t>30,41</t>
  </si>
  <si>
    <t>52,60</t>
  </si>
  <si>
    <t>58,13</t>
  </si>
  <si>
    <t>4.806,00</t>
  </si>
  <si>
    <t>2.243,47</t>
  </si>
  <si>
    <t>44,05</t>
  </si>
  <si>
    <t>107.537,12</t>
  </si>
  <si>
    <t>34,47</t>
  </si>
  <si>
    <t>PINTURA ACRILICA EM PISO CIMENTADO, DUAS DEMAOS</t>
  </si>
  <si>
    <r>
      <rPr>
        <sz val="11"/>
        <rFont val="Times New Roman"/>
        <family val="1"/>
      </rPr>
      <t>16.3.2.1.20</t>
    </r>
    <r>
      <rPr>
        <sz val="11"/>
        <color theme="1"/>
        <rFont val="Calibri"/>
        <family val="2"/>
        <scheme val="minor"/>
      </rPr>
      <t/>
    </r>
  </si>
  <si>
    <t>PAREDE COM PLACAS DE GESSO ACARTONADO (DRYWALL), PARA USO INTERNO, COM DUAS FACES SIMPLES E ESTRUTURA METÁLICA COM GUIAS SIMPLES, COM VÃOS</t>
  </si>
  <si>
    <t>GRUPO GERADOR 450 KVA COM QUADRO DE TRANSFERÊNCIA AUTOMÁTICA, CARENADO 85DB, COMPLETO (UN)</t>
  </si>
  <si>
    <t>36.08.360</t>
  </si>
  <si>
    <t>P.11.000.047594</t>
  </si>
  <si>
    <t>UNIDADE EVAPORADORA TIPO VRV - PAREDE, CAPAC. 2,0 HP - FORNECIMENTO</t>
  </si>
  <si>
    <t xml:space="preserve">UNIDADE EVAPORADORA TIPO VRV - PAREDE, CAPAC. 1,0 HP - FORNECIMENTO </t>
  </si>
  <si>
    <t xml:space="preserve">UNID EVAPORADORA VRV TIPO PAREDE 2,0HP
</t>
  </si>
  <si>
    <t>43.08.021</t>
  </si>
  <si>
    <t>44.08.020</t>
  </si>
  <si>
    <t>Q.04.000.031021</t>
  </si>
  <si>
    <t>Q.04.000.031020</t>
  </si>
  <si>
    <t>43.08.041</t>
  </si>
  <si>
    <t>43.08.042</t>
  </si>
  <si>
    <t>43.08.043</t>
  </si>
  <si>
    <t>Q.04.000.031041</t>
  </si>
  <si>
    <t>Q.04.000.031042</t>
  </si>
  <si>
    <t>Q.04.000.031043</t>
  </si>
  <si>
    <t>43.08.031</t>
  </si>
  <si>
    <t>Q.04.000.031031</t>
  </si>
  <si>
    <t>Q.01.000.047538</t>
  </si>
  <si>
    <t>EXAUSTOR MULTIVAC MOD MURO 150A, VAZÃO 70M3/H, MOTOR POT. 12W 220V/1Ø/60HZ, COM SISTEMA INTERTRAVADO COM INTERRUPTOR DE LUZ. (UN)</t>
  </si>
  <si>
    <t>43.05.030</t>
  </si>
  <si>
    <t xml:space="preserve">UNIDADE EVAPORADORA TIPO VRV - PAREDE, CAPAC. 1,5 HP - FORNECIMENTO </t>
  </si>
  <si>
    <t>CABO SHIELDADO DE COMUNICAÇÃO DO SISTEMA DE VRV (M)</t>
  </si>
  <si>
    <t>PAINEL DE SOBREPOR AUTO SUPORTÁVEL TIPO ARMÁRIO - QGBT - COM DISJUNTORES E ACESSÓRIOS. (UN)</t>
  </si>
  <si>
    <t>PAINEL DE SOBREPOR AUTO SUPORTÁVEL TIPO ARMÁRIO - QGBT - COM DISJUNTORES E ACESSÓRIOS</t>
  </si>
  <si>
    <t>9512_1 - PAINEL DE MÉDIA TENSÃO 15 KV - SE-ANEXOS  - COM DISJUNTORES, ACESSÓRIOS, MONTAGEM E INSTALAÇÃO (SCHNEIDER OU SIMILAR)</t>
  </si>
  <si>
    <t>PAINEL DE MÉDIA TENSÃO 15 KV - SE-ANEXOS  - COM DISJUNTORES, ACESSÓRIOS, MONTAGEM E INSTALAÇÃO (SCHNEIDER OU SIMILAR)</t>
  </si>
  <si>
    <t xml:space="preserve">PAINEL DE SOBREPOR AUTO SUPORTÁVEL TIPO ARMÁRIO - QGBT - COM DISJUNTORES E ACESSÓRIOS
</t>
  </si>
  <si>
    <t>Condensador para sistema VRF de ar condicionado, capacidade de 11 TR a 13 TR</t>
  </si>
  <si>
    <t>43.08.003</t>
  </si>
  <si>
    <t>Q.04.000.031003</t>
  </si>
  <si>
    <t>Condensador para sistema VRF de ar condicionado, capacidade de 8 TR a 10 TR</t>
  </si>
  <si>
    <t>Q.04.000.031002</t>
  </si>
  <si>
    <t>43.08.003_1</t>
  </si>
  <si>
    <t>Condensador para sistema VRF de ar condicionado, capacidade de 14 TR a 16 TR</t>
  </si>
  <si>
    <t>Q.04.000.031004</t>
  </si>
  <si>
    <t>Condensador para sistema VRF de ar condicionado, capacidade até 6 TR</t>
  </si>
  <si>
    <t>Q.04.000.031001</t>
  </si>
  <si>
    <t>43.08.004_1</t>
  </si>
  <si>
    <t>43.08.004_2</t>
  </si>
  <si>
    <t>43.08.004_3</t>
  </si>
  <si>
    <t>43.08.004_4</t>
  </si>
  <si>
    <t>UNIDADE EVAPORADORA TIPO VRV - CASSETE, CAPAC. 5,0 HP - FORNECIMENTO</t>
  </si>
  <si>
    <t>UNIDADE EVAPORADORA TIPO VRV - CASSETE, CAPAC. 4,0 HP - FORNECIMENTO</t>
  </si>
  <si>
    <t>UNIDADE EVAPORADORA TIPO VRV - TETO, CAPAC. 2,5 HP - FORNECIMENTO</t>
  </si>
  <si>
    <t>61.10.513</t>
  </si>
  <si>
    <t>Q.04.000.031427</t>
  </si>
  <si>
    <t>6.2.1</t>
  </si>
  <si>
    <t>6.2.1.1</t>
  </si>
  <si>
    <t>6.2.1.2</t>
  </si>
  <si>
    <t>6.2.2</t>
  </si>
  <si>
    <t>6.2.2.1</t>
  </si>
  <si>
    <t>INSTALAÇÃO DE GRUPO GERADOR 450 KVA (UN)</t>
  </si>
  <si>
    <t>C4183</t>
  </si>
  <si>
    <t>PERCENTUAIS(%)</t>
  </si>
  <si>
    <r>
      <rPr>
        <b/>
        <sz val="12"/>
        <rFont val="Arial"/>
        <family val="2"/>
      </rPr>
      <t>1.</t>
    </r>
    <r>
      <rPr>
        <sz val="12"/>
        <rFont val="Arial"/>
        <family val="2"/>
      </rPr>
      <t xml:space="preserve"> ADMINISTRAÇÃO CENTRAL (AC)</t>
    </r>
  </si>
  <si>
    <r>
      <rPr>
        <b/>
        <sz val="12"/>
        <rFont val="Arial"/>
        <family val="2"/>
      </rPr>
      <t>2.</t>
    </r>
    <r>
      <rPr>
        <sz val="12"/>
        <rFont val="Arial"/>
        <family val="2"/>
      </rPr>
      <t xml:space="preserve"> SEGURO + GARANTIA (S,G)</t>
    </r>
  </si>
  <si>
    <r>
      <rPr>
        <b/>
        <sz val="12"/>
        <rFont val="Arial"/>
        <family val="2"/>
      </rPr>
      <t>3</t>
    </r>
    <r>
      <rPr>
        <sz val="12"/>
        <rFont val="Arial"/>
        <family val="2"/>
      </rPr>
      <t>. RISCOS (R)</t>
    </r>
  </si>
  <si>
    <r>
      <rPr>
        <b/>
        <sz val="12"/>
        <rFont val="Arial"/>
        <family val="2"/>
      </rPr>
      <t>4.</t>
    </r>
    <r>
      <rPr>
        <sz val="12"/>
        <rFont val="Arial"/>
        <family val="2"/>
      </rPr>
      <t xml:space="preserve"> DESPESAS FINANCEIRAS (DF)</t>
    </r>
  </si>
  <si>
    <r>
      <rPr>
        <b/>
        <sz val="12"/>
        <rFont val="Arial"/>
        <family val="2"/>
      </rPr>
      <t>5.</t>
    </r>
    <r>
      <rPr>
        <sz val="12"/>
        <rFont val="Arial"/>
        <family val="2"/>
      </rPr>
      <t xml:space="preserve"> LUCRO (L)</t>
    </r>
  </si>
  <si>
    <r>
      <rPr>
        <b/>
        <sz val="12"/>
        <rFont val="Arial"/>
        <family val="2"/>
      </rPr>
      <t>6.</t>
    </r>
    <r>
      <rPr>
        <sz val="12"/>
        <rFont val="Arial"/>
        <family val="2"/>
      </rPr>
      <t xml:space="preserve"> IMPOSTOS (I)</t>
    </r>
  </si>
  <si>
    <r>
      <rPr>
        <b/>
        <sz val="12"/>
        <rFont val="Arial"/>
        <family val="2"/>
      </rPr>
      <t xml:space="preserve">6.1. </t>
    </r>
    <r>
      <rPr>
        <sz val="12"/>
        <rFont val="Arial"/>
        <family val="2"/>
      </rPr>
      <t>ISSQN</t>
    </r>
  </si>
  <si>
    <r>
      <rPr>
        <b/>
        <sz val="12"/>
        <rFont val="Arial"/>
        <family val="2"/>
      </rPr>
      <t xml:space="preserve">6.2. </t>
    </r>
    <r>
      <rPr>
        <sz val="12"/>
        <rFont val="Arial"/>
        <family val="2"/>
      </rPr>
      <t>PIS</t>
    </r>
  </si>
  <si>
    <r>
      <rPr>
        <b/>
        <sz val="12"/>
        <rFont val="Arial"/>
        <family val="2"/>
      </rPr>
      <t xml:space="preserve">6.3. </t>
    </r>
    <r>
      <rPr>
        <sz val="12"/>
        <rFont val="Arial"/>
        <family val="2"/>
      </rPr>
      <t>COFINS</t>
    </r>
  </si>
  <si>
    <r>
      <rPr>
        <b/>
        <sz val="12"/>
        <rFont val="Arial"/>
        <family val="2"/>
      </rPr>
      <t xml:space="preserve">6.4. </t>
    </r>
    <r>
      <rPr>
        <sz val="12"/>
        <rFont val="Arial"/>
        <family val="2"/>
      </rPr>
      <t>CPRB</t>
    </r>
  </si>
  <si>
    <t>BDI REFERENCIAL(%)=</t>
  </si>
  <si>
    <t>BDI DIFERENCIADO</t>
  </si>
  <si>
    <t>BDI DIFERENCIADO(%)=</t>
  </si>
  <si>
    <t>COMPOSIÇÃO DO BDI - CONSTRUÇÃO DA CORREGEDORIA E EJUD DO NOVO COMPLEXO JUDICIÁRIO DO PALÁCIO DA JUSTIÇA DO PIAUÍ</t>
  </si>
  <si>
    <r>
      <rPr>
        <sz val="11"/>
        <rFont val="Times New Roman"/>
        <family val="1"/>
      </rPr>
      <t>4.1.4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</si>
  <si>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4.1.5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</si>
  <si>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4.1.6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</si>
  <si>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4.1.7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</si>
  <si>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4.1.8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</si>
  <si>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</si>
  <si>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6.1.3.4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</si>
  <si>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</si>
  <si>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</si>
  <si>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</si>
  <si>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</si>
  <si>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</si>
  <si>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6.1.3.10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</si>
  <si>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4.2.5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</si>
  <si>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4.2.6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</si>
  <si>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4.2.7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</si>
  <si>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4.2.8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</si>
  <si>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4.2.9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</si>
  <si>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4.2.10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</si>
  <si>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4.3.6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</si>
  <si>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4.3.7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</si>
  <si>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4.3.8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</si>
  <si>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6.1.4.5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</si>
  <si>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6.1.5.9</t>
    </r>
    <r>
      <rPr>
        <sz val="11"/>
        <color theme="1"/>
        <rFont val="Calibri"/>
        <family val="2"/>
        <scheme val="minor"/>
      </rPr>
      <t/>
    </r>
  </si>
  <si>
    <t>FORNECIMENTO E INSTALAÇÃO DE FACHADA EM PELE DE VIDRO, EM VIDRO LAMINADO 3+3 REFLETIVO</t>
  </si>
  <si>
    <t xml:space="preserve">CABO DE COBRE FLEXÍVEL ISOLADO, 6 MM², ANTI-CHAMA 0,6/1,0 KV, PARA DISTRIBUIÇÃO - FORNECIMENTO E INSTALAÇÃO. </t>
  </si>
  <si>
    <r>
      <rPr>
        <sz val="11"/>
        <rFont val="Times New Roman"/>
        <family val="1"/>
      </rPr>
      <t>4.3.11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</si>
  <si>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16.4.1.1.2</t>
    </r>
    <r>
      <rPr>
        <sz val="11"/>
        <color theme="1"/>
        <rFont val="Calibri"/>
        <family val="2"/>
        <scheme val="minor"/>
      </rPr>
      <t/>
    </r>
  </si>
  <si>
    <t>CABO DE COBRE PP CORDPLAST 5 X 4.0 MM2, 450/750V</t>
  </si>
  <si>
    <t>AS COMPOSIÇÕES DE CUSTO SÃO SOMENTE AQUELAS QUE NÃO CONSTAM NA TABELA SINAPI, MAS COM OS CUSTOS UNITÁRIOS DO SINAPI, QUANDO HOUVER.</t>
  </si>
  <si>
    <t>ESTRUTURA METÁLICA P/ BRISES, EM PERFIS U DOBRADO DE CHAPA UDC 100X50X3 MM (4.50 KG/M) COMPOSTA DE MONTANTES VERTICAIS CONSTITUÍDOS POR 02 PERFIS UDC SOLDADOS ESPAÇADOS DE 1,40M, 02 PERFIS UDC SIMPLES DISTANCIADOS 1,70M, DENSIDADE DE UDC ATÉ 40KG/M2 (M2)</t>
  </si>
  <si>
    <t>BRISE METÁLICO FIXO E LINEAR EM CHAPA MICROPERFURADA ALUMÍNIO PRÉ-PINTADA. FORNECIMENTO E INSTALAÇÃO. (M²)</t>
  </si>
  <si>
    <t>PORTA CORTA-FOGO 100X210X4CM - FORNECIMENTO E INSTALAÇÃO. (C04) (UN)</t>
  </si>
  <si>
    <r>
      <rPr>
        <sz val="11"/>
        <rFont val="Times New Roman"/>
        <family val="1"/>
      </rPr>
      <t>16.4.1.1.3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</si>
  <si>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16.4.1.1.4</t>
    </r>
    <r>
      <rPr>
        <sz val="11"/>
        <color theme="1"/>
        <rFont val="Calibri"/>
        <family val="2"/>
        <scheme val="minor"/>
      </rPr>
      <t/>
    </r>
  </si>
  <si>
    <t>QUADRO DE DISTRIBUIÇÃO DE ENERGIA EM CHAPA DE AÇO GALVANIZADO, DE EMBUTIR, COM BARRAMENTO TRIFÁSICO, PARA 40 DISJUNTORES DIN 100A - FORNECIMENTO E INSTALAÇÃO</t>
  </si>
  <si>
    <t>MANUTENÇÃO DO CANTEIRO (MÊS)</t>
  </si>
  <si>
    <t>CUSTO ESTIMADO DE ENERGIA ELÉTRICA PARA ALIMENTAÇÃO DO CANTEIRO DE OBRAS</t>
  </si>
  <si>
    <t>CUSTO ESTIMADO DE CONSUMO DE ÁGUA PARA CANTEIRO/OBRA</t>
  </si>
  <si>
    <r>
      <rPr>
        <sz val="11"/>
        <rFont val="Times New Roman"/>
        <family val="1"/>
      </rPr>
      <t>1.1.10</t>
    </r>
    <r>
      <rPr>
        <sz val="11"/>
        <color theme="1"/>
        <rFont val="Calibri"/>
        <family val="2"/>
        <scheme val="minor"/>
      </rPr>
      <t/>
    </r>
  </si>
  <si>
    <t>14.6</t>
  </si>
  <si>
    <t>kg</t>
  </si>
  <si>
    <r>
      <rPr>
        <sz val="11"/>
        <rFont val="Times New Roman"/>
        <family val="1"/>
      </rPr>
      <t>14.6</t>
    </r>
    <r>
      <rPr>
        <sz val="11"/>
        <color theme="1"/>
        <rFont val="Calibri"/>
        <family val="2"/>
        <scheme val="minor"/>
      </rPr>
      <t/>
    </r>
  </si>
  <si>
    <t>PISO TÁTIL DIRECIONAL - ELEMENTOS EM INOX (12 PEÇAS/M)</t>
  </si>
  <si>
    <t>CAIXA SIFONADA, COM TAMPA CEGA, DE 250X230X75MM (UN)</t>
  </si>
  <si>
    <t>43.08.004_5</t>
  </si>
  <si>
    <t>PINTURA COM TINTA ALQUÍDICA DE FUNDO (TIPO ZARCÃO) PULVERIZADA SOBRE SUPERFÍCIES METÁLICAS EXECUTADO EM OBRA (POR DEMÃO)</t>
  </si>
  <si>
    <t xml:space="preserve">APLICAÇÃO E LIXAMENTO DE MASSA LÁTEX EM TETO, DUAS DEMÃOS. </t>
  </si>
  <si>
    <r>
      <rPr>
        <sz val="11"/>
        <rFont val="Times New Roman"/>
        <family val="1"/>
      </rPr>
      <t>17.7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</si>
  <si>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17.8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</si>
  <si>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17.9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</si>
  <si>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17.10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</si>
  <si>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17.11</t>
    </r>
    <r>
      <rPr>
        <sz val="11"/>
        <color theme="1"/>
        <rFont val="Calibri"/>
        <family val="2"/>
        <scheme val="minor"/>
      </rPr>
      <t/>
    </r>
  </si>
  <si>
    <r>
      <rPr>
        <sz val="11"/>
        <rFont val="Times New Roman"/>
        <family val="1"/>
      </rPr>
      <t>17.6</t>
    </r>
    <r>
      <rPr>
        <sz val="11"/>
        <color theme="1"/>
        <rFont val="Calibri"/>
        <family val="2"/>
        <scheme val="minor"/>
      </rPr>
      <t/>
    </r>
  </si>
  <si>
    <t>APLICAÇÃO DE FUNDO SELADOR ACRÍLICO EM TETO, UMA DEMÃO</t>
  </si>
  <si>
    <t>APLICAÇÃO MANUAL DE PINTURA COM TINTA LÁTEX ACRÍLICA EM TETO, DUAS DEMÃOS</t>
  </si>
  <si>
    <t>CUSTO ESTIMADO DE TELEFONIA MÓVEL E TRANSMISSÃO DE DADOS</t>
  </si>
  <si>
    <t>UNIDADE EVAPORADORA TIPO VRV - CASSETE, CAPAC. 3.0 OU 2,5 HP - FORNECIMENTO</t>
  </si>
  <si>
    <t xml:space="preserve">UNID EVAPORADORA VRV TIPO CASSETE 3,0 OU 2,5HP </t>
  </si>
  <si>
    <t>TOTAL CORREGEDORIA SEM B.D.I</t>
  </si>
  <si>
    <t>VALOR CORRESPONDENTE AO B.D.I</t>
  </si>
  <si>
    <t>TOTAL CORREGEDORIA COM B.D.I</t>
  </si>
  <si>
    <t>R$</t>
  </si>
  <si>
    <t>CONCORRÊNCIA Nº 16/2021</t>
  </si>
  <si>
    <t>PROCESSO SEI Nº 21.0.000047249-0</t>
  </si>
  <si>
    <t>DATA - 05/08/2021</t>
  </si>
  <si>
    <t>HORÁRIO - 10:30H ( Dez horas e trinta minutos ).</t>
  </si>
  <si>
    <t>LOCAL - Auditório do Tribunal de Justiça do Piauí</t>
  </si>
  <si>
    <t>TERESINA 05 DE AGOSTO DE 2021</t>
  </si>
  <si>
    <t>VALOR DA CORREGEDORIA</t>
  </si>
  <si>
    <t>VALOR DO EJUD</t>
  </si>
  <si>
    <t>VALOR TOTA DA OBRA</t>
  </si>
  <si>
    <t>TOTAL DA EJUD SEM B.D.I</t>
  </si>
  <si>
    <t>TOTAL DA EJUD COM B.D.I</t>
  </si>
  <si>
    <t>TERESINA,05 DE AGOSTO DE 2021</t>
  </si>
  <si>
    <t>reais e trinta e cinco centavos ).</t>
  </si>
  <si>
    <r>
      <t xml:space="preserve">Importa o presente orçamento no valor total de </t>
    </r>
    <r>
      <rPr>
        <b/>
        <sz val="11"/>
        <color theme="1"/>
        <rFont val="Times New Roman"/>
        <family val="1"/>
      </rPr>
      <t>R$ 16.020.942,35</t>
    </r>
    <r>
      <rPr>
        <sz val="11"/>
        <color theme="1"/>
        <rFont val="Times New Roman"/>
        <family val="1"/>
      </rPr>
      <t xml:space="preserve"> (dezesseis milhões, vinte mil, novecentos e quarenta e dois</t>
    </r>
  </si>
  <si>
    <r>
      <rPr>
        <b/>
        <sz val="11"/>
        <color rgb="FF000000"/>
        <rFont val="Times New Roman"/>
        <family val="1"/>
      </rPr>
      <t>OBJETO</t>
    </r>
    <r>
      <rPr>
        <sz val="10"/>
        <color rgb="FF000000"/>
        <rFont val="Times New Roman"/>
        <family val="1"/>
      </rPr>
      <t xml:space="preserve"> - CONSTRUÇÃO DOS NOVOS PRÉDIOS DA CORREGEDORIA GERAL DA JUSTIÇA E DA ESCOLA JUDICIÁRIA</t>
    </r>
    <r>
      <rPr>
        <b/>
        <u/>
        <sz val="10"/>
        <color theme="4" tint="-0.249977111117893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DO NOVO COMPLEXO JUDICIÁRIO DO PALÁCIO DA JUSTIÇA DO PIAUÍ</t>
    </r>
  </si>
  <si>
    <t>CORREGEDORIA GERAL  DA JUSTIÇA</t>
  </si>
  <si>
    <r>
      <t>CONSTRUÇÃO DOS NOVOS PRÉDIOS DA CORREGEDORIA GERAL DA JUSTIÇA E DA ESCOLA JUDICIÁRIA</t>
    </r>
    <r>
      <rPr>
        <b/>
        <u/>
        <sz val="10"/>
        <color theme="4" tint="-0.249977111117893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DO NOVO COMPLEXO JUDICIÁRIO DO PALÁCIO DA JUSTIÇA DO PIAUÍ</t>
    </r>
  </si>
  <si>
    <t>OBS. OS VALORES ENCONTRADOS SÃO ATRAVEZ DA FÓRMULA</t>
  </si>
  <si>
    <t>Notas:</t>
  </si>
  <si>
    <t>1. Percentuais em conformidade com os valores admitidos para a composição do BDI, conforme Acórdão TCU - Plenário 2622/2013.</t>
  </si>
  <si>
    <t>2. ISS conforme legislação tributária do Município.</t>
  </si>
  <si>
    <t>3. A inserção da CPRB decorre das alterações promovidas pelas Leis 12.844/2013 e 13.043/2014, conforme orientação do Acórdão TCU 2.293/2013 - Plenário. A Lei 13.161/2015, em seu art. 7°, aumenta a contribuição previdenciária sobre receita bruta para 4,5%.</t>
  </si>
  <si>
    <r>
      <rPr>
        <sz val="12"/>
        <color theme="1"/>
        <rFont val="Arial"/>
        <family val="2"/>
      </rPr>
      <t>4.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Aplicação de BDI Diferenciado nos seguintes</t>
    </r>
    <r>
      <rPr>
        <b/>
        <sz val="12"/>
        <color theme="1"/>
        <rFont val="Arial"/>
        <family val="2"/>
      </rPr>
      <t xml:space="preserve"> itens referentes a equipamentos: 16.3.2.1.4 a 16.3.2.1.11 (Corregedoria/EJUD), 16.3.11.1.3.1 (Corregedoria), 16.4.1.3.1 a 16.4.1.3.10 (Corregedoria), 16.4.1.3.1 a 16.4.1.3.8 (EJUD). </t>
    </r>
    <r>
      <rPr>
        <sz val="12"/>
        <color theme="1"/>
        <rFont val="Arial"/>
        <family val="2"/>
      </rPr>
      <t/>
    </r>
  </si>
  <si>
    <t>TRIBUNAL DE JUSTIÇA DO PIAUÍ</t>
  </si>
  <si>
    <t>TRUBUNAL DE JUSTIÇA DO PIAUÍ</t>
  </si>
  <si>
    <t>TAXAS DE ENCARGOS SOCIAIS</t>
  </si>
  <si>
    <t>ENCARGOS SOCIAIS SOBRE A MÃO DE OBRA - SINAPI/PI COM DESONERAÇÃO</t>
  </si>
  <si>
    <t>HORISTA %</t>
  </si>
  <si>
    <t>MENSALISTA %</t>
  </si>
  <si>
    <t>GRUPO A</t>
  </si>
  <si>
    <t>A</t>
  </si>
  <si>
    <t>Total dos Encargos Sociais</t>
  </si>
  <si>
    <t>GRUPO B</t>
  </si>
  <si>
    <t>B</t>
  </si>
  <si>
    <t>Total dos Encargos Sociais que recebem incidências de A</t>
  </si>
  <si>
    <t>GRUPO C</t>
  </si>
  <si>
    <t>C</t>
  </si>
  <si>
    <t>Total dos Encargos Sociais que não recebem incidências globais de A</t>
  </si>
  <si>
    <t>GRUPO D</t>
  </si>
  <si>
    <t>D</t>
  </si>
  <si>
    <t>Total das Taxas incidências e reincidências</t>
  </si>
  <si>
    <t xml:space="preserve">TOTAL (A+B+C+D)               </t>
  </si>
  <si>
    <r>
      <rPr>
        <sz val="10"/>
        <rFont val="Arial MT"/>
        <family val="2"/>
      </rPr>
      <t>A1</t>
    </r>
  </si>
  <si>
    <r>
      <rPr>
        <sz val="10"/>
        <rFont val="Arial MT"/>
        <family val="2"/>
      </rPr>
      <t>INSS</t>
    </r>
  </si>
  <si>
    <r>
      <rPr>
        <sz val="10"/>
        <rFont val="Arial MT"/>
        <family val="2"/>
      </rPr>
      <t>A2</t>
    </r>
  </si>
  <si>
    <r>
      <rPr>
        <sz val="10"/>
        <rFont val="Arial MT"/>
        <family val="2"/>
      </rPr>
      <t>SESI</t>
    </r>
  </si>
  <si>
    <r>
      <rPr>
        <sz val="10"/>
        <rFont val="Arial MT"/>
        <family val="2"/>
      </rPr>
      <t>A3</t>
    </r>
  </si>
  <si>
    <r>
      <rPr>
        <sz val="10"/>
        <rFont val="Arial MT"/>
        <family val="2"/>
      </rPr>
      <t>SENAI</t>
    </r>
  </si>
  <si>
    <r>
      <rPr>
        <sz val="10"/>
        <rFont val="Arial MT"/>
        <family val="2"/>
      </rPr>
      <t>A4</t>
    </r>
  </si>
  <si>
    <r>
      <rPr>
        <sz val="10"/>
        <rFont val="Arial MT"/>
        <family val="2"/>
      </rPr>
      <t>INCRA</t>
    </r>
  </si>
  <si>
    <r>
      <rPr>
        <sz val="10"/>
        <rFont val="Arial MT"/>
        <family val="2"/>
      </rPr>
      <t>A5</t>
    </r>
  </si>
  <si>
    <r>
      <rPr>
        <sz val="10"/>
        <rFont val="Arial MT"/>
        <family val="2"/>
      </rPr>
      <t>SEBRAE</t>
    </r>
  </si>
  <si>
    <r>
      <rPr>
        <sz val="10"/>
        <rFont val="Arial MT"/>
        <family val="2"/>
      </rPr>
      <t>A6</t>
    </r>
  </si>
  <si>
    <r>
      <rPr>
        <sz val="10"/>
        <rFont val="Arial MT"/>
        <family val="2"/>
      </rPr>
      <t>Salário-Educação</t>
    </r>
  </si>
  <si>
    <r>
      <rPr>
        <sz val="10"/>
        <rFont val="Arial MT"/>
        <family val="2"/>
      </rPr>
      <t>A7</t>
    </r>
  </si>
  <si>
    <r>
      <rPr>
        <sz val="10"/>
        <rFont val="Arial MT"/>
        <family val="2"/>
      </rPr>
      <t>Seguro Contra Acidentes de Trabalho</t>
    </r>
  </si>
  <si>
    <r>
      <rPr>
        <sz val="10"/>
        <rFont val="Arial MT"/>
        <family val="2"/>
      </rPr>
      <t>A8</t>
    </r>
  </si>
  <si>
    <r>
      <rPr>
        <sz val="10"/>
        <rFont val="Arial MT"/>
        <family val="2"/>
      </rPr>
      <t>FGTS</t>
    </r>
  </si>
  <si>
    <r>
      <rPr>
        <sz val="10"/>
        <rFont val="Arial MT"/>
        <family val="2"/>
      </rPr>
      <t>A9</t>
    </r>
  </si>
  <si>
    <r>
      <rPr>
        <sz val="10"/>
        <rFont val="Arial MT"/>
        <family val="2"/>
      </rPr>
      <t>SECONCI</t>
    </r>
  </si>
  <si>
    <r>
      <rPr>
        <sz val="10"/>
        <rFont val="Arial MT"/>
        <family val="2"/>
      </rPr>
      <t>B1</t>
    </r>
  </si>
  <si>
    <r>
      <rPr>
        <sz val="10"/>
        <rFont val="Arial MT"/>
        <family val="2"/>
      </rPr>
      <t>Repouso Semanal Remunerado</t>
    </r>
  </si>
  <si>
    <r>
      <rPr>
        <sz val="10"/>
        <rFont val="Arial MT"/>
        <family val="2"/>
      </rPr>
      <t>B2</t>
    </r>
  </si>
  <si>
    <r>
      <rPr>
        <sz val="10"/>
        <rFont val="Arial MT"/>
        <family val="2"/>
      </rPr>
      <t>Feriados</t>
    </r>
  </si>
  <si>
    <r>
      <rPr>
        <sz val="10"/>
        <rFont val="Arial MT"/>
        <family val="2"/>
      </rPr>
      <t>B3</t>
    </r>
  </si>
  <si>
    <r>
      <rPr>
        <sz val="10"/>
        <rFont val="Arial MT"/>
        <family val="2"/>
      </rPr>
      <t>Auxilio - enfermidade</t>
    </r>
  </si>
  <si>
    <r>
      <rPr>
        <sz val="10"/>
        <rFont val="Arial MT"/>
        <family val="2"/>
      </rPr>
      <t>B4</t>
    </r>
  </si>
  <si>
    <r>
      <rPr>
        <sz val="10"/>
        <rFont val="Arial MT"/>
        <family val="2"/>
      </rPr>
      <t>13º salário</t>
    </r>
  </si>
  <si>
    <r>
      <rPr>
        <sz val="10"/>
        <rFont val="Arial MT"/>
        <family val="2"/>
      </rPr>
      <t>B5</t>
    </r>
  </si>
  <si>
    <r>
      <rPr>
        <sz val="10"/>
        <rFont val="Arial MT"/>
        <family val="2"/>
      </rPr>
      <t>Licença Paternidade</t>
    </r>
  </si>
  <si>
    <r>
      <rPr>
        <sz val="10"/>
        <rFont val="Arial MT"/>
        <family val="2"/>
      </rPr>
      <t>B6</t>
    </r>
  </si>
  <si>
    <r>
      <rPr>
        <sz val="10"/>
        <rFont val="Arial MT"/>
        <family val="2"/>
      </rPr>
      <t>Faltas justificadas</t>
    </r>
  </si>
  <si>
    <r>
      <rPr>
        <sz val="10"/>
        <rFont val="Arial MT"/>
        <family val="2"/>
      </rPr>
      <t>B7</t>
    </r>
  </si>
  <si>
    <r>
      <rPr>
        <sz val="10"/>
        <rFont val="Arial MT"/>
        <family val="2"/>
      </rPr>
      <t>Dias de chuva</t>
    </r>
  </si>
  <si>
    <r>
      <rPr>
        <sz val="10"/>
        <rFont val="Arial MT"/>
        <family val="2"/>
      </rPr>
      <t>B8</t>
    </r>
  </si>
  <si>
    <r>
      <rPr>
        <sz val="10"/>
        <rFont val="Arial MT"/>
        <family val="2"/>
      </rPr>
      <t>Auxilio acidete de trabalho</t>
    </r>
  </si>
  <si>
    <r>
      <rPr>
        <sz val="10"/>
        <rFont val="Arial MT"/>
        <family val="2"/>
      </rPr>
      <t>B9</t>
    </r>
  </si>
  <si>
    <r>
      <rPr>
        <sz val="10"/>
        <rFont val="Arial MT"/>
        <family val="2"/>
      </rPr>
      <t>Férias Gozadas</t>
    </r>
  </si>
  <si>
    <r>
      <rPr>
        <sz val="10"/>
        <rFont val="Arial MT"/>
        <family val="2"/>
      </rPr>
      <t>B10</t>
    </r>
  </si>
  <si>
    <r>
      <rPr>
        <sz val="10"/>
        <rFont val="Arial MT"/>
        <family val="2"/>
      </rPr>
      <t>Salário Maternidade</t>
    </r>
  </si>
  <si>
    <r>
      <rPr>
        <sz val="10"/>
        <rFont val="Arial MT"/>
        <family val="2"/>
      </rPr>
      <t>C1</t>
    </r>
  </si>
  <si>
    <r>
      <rPr>
        <sz val="10"/>
        <rFont val="Arial MT"/>
        <family val="2"/>
      </rPr>
      <t>Aviso Prévio Indenizado</t>
    </r>
  </si>
  <si>
    <r>
      <rPr>
        <sz val="10"/>
        <rFont val="Arial MT"/>
        <family val="2"/>
      </rPr>
      <t>C2</t>
    </r>
  </si>
  <si>
    <r>
      <rPr>
        <sz val="10"/>
        <rFont val="Arial MT"/>
        <family val="2"/>
      </rPr>
      <t>Aviso Prévio Trabalhado</t>
    </r>
  </si>
  <si>
    <r>
      <rPr>
        <sz val="10"/>
        <rFont val="Arial MT"/>
        <family val="2"/>
      </rPr>
      <t>C3</t>
    </r>
  </si>
  <si>
    <r>
      <rPr>
        <sz val="10"/>
        <rFont val="Arial MT"/>
        <family val="2"/>
      </rPr>
      <t>Férias Idenizadas</t>
    </r>
  </si>
  <si>
    <r>
      <rPr>
        <sz val="10"/>
        <rFont val="Arial MT"/>
        <family val="2"/>
      </rPr>
      <t>C4</t>
    </r>
  </si>
  <si>
    <r>
      <rPr>
        <sz val="10"/>
        <rFont val="Arial MT"/>
        <family val="2"/>
      </rPr>
      <t>Depósito rescisão sem Justa Causa</t>
    </r>
  </si>
  <si>
    <r>
      <rPr>
        <sz val="10"/>
        <rFont val="Arial MT"/>
        <family val="2"/>
      </rPr>
      <t>C5</t>
    </r>
  </si>
  <si>
    <r>
      <rPr>
        <sz val="10"/>
        <rFont val="Arial MT"/>
        <family val="2"/>
      </rPr>
      <t>Idenização Adicional</t>
    </r>
  </si>
  <si>
    <r>
      <rPr>
        <sz val="10"/>
        <rFont val="Arial MT"/>
        <family val="2"/>
      </rPr>
      <t>D1</t>
    </r>
  </si>
  <si>
    <r>
      <rPr>
        <sz val="10"/>
        <rFont val="Arial MT"/>
        <family val="2"/>
      </rPr>
      <t>Reincidência de Grupo A sobre Grupo B</t>
    </r>
  </si>
  <si>
    <r>
      <rPr>
        <sz val="10"/>
        <rFont val="Arial MT"/>
        <family val="2"/>
      </rPr>
      <t>D2</t>
    </r>
  </si>
  <si>
    <t>Reincidência de Grupo A sobre Aviso Prévio Trabalhado e Reincidência do FGTS sobre Aviso Prévio Indenizado</t>
  </si>
  <si>
    <t>4.3.9</t>
  </si>
  <si>
    <t>16.1.1.2.10</t>
  </si>
  <si>
    <t>16.1.1.2.14</t>
  </si>
  <si>
    <t>16.1.1.2.16</t>
  </si>
  <si>
    <t>5.3</t>
  </si>
  <si>
    <t>5.4</t>
  </si>
  <si>
    <t>PAPELEIRA DE PAREDE EM METAL CROMADO SEM
TAMPA, INCLUSO FIXAÇÃO. AF_01/2020</t>
  </si>
  <si>
    <t>16.2.1.2.1</t>
  </si>
  <si>
    <t>16.3.2.1.11</t>
  </si>
  <si>
    <t>16.3.2.3.3</t>
  </si>
  <si>
    <t>CABO TELEFÔNICO CI-50 50 PARES INSTALADO EM
ENTRADA DE EDIFICAÇÃO - FORNECIMENTO E
INSTALAÇÃO. AF_11/2019</t>
  </si>
  <si>
    <t>16.3.9.1.6</t>
  </si>
  <si>
    <t>16.3.9.1.7</t>
  </si>
  <si>
    <t>TERMINAL A COMPRESSAO EM COBRE ESTANHADO PARA
CABO 2,5 MM2, 1 FURO E 1 COMPRESSAO, PARA PARAFUSO
DE FIXACAO M5</t>
  </si>
  <si>
    <t>16.3.9.1.8</t>
  </si>
  <si>
    <t>16.3.9.1.9</t>
  </si>
  <si>
    <t>TERMINAL A COMPRESSAO EM COBRE ESTANHADO PARA
CABO 25 MM2, 1 FURO E 1 COMPRESSAO, PARA PARAFUSO
DE FIXACAO M8</t>
  </si>
  <si>
    <t>16.3.9.1.10</t>
  </si>
  <si>
    <t>TERMINAL A COMPRESSAO EM COBRE ESTANHADO PARA
CABO 50 MM2, 1 FURO E 1 COMPRESSAO, PARA PARAFUSO
DE FIXACAO M8</t>
  </si>
  <si>
    <t>16.3.9.2.6</t>
  </si>
  <si>
    <t>16.3.9.2.7</t>
  </si>
  <si>
    <t>16.3.9.2.8</t>
  </si>
  <si>
    <t>16.3.9.2.9</t>
  </si>
  <si>
    <t>16.3.9.2.10</t>
  </si>
  <si>
    <t>16.3.9.3.6</t>
  </si>
  <si>
    <t>16.3.9.3.7</t>
  </si>
  <si>
    <t>16.3.9.3.8</t>
  </si>
  <si>
    <t>16.3.9.3.9</t>
  </si>
  <si>
    <t>TERMINAL A COMPRESSAO EM COBRE ESTANHADO PARA
CABO 16 MM2, 1 FURO E 1 COMPRESSAO, PARA PARAFUSO
DE FIXACAO M6</t>
  </si>
  <si>
    <t>16.3.9.3.10</t>
  </si>
  <si>
    <t>16.3.9.4.7</t>
  </si>
  <si>
    <t>16.3.9.4.8</t>
  </si>
  <si>
    <t>16.3.9.4.9</t>
  </si>
  <si>
    <t>16.3.9.4.10</t>
  </si>
  <si>
    <t>16.3.9.4.11</t>
  </si>
  <si>
    <t>16.3.9.5.1</t>
  </si>
  <si>
    <t>16.3.9.5.7</t>
  </si>
  <si>
    <t>16.3.9.5.8</t>
  </si>
  <si>
    <t>16.3.9.5.9</t>
  </si>
  <si>
    <t>16.3.9.5.10</t>
  </si>
  <si>
    <t>16.3.9.5.11</t>
  </si>
  <si>
    <t>16.3.9.5.12</t>
  </si>
  <si>
    <t>16.3.9.5.13</t>
  </si>
  <si>
    <t>16.3.9.6.1</t>
  </si>
  <si>
    <t>16.3.9.6.4</t>
  </si>
  <si>
    <t>16.3.9.6.6</t>
  </si>
  <si>
    <t>16.3.9.6.7</t>
  </si>
  <si>
    <t>16.3.9.6.8</t>
  </si>
  <si>
    <t>16.3.9.6.9</t>
  </si>
  <si>
    <t>16.3.9.6.10</t>
  </si>
  <si>
    <t>16.3.9.7.1</t>
  </si>
  <si>
    <t>16.3.9.7.7</t>
  </si>
  <si>
    <t>16.3.9.7.8</t>
  </si>
  <si>
    <t>16.3.9.7.9</t>
  </si>
  <si>
    <t>16.3.9.7.10</t>
  </si>
  <si>
    <t>16.3.9.8.1</t>
  </si>
  <si>
    <t>16.3.9.8.12</t>
  </si>
  <si>
    <t>16.3.9.9.2</t>
  </si>
  <si>
    <t>16.3.9.9.8</t>
  </si>
  <si>
    <t>16.3.9.9.9</t>
  </si>
  <si>
    <t>16.3.9.9.10</t>
  </si>
  <si>
    <t>16.3.9.10.2</t>
  </si>
  <si>
    <t>16.3.9.10.8</t>
  </si>
  <si>
    <t>16.3.9.10.9</t>
  </si>
  <si>
    <t>16.3.9.10.10</t>
  </si>
  <si>
    <t>16.3.9.11.1</t>
  </si>
  <si>
    <t>16.3.9.11.3</t>
  </si>
  <si>
    <t>16.3.9.11.4</t>
  </si>
  <si>
    <t>16.3.9.12.1</t>
  </si>
  <si>
    <t>16.3.9.12.4</t>
  </si>
  <si>
    <t>16.3.9.12.5</t>
  </si>
  <si>
    <t>16.3.9.13.1</t>
  </si>
  <si>
    <t>16.3.9.13.3</t>
  </si>
  <si>
    <t>16.3.9.13.4</t>
  </si>
  <si>
    <t>TERMINAL A COMPRESSAO EM COBRE ESTANHADO PARA
CABO 70 MM2, 1 FURO E 1 COMPRESSAO, PARA PARAFUSO
DE FIXACAO M10</t>
  </si>
  <si>
    <t>16.3.9.14.3</t>
  </si>
  <si>
    <t>16.3.9.14.4</t>
  </si>
  <si>
    <t>1.1.7</t>
  </si>
  <si>
    <t>ALMOXARIFE COM ENCARGOS COMPLEMENTARES</t>
  </si>
  <si>
    <t>4.3.10</t>
  </si>
  <si>
    <t>PISO TÁTIL DIRECIONAL - ELEMENTOS EM INOX (12
PEÇAS/M)</t>
  </si>
  <si>
    <t>16.3.1.4.1</t>
  </si>
  <si>
    <t>CAIXA ENTERRADA ELÉTRICA RETANGULAR, EM
CONCRETO PRÉ-MOLDADO, FUNDO COM BRITA,
DIMENSÕES INTERNAS: 0,8X0,8X0,5 M. AF_12/2020</t>
  </si>
  <si>
    <t>16.3.1.4.2</t>
  </si>
  <si>
    <t>CAIXA ENTERRADA ELÉTRICA RETANGULAR, EM
CONCRETO PRÉ-MOLDADO, FUNDO COM BRITA,
DIMENSÕES INTERNAS: 0,6X0,6X0,5 M. AF_12/2020</t>
  </si>
  <si>
    <t>16.3.1.4.3</t>
  </si>
  <si>
    <t>CAIXA ENTERRADA ELÉTRICA RETANGULAR, EM
CONCRETO PRÉ-MOLDADO, FUNDO COM BRITA,
DIMENSÕES INTERNAS: 0,3X0,3X0,3 M. AF_12/2020</t>
  </si>
  <si>
    <t>16.3.2.2.33</t>
  </si>
  <si>
    <t>16.3.2.2.34</t>
  </si>
  <si>
    <t>16.3.2.2.35</t>
  </si>
  <si>
    <t>16.3.2.2.36</t>
  </si>
  <si>
    <t>16.3.2.5.6</t>
  </si>
  <si>
    <t>16.3.2.5.7</t>
  </si>
  <si>
    <t>16.3.7.6.10</t>
  </si>
  <si>
    <t>16.3.8.1.3</t>
  </si>
  <si>
    <t>16.3.8.1.5</t>
  </si>
  <si>
    <t>16.3.8.1.6</t>
  </si>
  <si>
    <t>16.3.8.1.7</t>
  </si>
  <si>
    <t>16.3.8.2.5</t>
  </si>
  <si>
    <t>16.3.8.2.6</t>
  </si>
  <si>
    <t>16.3.8.2.7</t>
  </si>
  <si>
    <t>16.3.8.4.1</t>
  </si>
  <si>
    <t>16.3.8.4.7</t>
  </si>
  <si>
    <t>16.3.8.4.8</t>
  </si>
  <si>
    <t>16.3.8.4.9</t>
  </si>
  <si>
    <t>16.3.8.4.10</t>
  </si>
  <si>
    <t>16.3.8.5.1</t>
  </si>
  <si>
    <t>16.3.8.5.8</t>
  </si>
  <si>
    <t>16.3.8.5.9</t>
  </si>
  <si>
    <t>16.3.8.5.10</t>
  </si>
  <si>
    <t>16.3.8.5.11</t>
  </si>
  <si>
    <t>16.3.8.6.1</t>
  </si>
  <si>
    <t>16.3.8.6.5</t>
  </si>
  <si>
    <t>16.3.8.6.6</t>
  </si>
  <si>
    <t>16.3.8.6.7</t>
  </si>
  <si>
    <t>16.3.8.6.8</t>
  </si>
  <si>
    <t>16.3.8.6.9</t>
  </si>
  <si>
    <t>16.3.8.6.10</t>
  </si>
  <si>
    <t>16.3.8.7.6</t>
  </si>
  <si>
    <t>16.3.8.7.7</t>
  </si>
  <si>
    <t>16.3.8.7.8</t>
  </si>
  <si>
    <t>16.3.8.7.9</t>
  </si>
  <si>
    <t>16.3.8.7.10</t>
  </si>
  <si>
    <t>16.3.8.7.11</t>
  </si>
  <si>
    <t>16.3.8.8.1</t>
  </si>
  <si>
    <t>16.3.8.8.4</t>
  </si>
  <si>
    <t>16.3.8.8.5</t>
  </si>
  <si>
    <t>16.3.8.8.6</t>
  </si>
  <si>
    <t>16.3.8.8.7</t>
  </si>
  <si>
    <t>16.3.8.8.8</t>
  </si>
  <si>
    <t>16.3.8.8.9</t>
  </si>
  <si>
    <t>16.3.8.8.10</t>
  </si>
  <si>
    <t>16.3.8.8.11</t>
  </si>
  <si>
    <t>16.3.8.8.12</t>
  </si>
  <si>
    <t>16.3.8.8.13</t>
  </si>
  <si>
    <t>TERMINAL A COMPRESSAO EM COBRE ESTANHADO PARA
CABO 120 MM2, 1 FURO E 1 COMPRESSAO, PARA
PARAFUSO DE FIXACAO M12</t>
  </si>
  <si>
    <t>16.3.8.9.1</t>
  </si>
  <si>
    <t>16.3.8.9.5</t>
  </si>
  <si>
    <t>16.3.8.9.6</t>
  </si>
  <si>
    <t>16.3.8.9.7</t>
  </si>
  <si>
    <t>16.3.8.9.8</t>
  </si>
  <si>
    <t>16.3.8.9.9</t>
  </si>
  <si>
    <t>16.3.8.9.10</t>
  </si>
  <si>
    <t>16.3.8.9.11</t>
  </si>
  <si>
    <t>16.3.8.9.12</t>
  </si>
  <si>
    <t>16.3.8.9.13</t>
  </si>
  <si>
    <t>16.3.8.10.1</t>
  </si>
  <si>
    <t>16.3.8.10.7</t>
  </si>
  <si>
    <t>16.3.8.10.8</t>
  </si>
  <si>
    <t>16.3.8.10.9</t>
  </si>
  <si>
    <t>16.3.8.10.10</t>
  </si>
  <si>
    <t>16.3.8.11.1</t>
  </si>
  <si>
    <t>16.3.8.11.7</t>
  </si>
  <si>
    <t>16.3.8.11.8</t>
  </si>
  <si>
    <t>16.3.8.11.9</t>
  </si>
  <si>
    <t>16.3.8.11.10</t>
  </si>
  <si>
    <t>16.3.8.12.1</t>
  </si>
  <si>
    <t>16.3.8.12.12</t>
  </si>
  <si>
    <t>16.3.8.13.1</t>
  </si>
  <si>
    <t>16.3.8.13.3</t>
  </si>
  <si>
    <t>16.3.8.13.4</t>
  </si>
  <si>
    <t>16.3.8.14.1</t>
  </si>
  <si>
    <t>16.3.8.14.3</t>
  </si>
  <si>
    <t>16.3.8.14.4</t>
  </si>
  <si>
    <t>16.3.8.15.1</t>
  </si>
  <si>
    <t>16.3.8.15.3</t>
  </si>
  <si>
    <t>16.3.8.15.4</t>
  </si>
  <si>
    <t>16.3.8.16.1</t>
  </si>
  <si>
    <t>16.3.8.16.3</t>
  </si>
  <si>
    <t>16.3.8.16.4</t>
  </si>
  <si>
    <t>16.3.8.17.1</t>
  </si>
  <si>
    <t>16.3.8.17.5</t>
  </si>
  <si>
    <t>16.3.8.17.6</t>
  </si>
  <si>
    <t>16.3.8.17.7</t>
  </si>
  <si>
    <t>16.3.8.18.1</t>
  </si>
  <si>
    <t>16.3.8.18.4</t>
  </si>
  <si>
    <t>16.3.8.18.5</t>
  </si>
  <si>
    <t>16.3.8.18.6</t>
  </si>
  <si>
    <t>16.3.8.19.2</t>
  </si>
  <si>
    <t>16.3.8.19.8</t>
  </si>
  <si>
    <t>16.3.8.19.9</t>
  </si>
  <si>
    <t>16.3.8.19.10</t>
  </si>
  <si>
    <t>16.3.8.20.2</t>
  </si>
  <si>
    <t>16.3.8.20.8</t>
  </si>
  <si>
    <t>16.3.8.20.9</t>
  </si>
  <si>
    <t>16.3.8.20.10</t>
  </si>
  <si>
    <t>16.3.10.1.4</t>
  </si>
  <si>
    <t>BASE METÁLICA PARA MASTRO 1 ½ PARA SPDA -
FORNECIMENTO E INSTALAÇÃO. AF_12/2017</t>
  </si>
  <si>
    <t>16.3.10.1.5</t>
  </si>
  <si>
    <t>MASTRO 1 ½ PARA SPDA - FORNECIMENTO E
INSTALAÇÃO. AF_12/2017</t>
  </si>
  <si>
    <t>16.3.10.3.2</t>
  </si>
  <si>
    <t>16.4.1.4.3</t>
  </si>
  <si>
    <t>CONCRETAGEM DE RADIER, PISO OU LAJE SOBRE SOLO, FCK 30 MPA, PARA ESPESSURA DE 10 CM - LANÇAMENTO, ADENSAMENTO E ACABAMENTO. AF_09/2017</t>
  </si>
  <si>
    <t>PAREDE COM PLACAS DE GESSO ACARTONADO
(DRYWALL), PARA USO INTERNO, COM UMA FACE SIMPLES E OUTRA FACE DUPLA E ESTRUTURA METÁLICA COM GUIAS SIMPLES, COM VÃOS. AF_06/2017_P</t>
  </si>
  <si>
    <t>ABRIGO PARA HIDRANTE, 90X60X17CM, COM REGISTRO GLOBO ANGULAR 45 GRAUS 2 1/2", ADAPTADOR STORZ 2 1/2", MANGUEIRA DE INCÊNDIO 20M, REDUÇÃO 2 1/2" X 1 1/2" E ESGUICHO EM LATÃO 1 1/2" - FORNECIMENTO E INSTALAÇÃO. AF_10/2020</t>
  </si>
  <si>
    <t>ELETRODUTO FLEXÍVEL CORRUGADO, PEAD, DN 50 (1 ½ ) - FORNECIMENTO E INSTALAÇÃO. AF_04/2016</t>
  </si>
  <si>
    <t>ELETRODUTO FLEXÍVEL CORRUGADO, PEAD, DN 63 (2") - FORNECIMENTO E INSTALAÇÃO. AF_04/2016</t>
  </si>
  <si>
    <t>ELETRODUTO FLEXÍVEL CORRUGADO, PEAD, DN 90 (3 ) - FORNECIMENTO E INSTALAÇÃO. AF_04/2016</t>
  </si>
  <si>
    <t>ELETRODUTO FLEXÍVEL CORRUGADO, PEAD, DN 100 (4 ) - FORNECIMENTO E INSTALAÇÃO. AF_04/2016</t>
  </si>
  <si>
    <t>NOBREAK TRIFASICO, DE 20 KVA FATOR DE POTENCIA DE 0,8, AUTONOMIA MINIMA DE 30 MINUTOS A PLENA CARGA</t>
  </si>
  <si>
    <t>DISJUNTOR BAIXA TENSÃO TRIPOLAR A SECO 800A/600V - FORNECIMENTO E INSTALAÇÃO. AF_10/2020</t>
  </si>
  <si>
    <t>TERMINAL METALICO A PRESSAO PARA 1 CABO DE 240 MM2, COM 1 FURO DE FIXACAO</t>
  </si>
  <si>
    <t>TERMINAL A COMPRESSAO EM COBRE ESTANHADO PARA CABO 50 MM2, 1 FURO E 1 COMPRESSAO, PARA PARAFUSO DE FIXACAO M8</t>
  </si>
  <si>
    <t>TERMINAL A COMPRESSAO EM COBRE ESTANHADO PARA CABO 35 MM2, 1 FURO E 1 COMPRESSAO, PARA PARAFUSO DE FIXACAO M8</t>
  </si>
  <si>
    <t>TERMINAL METALICO A PRESSAO PARA 1 CABO DE 120 MM2, COM 1 FURO DE FIXACAO</t>
  </si>
  <si>
    <t>TERMINAL METALICO A PRESSAO PARA 1 CABO DE 16 MM2, COM 1 FURO DE FIXACAO</t>
  </si>
  <si>
    <t>QUADRO DE DISTRIBUIÇÃO DE ENERGIA EM CHAPA DE AÇO GALVANIZADO, DE EMBUTIR, COM BARRAMENTO TRIFÁSICO, PARA 40 DISJUNTORES DIN 100A - FORNECIMENTO E INSTALAÇÃO. AF_10/2020</t>
  </si>
  <si>
    <t>TERMINAL A COMPRESSAO EM COBRE ESTANHADO PARA CABO 2,5 MM2, 1 FURO E 1 COMPRESSAO, PARA PARAFUSO DE FIXACAO M5</t>
  </si>
  <si>
    <t>TERMINAL A COMPRESSAO EM COBRE ESTANHADO PARA CABO 6 MM2, 1 FURO E 1 COMPRESSAO, PARA PARAFUSO DE FIXACAO M6</t>
  </si>
  <si>
    <t>DISJUNTOR TERMOMAGNÉTICO TRIPOLAR , CORRENTE NOMINAL DE 125A - FORNECIMENTO E INSTALAÇÃO. AF_10/2020</t>
  </si>
  <si>
    <t>TERMINAL A COMPRESSAO EM COBRE ESTANHADO PARA CABO 4 MM2, 1 FURO E 1 COMPRESSAO, PARA PARAFUSO DE FIXACAO M5</t>
  </si>
  <si>
    <t>TERMINAL A COMPRESSAO EM COBRE ESTANHADO PARA CABO 70 MM2, 1 FURO E 1 COMPRESSAO, PARA PARAFUSO DE FIXACAO M10</t>
  </si>
  <si>
    <t>DISJUNTOR TERMOMAGNÉTICO TRIPOLAR , CORRENTE NOMINAL DE 200A - FORNECIMENTO E INSTALAÇÃO. AF_10/2020</t>
  </si>
  <si>
    <t>TERMINAL A COMPRESSAO EM COBRE ESTANHADO PARA CABO 95 MM2, 1 FURO E 1 COMPRESSAO, PARA PARAFUSO DE FIXACAO M12</t>
  </si>
  <si>
    <t>QUADRO DE DISTRIBUIÇÃO DE ENERGIA EM CHAPA DE AÇO GALVANIZADO, DE SOBREPOR, COM BARRAMENTO TRIFÁSICO, PARA 18 DISJUNTORES DIN 100A - FORNECIMENTO E INSTALAÇÃO. AF_10/2020</t>
  </si>
  <si>
    <t>TERMINAL A COMPRESSAO EM COBRE ESTANHADO PARA CABO 16 MM2, 1 FURO E 1 COMPRESSAO, PARA PARAFUSO DE FIXACAO M6</t>
  </si>
  <si>
    <t>TERMINAL A COMPRESSAO EM COBRE ESTANHADO PARA CABO 25 MM2, 1 FURO E 1 COMPRESSAO, PARA PARAFUSO DE FIXACAO M8</t>
  </si>
  <si>
    <t>TERMINAL A COMPRESSAO EM COBRE ESTANHADO PARA CABO 120 MM2, 1 FURO E 1 COMPRESSAO, PARA
PARAFUSO DE FIXACAO M12</t>
  </si>
  <si>
    <t>TERMINAL A COMPRESSAO EM COBRE ESTANHADO PARA CABO 10 MM2, 1 FURO E 1 COMPRESSAO, PARA PARAFUSO DE FIXACAO M6</t>
  </si>
  <si>
    <t>QUADRO DE DISTRIBUIÇÃO DE ENERGIA EM CHAPA DE AÇO GALVANIZADO, DE EMBUTIR, COM BARRAMENTO TRIFÁSICO, PARA 12 DISJUNTORES DIN 100A - FORNECIMENTO E INSTALAÇÃO. AF_10/2020</t>
  </si>
  <si>
    <t>QUADRO DE DISTRIBUIÇÃO DE ENERGIA EM CHAPA DE AÇO GALVANIZADO, DE EMBUTIR, COM BARRAMENTO TRIFÁSICO, PARA 24 DISJUNTORES DIN 100A - FORNECIMENTO E INSTALAÇÃO. AF_10/2020</t>
  </si>
  <si>
    <t>DISJUNTOR TRIPOLAR TIPO DIN, CORRENTE NOMINAL DE 20A - FORNECIMENTO E INSTALAÇÃO. AF_10/2020</t>
  </si>
  <si>
    <t>CORDOALHA DE COBRE NU 50 MM², ENTERRADA, SEM ISOLADOR - FORNECIMENTO E INSTALAÇÃO. AF 12/2017</t>
  </si>
  <si>
    <t>PAREDE COM PLACAS DE GESSO ACARTONADO
(DRYWALL), PARA USO INTERNO, COM DUAS FACES
SIMPLES E ESTRUTURA METÁLICA COM GUIAS SIMPLES, COM VÃOS AF_06/2017_P</t>
  </si>
  <si>
    <t>MICTÓRIO SIFONADO LOUÇA BRANCA PADRÃO MÉDIO FORNECIMENTO E INSTALAÇÃO. AF_01/2020</t>
  </si>
  <si>
    <t>CAIXA D'AGUA FIBRA DE VIDRO PARA 5000 LITROS, COM TAMPA</t>
  </si>
  <si>
    <t>DISJUNTOR TRIPOLAR TIPO DIN, CORRENTE NOMINAL DE 50A - FORNECIMENTO E INSTALAÇÃO. AF_10/2020</t>
  </si>
  <si>
    <t>QUADRO DE DISTRIBUIÇÃO DE ENERGIA EM CHAPA DE AÇO GALVANIZADO, DE EMBUTIR, COM BARRAMENTO TRIFÁSICO, PARA 30 DISJUNTORES DIN 225A - FORNECIMENTO E INSTALAÇÃO. AF_10/2020</t>
  </si>
  <si>
    <t>TERMINAL A COMPRESSAO EM COBRE ESTANHADO PARA CABO 25 MM2, 1 FURO E 1 COMPRESSAO, PARA PARAFUSO</t>
  </si>
  <si>
    <t>CAIXA DE INSPEÇÃO PARA ATERRAMENTO, CIRCULAR, EM POLIETILENO, DIÂMETRO INTERNO = 0,3 M. AF_12/2020</t>
  </si>
  <si>
    <t>CORDOALHA DE COBRE NU 50 MM², ENTERRADA, SEM ISOLADOR - FORNECIMENTO E INSTALAÇÃO. AF_12/2017</t>
  </si>
  <si>
    <t>PREÇO UNIT. ATUAL</t>
  </si>
  <si>
    <t>COMPOSIÇÃO DE CUSTOS DA CURVA AB</t>
  </si>
  <si>
    <t>TOTAL ATUALIZADO</t>
  </si>
  <si>
    <t>ELETROTECNICO COM ENCARGOS COMPLEMENTARES</t>
  </si>
  <si>
    <t>CABO DE COBRE, FLEXIVEL, CLASSE 4 OU 5, ISOLACAO EM PVC/A, ANTICHAMA BWF-B, 1 CONDUTOR, 450/750 V, SECAO NOMINAL 2,5 MM2</t>
  </si>
  <si>
    <t>FITA ISOLANTE ADESIVA ANTICHAMA, USO ATE 750 V, EM ROLO DE 19 MM X 5 M</t>
  </si>
  <si>
    <t>CABO DE COBRE FLEXÍVEL ISOLADO, 2,5 MM², ANTI-CHAMA 450/750 V, PARA CIRCUITOS TERMINAIS - FORNECIMENTO E INSTALAÇÃO</t>
  </si>
  <si>
    <t>CABO DE COBRE, FLEXIVEL, CLASSE 4 OU 5, ISOLACAO EM PVC/A, ANTICHAMA BWF-B, 1 CONDUTOR, 450/750 V, SECAO NOMINAL 4,0 MM2</t>
  </si>
  <si>
    <t>CABO DE COBRE FLEXÍVEL ISOLADO, 4,0 MM², ANTI-CHAMA 450/750 V, PARA CIRCUITOS TERMINAIS - FORNECIMENTO E INSTALAÇÃO</t>
  </si>
  <si>
    <t>CABO DE COBRE FLEXÍVEL ISOLADO, 4,0 MM², ANTI-CHAMA 0,6/1,0 KV, PARA CIRCUITOS TERMINAIS - FORNECIMENTO E INSTALAÇÃO</t>
  </si>
  <si>
    <t>CABO DE COBRE, FLEXIVEL, CLASSE 4 OU 5, ISOLACAO EM PVC/A, ANTICHAMA BWF-B, 1 CONDUTOR, 0,6/1,0 KV, SECAO NOMINAL 4,0 MM2</t>
  </si>
  <si>
    <t>CABO DE COBRE, FLEXIVEL, CLASSE 4 OU 5, ISOLACAO EM PVC/A, ANTICHAMA BWF-B, COBERTURA PVC-ST1, ANTICHAMA BWF-B, 1 CONDUTOR, 0,6/1 KV, SECAO NOMINAL 16 MM2</t>
  </si>
  <si>
    <t>CABO DE COBRE, FLEXIVEL, CLASSE 4 OU 5, ISOLACAO EM PVC/A, ANTICHAMA BWF-B, COBERTURA PVC-ST1, ANTICHAMA BWF-B, 1 CONDUTOR, 0,6/1 KV, SECAO NOMINAL 25 MM2</t>
  </si>
  <si>
    <t>CABO DE COBRE, FLEXIVEL, CLASSE 4 OU 5, ISOLACAO EM PVC/A, ANTICHAMA BWF-B, COBERTURA PVC-ST1, ANTICHAMA BWF-B, 1 CONDUTOR, 0,6/1 KV, SECAO NOMINAL 35 MM2</t>
  </si>
  <si>
    <t>CABO DE COBRE, FLEXIVEL, CLASSE 4 OU 5, ISOLACAO EM PVC/A, ANTICHAMA BWF-B, COBERTURA PVC-ST1, ANTICHAMA BWF-B, 1 CONDUTOR, 0,6/1 KV, SECAO NOMINAL 50 MM2</t>
  </si>
  <si>
    <t>CABO DE COBRE, FLEXIVEL, CLASSE 4 OU 5, ISOLACAO EM PVC/A, ANTICHAMA BWF-B, COBERTURA PVC-ST1, ANTICHAMA BWF-B, 1 CONDUTOR, 0,6/1 KV, SECAO NOMINAL 70 MM2</t>
  </si>
  <si>
    <t>CABO DE COBRE, FLEXIVEL, CLASSE 4 OU 5, ISOLACAO EM PVC/A, ANTICHAMA BWF-B, COBERTURA PVC-ST1, ANTICHAMA BWF-B, 1 CONDUTOR, 0,6/1 KV, SECAO NOMINAL 95 MM2</t>
  </si>
  <si>
    <t>CABO DE COBRE, FLEXIVEL, CLASSE 4 OU 5, ISOLACAO EM PVC/A, ANTICHAMA BWF-B, COBERTURA PVC-ST1, ANTICHAMA BWF-B, 1 CONDUTOR, 0,6/1 KV, SECAO NOMINAL 120 MM2</t>
  </si>
  <si>
    <t>CABO DE COBRE, FLEXIVEL, CLASSE 4 OU 5, ISOLACAO EM PVC/A, ANTICHAMA BWF-B, COBERTURA PVC-ST1, ANTICHAMA BWF-B, 1 CONDUTOR, 0,6/1 KV, SECAO NOMINAL 240 MM2</t>
  </si>
  <si>
    <t>CABO DE PAR TRANCADO UTP, 4 PARES, CATEGORIA 6</t>
  </si>
  <si>
    <t>CABO TELEFONICO CI 50, 50 PARES, USO INTERNO</t>
  </si>
  <si>
    <t>CABO DE COBRE NU 35 MM2 MEIO-DURO</t>
  </si>
  <si>
    <t>SUPORTE ISOLADOR PARA CORDOALHA DE COBRE - FORNECIMENTO E INSTALAÇÃO</t>
  </si>
  <si>
    <t>UNIDADE EVAPORADORA TIPO VRV - PAREDE, CAPAC. 1,5 HP - FORNECIMENTO</t>
  </si>
  <si>
    <t xml:space="preserve">UNID EVAPORADORA VRV TIPO PAREDE 1,5HP
</t>
  </si>
  <si>
    <t>ESPACADOR / DISTANCIADOR CIRCULAR COM ENTRADA LATERAL, EM PLASTICO, PARA VERGALHAO *4,2 A 12,5* MM, COBRIMENTO 20 MM</t>
  </si>
  <si>
    <t>ARAME RECOZIDO 16 BWG, D = 1,65 MM (0,016 KG/M) OU 18 BWG, D = 1,25 MM 01 KG/M)</t>
  </si>
  <si>
    <t>CORTE E DOBRA DE AÇO CA-50, DIÂMETRO DE 6,3 MM, UTILIZADO EM ESTRUTURAS DIVERSAS, EXCETO LAJES. AF_12/2015</t>
  </si>
  <si>
    <t>CORTE E DOBRA DE AÇO CA-50, DIÂMETRO DE 12,5 MM, UTILIZADO EM ESTRUTURAS DIVERSAS, EXCETO LAJES. AF_12/2015</t>
  </si>
  <si>
    <t>CORTE E DOBRA DE AÇO CA-50, DIÂMETRO DE 16 MM, UTILIZADO EM ESTRUTURAS DIVERSAS, EXCETO LAJES. AF_12/2015</t>
  </si>
  <si>
    <t>CORTE E DOBRA DE AÇO CA-50, DIÂMETRO DE 10,0 MM, UTILIZADO EM ESTRUTURAS DIVERSAS, EXCETO LAJES. AF_12/2015</t>
  </si>
  <si>
    <t>CORTE E DOBRA DE AÇO CA-50, DIÂMETRO DE 20,0 MM, UTILIZADO EM ESTRUTURAS DIVERSAS, EXCETO LAJES. AF_12/2015</t>
  </si>
  <si>
    <t>370</t>
  </si>
  <si>
    <t>1379</t>
  </si>
  <si>
    <t>4721</t>
  </si>
  <si>
    <t>88316</t>
  </si>
  <si>
    <t>88377</t>
  </si>
  <si>
    <t>88830</t>
  </si>
  <si>
    <t>88831</t>
  </si>
  <si>
    <t>PEDRA BRITADA N. 1 (9,5 a 19 MM) POSTO PEDREIRA/FORNECEDOR, SEM FRETE</t>
  </si>
  <si>
    <t>OPERADOR DE BETONEIRA ESTACIONÁRIA/MISTURADOR COM ENCARGOS COMPLEMENTARES</t>
  </si>
  <si>
    <t>BETONEIRA CAPACIDADE NOMINAL DE 400 L, CAPACIDADE DE MISTURA 280 L, MOTOR ELÉTRICO TRIFÁSICO POTÊNCIA DE 2 CV, SEM CARREGADOR - CHP DIURNO. AF_10/2014</t>
  </si>
  <si>
    <t>BETONEIRA CAPACIDADE NOMINAL DE 400 L, CAPACIDADE DE MISTURA 280 L, MOTOR ELÉTRICO TRIFÁSICO POTÊNCIA DE 2 CV, SEM CARREGADOR - CHI DIURNO. AF_10/2014</t>
  </si>
  <si>
    <t>7267</t>
  </si>
  <si>
    <t>34557</t>
  </si>
  <si>
    <t>37395</t>
  </si>
  <si>
    <t>88309</t>
  </si>
  <si>
    <t>BLOCO CERAMICO VAZADO PARA ALVENARIA DE VEDACAO, 6 FUROS, DE 9 X 14 X 19 CM (L X A X C)</t>
  </si>
  <si>
    <t>TELA DE ACO SOLDADA GALVANIZADA/ZINCADA PARA ALVENARIA, FIO D = *1,20 A 1,70* MM, MALHA 15 X 15 MM, (C X L) *50 X 7,5* CM</t>
  </si>
  <si>
    <t>PINO DE ACO COM FURO, HASTE = 27 MM (ACAO DIRETA)</t>
  </si>
  <si>
    <t>ARGAMASSA TRAÇO 1:2:8 (EM VOLUME DE CIMENTO, CAL E AREIA MÉDIA ÚMIDA) PARA EMBOÇO/MASSA ÚNICA/ASSENTAMENTO DE ALVENARIA DE VEDAÇÃO, PREPARO MANUAL. AF_08/2019</t>
  </si>
  <si>
    <t>CENTO</t>
  </si>
  <si>
    <t>37586</t>
  </si>
  <si>
    <t>39413</t>
  </si>
  <si>
    <t>39419</t>
  </si>
  <si>
    <t>39422</t>
  </si>
  <si>
    <t>39431</t>
  </si>
  <si>
    <t>39432</t>
  </si>
  <si>
    <t>39434</t>
  </si>
  <si>
    <t>39435</t>
  </si>
  <si>
    <t>39437</t>
  </si>
  <si>
    <t>39443</t>
  </si>
  <si>
    <t>88278</t>
  </si>
  <si>
    <t>PINO DE ACO COM ARRUELA CONICA, DIAMETRO ARRUELA = *23* MM E COMP HASTE = *27* MM (ACAO INDIRETA)</t>
  </si>
  <si>
    <t>PLACA / CHAPA DE GESSO ACARTONADO, STANDARD (ST), COR BRANCA, E = 12,5 MM, 1200 X 2400 MM (L X C)</t>
  </si>
  <si>
    <t>PERFIL GUIA, FORMATO U, EM ACO ZINCADO, PARA ESTRUTURA PAREDE DRYWALL, E = 0,5 MM, 70 X 3000 MM (L X C)</t>
  </si>
  <si>
    <t>PERFIL MONTANTE, FORMATO C, EM ACO ZINCADO, PARA ESTRUTURA PAREDE DRYWALL, E = 0,5 MM, 70 X 3000 MM (L X C)</t>
  </si>
  <si>
    <t>FITA DE PAPEL MICROPERFURADO, 50 X 150 MM, PARA TRATAMENTO DE JUNTAS DE CHAPA DE GESSO PARA DRYWALL</t>
  </si>
  <si>
    <t>FITA DE PAPEL REFORCADA COM LAMINA DE METAL PARA REFORCO DE CANTOS DE CHAPA DE GESSO PARA DRYWALL</t>
  </si>
  <si>
    <t>MASSA DE REJUNTE EM PO PARA DRYWALL, A BASE DE GESSO, SECAGEM RAPIDA, PARA TRATAMENTO DE JUNTAS DE CHAPA DE GESSO (NECESSITA ADICAO DE AGUA)</t>
  </si>
  <si>
    <t>PARAFUSO DRY WALL, EM ACO FOSFATIZADO, CABECA TROMBETA E PONTA AGULHA (TA), COMPRIMENTO 25 MM</t>
  </si>
  <si>
    <t>PARAFUSO DRY WALL, EM ACO FOSFATIZADO, CABECA TROMBETA E PONTA AGULHA (TA), COMPRIMENTO 45 MM</t>
  </si>
  <si>
    <t>PARAFUSO DRY WALL, EM ACO ZINCADO, CABECA LENTILHA E PONTA BROCA (LB), LARGURA 4,2 MM, COMPRIMENTO 13 MM</t>
  </si>
  <si>
    <t>MONTADOR DE ESTRUTURA METÁLICA COM ENCARGOS COMPLEMENTARES</t>
  </si>
  <si>
    <t>PARAFUSO, COMUM, ASTM A307, SEXTAVADO, DIAMETRO 1/2" (12,7 MM), COMPRIMENTO 1" (25,4 MM)</t>
  </si>
  <si>
    <t>PERFIL "U" ENRIJECIDO DE ACO GALVANIZADO, DOBRADO, 150 X 60 X 20 MM, E = 3,00 MM OU 200 X 75 X 25 MM, E = 3,75 MM</t>
  </si>
  <si>
    <t>GUINCHO ELÉTRICO DE COLUNA, CAPACIDADE 400 KG, COM MOTO FREIO, MOTOR TRIFÁSICO DE 1,25 CV - CHP DIURNO. AF_03/2016</t>
  </si>
  <si>
    <t>GUINCHO ELÉTRICO DE COLUNA, CAPACIDADE 400 KG, COM MOTO FREIO, MOTOR TRIFÁSICO DE 1,25 CV - CHI DIURNO. AF_03/2016</t>
  </si>
  <si>
    <t>40549</t>
  </si>
  <si>
    <t>43083</t>
  </si>
  <si>
    <t>93281</t>
  </si>
  <si>
    <t>93282</t>
  </si>
  <si>
    <t>11029</t>
  </si>
  <si>
    <t>40740</t>
  </si>
  <si>
    <t>88323</t>
  </si>
  <si>
    <t>HASTE RETA PARA GANCHO DE FERRO GALVANIZADO, COM ROSCA 1/4 " X 30 CM PARA FIXACAO DE TELHA METALICA, INCLUI PORCA E ARRUELAS DE VEDACAO</t>
  </si>
  <si>
    <t>TELHA GALVALUME COM ISOLAMENTO TERMOACUSTICO EM ESPUMA RIGIDA DE POLIURETANO (PU) INJETADO, ESPESSURA DE 30 MM, DENSIDADE DE 35 KG/M3, COM DUAS FACES TRAPEZOIDAIS, ACABAMENTO NATURAL (NAO INCLUI ACESSORIOS DE FIXACAO)</t>
  </si>
  <si>
    <t>TELHADISTA COM ENCARGOS COMPLEMENTARES</t>
  </si>
  <si>
    <t>39427</t>
  </si>
  <si>
    <t>39430</t>
  </si>
  <si>
    <t>40547</t>
  </si>
  <si>
    <t>43131</t>
  </si>
  <si>
    <t>PERFIL CANALETA, FORMATO C, EM ACO ZINCADO, PARA ESTRUTURA FORRO DRYWALL, E = 0,5 MM, *46 X 18* (L X H), COMPRIMENTO 3 M</t>
  </si>
  <si>
    <t>PENDURAL OU PRESILHA REGULADORA, EM ACO GALVANIZADO, COM CORPO, MOLA E REBITE, PARA PERFIL TIPO CANALETA DE ESTRUTURA EM FORROS DRYWALL</t>
  </si>
  <si>
    <t>PARAFUSO ZINCADO, AUTOBROCANTE, FLANGEADO, 4,2 MM X 19 MM</t>
  </si>
  <si>
    <t>ARAME GALVANIZADO 6 BWG, D = 5,16 MM (0,157 KG/M), OU 8 BWG, D = 4,19 MM (0,101 KG/M), OU 10 BWG, D = 3,40 MM (0,0713 KG/M)</t>
  </si>
  <si>
    <t>ARGAMASSA TRAÇO 1:2:8 (EM VOLUME DE CIMENTO, CAL E AREIA MÉDIA ÚMIDA) PARA EMBOÇO/MASSA ÚNICA/ASSENTAMENTO DE ALVENARIA DE VEDAÇÃO, PREPARO MECÂNICO COM BETONEIRA 400 L. AF_08/2019</t>
  </si>
  <si>
    <t>536</t>
  </si>
  <si>
    <t>REVESTIMENTO EM CERAMICA ESMALTADA EXTRA, PEI MENOR OU IGUAL A 3, FORMATO MENOR OU IGUAL A 2025 CM2</t>
  </si>
  <si>
    <t>1381</t>
  </si>
  <si>
    <t>ARGAMASSA COLANTE AC I PARA CERAMICAS</t>
  </si>
  <si>
    <t>34357</t>
  </si>
  <si>
    <t>REJUNTE CIMENTICIO, QUALQUER COR</t>
  </si>
  <si>
    <t>88256</t>
  </si>
  <si>
    <t>7334</t>
  </si>
  <si>
    <t>ARGAMASSA TRAÇO 1:4 (EM VOLUME DE CIMENTO E AREIA MÉDIA ÚMIDA) PARA CONTRAPISO, PREPARO MANUAL. AF_08/2019</t>
  </si>
  <si>
    <t>37595</t>
  </si>
  <si>
    <t>ARGAMASSA COLANTE TIPO AC III</t>
  </si>
  <si>
    <t>38195</t>
  </si>
  <si>
    <t>PISO PORCELANATO, BORDA RETA, EXTRA, FORMATO MAIOR QUE 2025 CM2</t>
  </si>
  <si>
    <t>3767</t>
  </si>
  <si>
    <t>LIXA EM FOLHA PARA PAREDE OU MADEIRA, NUMERO 120 (COR VERMELHA)</t>
  </si>
  <si>
    <t>4047</t>
  </si>
  <si>
    <t>!EM PROCESSO DE DESATIVACAO! MASSA CORRIDA PVA PARA PAREDES INTERNAS</t>
  </si>
  <si>
    <t>88310</t>
  </si>
  <si>
    <t>GL</t>
  </si>
  <si>
    <t xml:space="preserve">MONTAGEM E DESMONTAGEM DE FÔRMA DE LAJE NERVURADA COM CUBETA E ASSOALHO COM ÁREA MÉDIA MENOR OU IGUAL A 20 M², PÉ-DIREITO SIMPLES, EM CHAPA DE MADEIRA COMPENSADA RESINADA, 8 UTILIZAÇÕES. </t>
  </si>
  <si>
    <t>2692</t>
  </si>
  <si>
    <t>4491</t>
  </si>
  <si>
    <t>PONTALETE *7,5 X 7,5* CM EM PINUS, MISTA OU EQUIVALENTE DA REGIAO - BRUTA</t>
  </si>
  <si>
    <t>10749</t>
  </si>
  <si>
    <t>40275</t>
  </si>
  <si>
    <t>LOCACAO DE VIGA SANDUICHE METALICA VAZADA PARA TRAVAMENTO DE PILARES, ALTURA DE *8* CM, LARGURA DE *6* CM E EXTENSAO DE 2 M</t>
  </si>
  <si>
    <t>40287</t>
  </si>
  <si>
    <t>LOCACAO DE BARRA DE ANCORAGEM DE 0,80 A 1,20 M DE EXTENSAO, COM ROSCA DE 5/8", INCLUINDO PORCA E FLANGE</t>
  </si>
  <si>
    <t>40304</t>
  </si>
  <si>
    <t>40339</t>
  </si>
  <si>
    <t>LOCACAO DE CRUZETA PARA ESCORA METALICA</t>
  </si>
  <si>
    <t>88239</t>
  </si>
  <si>
    <t>88262</t>
  </si>
  <si>
    <t>FABRICAÇÃO DE FÔRMA PARA VIGAS, EM CHAPA DE MADEIRA COMPENSADA RESINADA, E = 17 MM. AF_09/2020</t>
  </si>
  <si>
    <t>43132</t>
  </si>
  <si>
    <t>ARAME RECOZIDO 16 BWG, D = 1,65 MM (0,016 KG/M) OU 18 BWG, D = 1,25 MM (0,01 KG/M)</t>
  </si>
  <si>
    <t>88238</t>
  </si>
  <si>
    <t>88245</t>
  </si>
  <si>
    <t>CORTE E DOBRA DE AÇO CA-50, DIÂMETRO DE 16,0 MM, UTILIZADO EM LAJE. AF_12/2015</t>
  </si>
  <si>
    <t>CORTE E DOBRA DE AÇO CA-50, DIÂMETRO DE 20,0 MM, UTILIZADO EM LAJE. AF_12/2015</t>
  </si>
  <si>
    <t>FORMA TABUA P/CONCRETO EM FUNDAÇÃO S/REAPROVEITAMENTO (M2)</t>
  </si>
  <si>
    <t>ALIZAR DE 5X1,5CM PARA PORTA FIXADO COM PREGOS, PADRÃO MÉDIO - FORNECIMENTO E INSTALAÇÃO. AF_12/2019</t>
  </si>
  <si>
    <t>BATENTE PARA PORTA DE MADEIRA, PADRÃO MÉDIO - FORNECIMENTO E MONTAGEM. AF_12/2019</t>
  </si>
  <si>
    <t>MASSA PARA VIDRO</t>
  </si>
  <si>
    <t>VIDRO TEMPERADO INCOLOR E = 8 MM, SEM
COLOCACAO</t>
  </si>
  <si>
    <t>ARGAMASSA TRAÇO 1:3 (EM VOLUME DE CIMENTO E AREIA MÉDIA ÚMIDA), PREPARO MECÂNICO COM BETONEIRA 400 L. AF_08/2019</t>
  </si>
  <si>
    <t>3992</t>
  </si>
  <si>
    <t>TABUA APARELHADA *2,5 X 30* CM, EM MACARANDUBA, ANGELIM OU EQUIVALENTE DA REGIAO</t>
  </si>
  <si>
    <t>4433</t>
  </si>
  <si>
    <t>CAIBRO NAO APARELHADO  *7,5 X 7,5* CM, EM MACARANDUBA, ANGELIM OU EQUIVALENTE DA REGIAO -  BRUTA</t>
  </si>
  <si>
    <t>5061</t>
  </si>
  <si>
    <t>7243</t>
  </si>
  <si>
    <t>TELHA TRAPEZOIDAL EM ACO ZINCADO, SEM PINTURA, ALTURA DE APROXIMADAMENTE 40 MM, ESPESSURA DE 0,50 MM E LARGURA UTIL DE 980 MM</t>
  </si>
  <si>
    <t>91692</t>
  </si>
  <si>
    <t>SERRA CIRCULAR DE BANCADA COM MOTOR ELÉTRICO POTÊNCIA DE 5HP, COM COIFA PARA DISCO 10" - CHP DIURNO. AF_08/2015</t>
  </si>
  <si>
    <t>91693</t>
  </si>
  <si>
    <t>SERRA CIRCULAR DE BANCADA COM MOTOR ELÉTRICO POTÊNCIA DE 5HP, COM COIFA PARA DISCO 10" - CHI DIURNO. AF_08/2015</t>
  </si>
  <si>
    <t>CONCRETO MAGRO PARA LASTRO, TRAÇO 1:4,5:4,5 (EM MASSA SECA DE CIMENTO/ AREIA MÉDIA/ BRITA 1) - PREPARO MANUAL. AF_05/2021</t>
  </si>
  <si>
    <t>J. MONTE</t>
  </si>
  <si>
    <t>AMPLA</t>
  </si>
  <si>
    <t>BARROSO</t>
  </si>
  <si>
    <t>POLIMIX</t>
  </si>
  <si>
    <t>GRANIFORTE</t>
  </si>
  <si>
    <t>SUPERMIX</t>
  </si>
  <si>
    <t>INDICE 08/21</t>
  </si>
  <si>
    <t>FERRONORTE</t>
  </si>
  <si>
    <t>SÓ FERRO</t>
  </si>
  <si>
    <t>ENGECOPI</t>
  </si>
  <si>
    <t>43055</t>
  </si>
  <si>
    <t>ACO CA-50, 12,5 MM OU 16,0 MM, VERGALHAO</t>
  </si>
  <si>
    <t>1,1100000</t>
  </si>
  <si>
    <t>0,0010000</t>
  </si>
  <si>
    <t>0,0070000</t>
  </si>
  <si>
    <t>COMPOSIÇÃO - 92795</t>
  </si>
  <si>
    <t>0,0037000</t>
  </si>
  <si>
    <t>COMPOSIÇÃO - 92796</t>
  </si>
  <si>
    <t>32</t>
  </si>
  <si>
    <t>ACO CA-50, 6,3 MM, VERGALHAO</t>
  </si>
  <si>
    <t>1,0700000</t>
  </si>
  <si>
    <t>0,0059000</t>
  </si>
  <si>
    <t>0,0420000</t>
  </si>
  <si>
    <t>COMPOSIÇÃO - 92792</t>
  </si>
  <si>
    <t>34</t>
  </si>
  <si>
    <t>ACO CA-50, 10,0 MM, VERGALHAO</t>
  </si>
  <si>
    <t>0,0018000</t>
  </si>
  <si>
    <t>0,0125000</t>
  </si>
  <si>
    <t>COMPOSIÇÃO - 92794</t>
  </si>
  <si>
    <t>43056</t>
  </si>
  <si>
    <t>ACO CA-50, 20,0 MM OU 25,0 MM, VERGALHAO</t>
  </si>
  <si>
    <t>1,1400000</t>
  </si>
  <si>
    <t>0,0020000</t>
  </si>
  <si>
    <t>COMPOSIÇÃO - 92797</t>
  </si>
  <si>
    <t>0,0025000</t>
  </si>
  <si>
    <t>COMPOSIÇÃO - 92805</t>
  </si>
  <si>
    <t>0,0013000</t>
  </si>
  <si>
    <t>COMPOSIÇÃO - 92806</t>
  </si>
  <si>
    <t>MAFRENSE</t>
  </si>
  <si>
    <t>4517</t>
  </si>
  <si>
    <t>SARRAFO *2,5 X 7,5* CM EM PINUS, MISTA OU EQUIVALENTE DA REGIAO - BRUTA</t>
  </si>
  <si>
    <t>4,4320000</t>
  </si>
  <si>
    <t>5068</t>
  </si>
  <si>
    <t>PREGO DE ACO POLIDO COM CABECA 17 X 21 (2 X 11)</t>
  </si>
  <si>
    <t>0,0860000</t>
  </si>
  <si>
    <t>6189</t>
  </si>
  <si>
    <t>TABUA NAO APARELHADA *2,5 X 30* CM, EM MACARANDUBA, ANGELIM OU EQUIVALENTE DA REGIAO - BRUTA</t>
  </si>
  <si>
    <t>6,5300000</t>
  </si>
  <si>
    <t>0,1430000</t>
  </si>
  <si>
    <t>0,7150000</t>
  </si>
  <si>
    <t>0,0500000</t>
  </si>
  <si>
    <t>0,0930000</t>
  </si>
  <si>
    <t>COMPOSIÇÃO - 92269</t>
  </si>
  <si>
    <t>1358</t>
  </si>
  <si>
    <t>CHAPA DE MADEIRA COMPENSADA RESINADA PARA FORMA DE CONCRETO, DE *2,2 X 1,1* M, E = 17 MM</t>
  </si>
  <si>
    <t>1,1460000</t>
  </si>
  <si>
    <t>0,1660000</t>
  </si>
  <si>
    <t>6,9520000</t>
  </si>
  <si>
    <t>0,1590000</t>
  </si>
  <si>
    <t>0,2020000</t>
  </si>
  <si>
    <t>1,0120000</t>
  </si>
  <si>
    <t>0,1520000</t>
  </si>
  <si>
    <t>3,8550000</t>
  </si>
  <si>
    <t>0,0030000</t>
  </si>
  <si>
    <t>0,0130000</t>
  </si>
  <si>
    <t>COMPOSIÇÃO - 92271</t>
  </si>
  <si>
    <t>COMPOSIÇÃO - 92265</t>
  </si>
  <si>
    <t>1,3100000</t>
  </si>
  <si>
    <t>0,0230000</t>
  </si>
  <si>
    <t>0,0210000</t>
  </si>
  <si>
    <t>0,1060000</t>
  </si>
  <si>
    <t>0,0140000</t>
  </si>
  <si>
    <t>1,0500000</t>
  </si>
  <si>
    <t>0,0050000</t>
  </si>
  <si>
    <t>0,0270000</t>
  </si>
  <si>
    <t>COMPOSIÇÃO - 92273</t>
  </si>
  <si>
    <t>COMPOSIÇÃO - 92267</t>
  </si>
  <si>
    <t>VIDROARTE</t>
  </si>
  <si>
    <t>20017</t>
  </si>
  <si>
    <t>GUARNICAO/ ALIZAR/ VISTA MACICA, E= *1* CM, L= *4,5* CM, EM CEDRINHO/ ANGELIM COMERCIAL/  EUCALIPTO/ CURUPIXA/ PEROBA/ CUMARU OU EQUIVALENTE DA REGIAO</t>
  </si>
  <si>
    <t>1,1630000</t>
  </si>
  <si>
    <t>39026</t>
  </si>
  <si>
    <t>PREGO DE ACO POLIDO SEM CABECA 15 X 15 (1 1/4 X 13)</t>
  </si>
  <si>
    <t>0,0060000</t>
  </si>
  <si>
    <t>88261</t>
  </si>
  <si>
    <t>0,0680000</t>
  </si>
  <si>
    <t>0,0340000</t>
  </si>
  <si>
    <t>COMPOSIÇÃO - 100659</t>
  </si>
  <si>
    <t>1106</t>
  </si>
  <si>
    <t>171,1300000</t>
  </si>
  <si>
    <t>192,5200000</t>
  </si>
  <si>
    <t>11,1000000</t>
  </si>
  <si>
    <t>COMPOSIÇÃO - 87369</t>
  </si>
  <si>
    <t>1,1300000</t>
  </si>
  <si>
    <t>75,4700000</t>
  </si>
  <si>
    <t>339,6200000</t>
  </si>
  <si>
    <t>8,7800000</t>
  </si>
  <si>
    <t>COMPOSIÇÃO - 88627</t>
  </si>
  <si>
    <t>1,1600000</t>
  </si>
  <si>
    <t>174,1000000</t>
  </si>
  <si>
    <t>195,8600000</t>
  </si>
  <si>
    <t>4,5000000</t>
  </si>
  <si>
    <t>3,4500000</t>
  </si>
  <si>
    <t>COMPOSIÇÃO - 87292</t>
  </si>
  <si>
    <t>1,3500000</t>
  </si>
  <si>
    <t>454,5800000</t>
  </si>
  <si>
    <t>11,0200000</t>
  </si>
  <si>
    <t>COMPOSIÇÃO - 87373</t>
  </si>
  <si>
    <t>483,7000000</t>
  </si>
  <si>
    <t>3,4200000</t>
  </si>
  <si>
    <t>0,8000000</t>
  </si>
  <si>
    <t>2,6200000</t>
  </si>
  <si>
    <t>COMPOSIÇÃO - 88628</t>
  </si>
  <si>
    <t>COMPOSIÇÃO - 94974</t>
  </si>
  <si>
    <t>CARREFOUR</t>
  </si>
  <si>
    <t>LF MÁQUINAS E FERRAMENTAS</t>
  </si>
  <si>
    <t>AMERICANAS</t>
  </si>
  <si>
    <t>MADEIRA MADEIRA</t>
  </si>
  <si>
    <t>MERCADÃO DPO GESSO</t>
  </si>
  <si>
    <t>FR GESSO</t>
  </si>
  <si>
    <t>LÉO MADEIRAS</t>
  </si>
  <si>
    <t>MAGAZINE LUIZA</t>
  </si>
  <si>
    <t>CARAJÁS</t>
  </si>
  <si>
    <t>3093</t>
  </si>
  <si>
    <t>FECHADURA ROSETA REDONDA PARA PORTA INTERNA, EM ACO INOX (MAQUINA, TESTA E CONTRA-TESTA) E EM ZAMAC (MACANETA, LINGUETA E TRINCOS) COM ACABAMENTO CROMADO, MAQUINA DE 55 MM, INCLUINDO CHAVE TIPO INTERNA</t>
  </si>
  <si>
    <t>1,0000000</t>
  </si>
  <si>
    <t>0,7670000</t>
  </si>
  <si>
    <t>0,3840000</t>
  </si>
  <si>
    <t>COMPOSIÇÃO - 91306</t>
  </si>
  <si>
    <t>183</t>
  </si>
  <si>
    <t>BATENTE/ PORTAL/ ADUELA/ MARCO MACICO, E= *3 CM, L= *13 CM, *60 CM A 120* CM X *210 CM,  EM CEDRINHO/ ANGELIM COMERCIAL/ EUCALIPTO/ CURUPIXA/ PEROBA/ CUMARU OU EQUIVALENTE DA REGIAO (NAO INCLUI ALIZARES)</t>
  </si>
  <si>
    <t>JG</t>
  </si>
  <si>
    <t>5066</t>
  </si>
  <si>
    <t>PREGO DE ACO POLIDO COM CABECA 12 X 12</t>
  </si>
  <si>
    <t>0,0110000</t>
  </si>
  <si>
    <t>5075</t>
  </si>
  <si>
    <t>0,0240000</t>
  </si>
  <si>
    <t>2,7410000</t>
  </si>
  <si>
    <t>1,3570000</t>
  </si>
  <si>
    <t>COMPOSIÇÃO - 90801</t>
  </si>
  <si>
    <t>MAIS CONSTRUÇÃO</t>
  </si>
  <si>
    <t>ALVES CONSTRUÇÕES</t>
  </si>
  <si>
    <t>ROCHA CONSTRUCENTER</t>
  </si>
  <si>
    <t>CAR ACESSÓRIOS</t>
  </si>
  <si>
    <t>MADEREIRA SÃO MARCUS</t>
  </si>
  <si>
    <t>9867</t>
  </si>
  <si>
    <t>TUBO PVC, SOLDAVEL, DN 20 MM, AGUA FRIA (NBR-5648)</t>
  </si>
  <si>
    <t>1,0610000</t>
  </si>
  <si>
    <t>38383</t>
  </si>
  <si>
    <t>0,3190000</t>
  </si>
  <si>
    <t>88267</t>
  </si>
  <si>
    <t>FORNECIMENTO E INSTALAÇÃO TUBO, PVC, SOLDÁVEL, DN 25MM</t>
  </si>
  <si>
    <t>DA LUZ</t>
  </si>
  <si>
    <t>LOPES</t>
  </si>
  <si>
    <t>SOMA JANELAS</t>
  </si>
  <si>
    <t>MAX COM.</t>
  </si>
  <si>
    <t>DALUZ</t>
  </si>
  <si>
    <t>Indice 06/22</t>
  </si>
  <si>
    <t>INDICE 08/22</t>
  </si>
  <si>
    <t>4.1.3</t>
  </si>
  <si>
    <t>4.3.3</t>
  </si>
  <si>
    <t>4.3.5</t>
  </si>
  <si>
    <t>6.1.1.1</t>
  </si>
  <si>
    <t>6.1.2.1</t>
  </si>
  <si>
    <t>6.1.2.5</t>
  </si>
  <si>
    <t>6.1.3.1</t>
  </si>
  <si>
    <t>6.1.3.2</t>
  </si>
  <si>
    <t>6.1.5.1</t>
  </si>
  <si>
    <t>6.1.5.4</t>
  </si>
  <si>
    <t>CRONOGRAMA FÍSICO-FINANCEIRO - REEQUILIBRIO ECONOMICO</t>
  </si>
  <si>
    <t>ITENS MEDIDOS</t>
  </si>
  <si>
    <t>ITENS A MEDIR</t>
  </si>
  <si>
    <t>O VITOR ME</t>
  </si>
  <si>
    <t>CRAVEIRO CONSTRUÇÕES</t>
  </si>
  <si>
    <t>CERÂMICA SANTA MARIA</t>
  </si>
  <si>
    <t>APODI</t>
  </si>
  <si>
    <t>FERRONORTE (JANEIRO)</t>
  </si>
  <si>
    <t>FERRONORTE (JUNHO)</t>
  </si>
  <si>
    <t>CORREGEDORIA</t>
  </si>
  <si>
    <t>EJUD</t>
  </si>
  <si>
    <t>MEDIDOS</t>
  </si>
  <si>
    <t>A MEDIR</t>
  </si>
  <si>
    <t>REEQUILÍBRIO ECONOMICO-FINANCEIRO</t>
  </si>
  <si>
    <t>CORREGEDORIA - CONTRATO 134/2021</t>
  </si>
  <si>
    <t>EJUD - CONTRATO 134/2021</t>
  </si>
  <si>
    <t>COMPOSIÇÃO DE CUSTOS DA CURVA AB - ITENS MEDIDOS</t>
  </si>
  <si>
    <t>DIF.</t>
  </si>
  <si>
    <t>%</t>
  </si>
  <si>
    <t>CORREG</t>
  </si>
  <si>
    <t>Pago</t>
  </si>
  <si>
    <t>A Pagar</t>
  </si>
  <si>
    <t>Cronograma Contratado</t>
  </si>
  <si>
    <t>DIFERENÇA REEQUILÍBRIO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</si>
</sst>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.##0.00_-;\-* #.##0.00_-;_-* &quot;-&quot;??_-;_-@_-"/>
    <numFmt numFmtId="165" formatCode="_-[$R$-416]\ * #,##0.00_-;\-[$R$-416]\ * #,##0.00_-;_-[$R$-416]\ * &quot;-&quot;??_-;_-@_-"/>
    <numFmt numFmtId="166" formatCode="0.00_ ;\-0.00\ "/>
    <numFmt numFmtId="167" formatCode="_ [$€]* #,##0.00_ ;_ [$€]* \-#,##0.00_ ;_ [$€]* \-??_ ;_ @_ "/>
    <numFmt numFmtId="168" formatCode="_(&quot;Cr$&quot;* #,##0.00_);_(&quot;Cr$&quot;* \(#,##0.00\);_(&quot;Cr$&quot;* \-??_);_(@_)"/>
    <numFmt numFmtId="169" formatCode="_(&quot;R$&quot;* #,##0.00_);_(&quot;R$&quot;* \(#,##0.00\);_(&quot;R$&quot;* \-??_);_(@_)"/>
    <numFmt numFmtId="170" formatCode="_(&quot;R$ &quot;* #,##0.00_);_(&quot;R$ &quot;* \(#,##0.00\);_(&quot;R$ &quot;* \-??_);_(@_)"/>
    <numFmt numFmtId="171" formatCode="_(&quot;R$&quot;* #,##0.00_);_(&quot;R$&quot;* \(#,##0.00\);_(&quot;R$&quot;* &quot;-&quot;??_);_(@_)"/>
    <numFmt numFmtId="172" formatCode="_(* #,##0.00_);_(* \(#,##0.00\);_(* &quot;-&quot;??_);_(@_)"/>
    <numFmt numFmtId="173" formatCode="_(* #,##0.00_);_(* \(#,##0.00\);_(* \-??_);_(@_)"/>
    <numFmt numFmtId="174" formatCode="#,##0.00\ ;&quot; (&quot;#,##0.00\);&quot; -&quot;#\ ;@\ "/>
    <numFmt numFmtId="175" formatCode="mm/yy"/>
    <numFmt numFmtId="176" formatCode="_-* #,##0.00_-;\-* #,##0.00_-;_-* \-??_-;_-@_-"/>
    <numFmt numFmtId="177" formatCode="0.00000"/>
    <numFmt numFmtId="178" formatCode="0.000"/>
    <numFmt numFmtId="179" formatCode="#,##0.000"/>
    <numFmt numFmtId="180" formatCode="0.0000"/>
    <numFmt numFmtId="181" formatCode="#,##0.0000"/>
    <numFmt numFmtId="182" formatCode="#,##0.0000000"/>
    <numFmt numFmtId="183" formatCode="#,##0.00000"/>
    <numFmt numFmtId="184" formatCode="_-* #,##0.0000_-;\-* #,##0.0000_-;_-* &quot;-&quot;??_-;_-@_-"/>
    <numFmt numFmtId="185" formatCode="0&quot;.&quot;00"/>
    <numFmt numFmtId="186" formatCode="00000"/>
    <numFmt numFmtId="187" formatCode="&quot;R$&quot;\ #,##0.00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20"/>
      <color rgb="FF000000"/>
      <name val="Times New Roman"/>
      <family val="1"/>
      <charset val="1"/>
    </font>
    <font>
      <b/>
      <sz val="9"/>
      <color rgb="FF000000"/>
      <name val="Times New Roman"/>
      <family val="1"/>
    </font>
    <font>
      <sz val="10"/>
      <color rgb="FF000000"/>
      <name val="Times New Roman"/>
      <family val="1"/>
    </font>
    <font>
      <b/>
      <u/>
      <sz val="10"/>
      <color theme="4" tint="-0.249977111117893"/>
      <name val="Times New Roman"/>
      <family val="1"/>
    </font>
    <font>
      <b/>
      <sz val="10"/>
      <color rgb="FF000000"/>
      <name val="Times New Roman"/>
      <family val="1"/>
    </font>
    <font>
      <sz val="8"/>
      <color rgb="FF000000"/>
      <name val="Times New Roman"/>
      <family val="1"/>
    </font>
    <font>
      <sz val="10"/>
      <name val="Arial"/>
      <family val="2"/>
    </font>
    <font>
      <b/>
      <sz val="18"/>
      <color rgb="FF00000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60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u/>
      <sz val="11"/>
      <color indexed="12"/>
      <name val="Calibri"/>
      <family val="2"/>
      <charset val="1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0"/>
      <name val="Arial"/>
      <family val="2"/>
      <charset val="1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5"/>
      <color indexed="48"/>
      <name val="Calibri"/>
      <family val="2"/>
    </font>
    <font>
      <b/>
      <sz val="13"/>
      <color indexed="48"/>
      <name val="Calibri"/>
      <family val="2"/>
    </font>
    <font>
      <b/>
      <sz val="11"/>
      <color indexed="48"/>
      <name val="Calibri"/>
      <family val="2"/>
    </font>
    <font>
      <b/>
      <sz val="18"/>
      <color indexed="48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1"/>
    </font>
    <font>
      <sz val="9"/>
      <color rgb="FF000000"/>
      <name val="Times New Roman"/>
      <family val="1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i/>
      <sz val="10"/>
      <color rgb="FF000000"/>
      <name val="Cambria"/>
      <family val="1"/>
    </font>
    <font>
      <b/>
      <sz val="14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b/>
      <sz val="2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 MT"/>
    </font>
    <font>
      <sz val="10"/>
      <name val="Arial MT"/>
      <family val="2"/>
    </font>
    <font>
      <sz val="10"/>
      <color rgb="FF000000"/>
      <name val="Arial MT"/>
      <family val="2"/>
    </font>
    <font>
      <b/>
      <sz val="10"/>
      <color rgb="FF000000"/>
      <name val="Arial"/>
      <family val="2"/>
    </font>
    <font>
      <b/>
      <vertAlign val="superscript"/>
      <sz val="10"/>
      <name val="Arial"/>
      <family val="2"/>
    </font>
    <font>
      <b/>
      <sz val="12"/>
      <color rgb="FF000000"/>
      <name val="Times New Roman"/>
      <family val="1"/>
      <charset val="1"/>
    </font>
    <font>
      <b/>
      <sz val="12"/>
      <color theme="1"/>
      <name val="Times New Roman"/>
      <family val="1"/>
    </font>
  </fonts>
  <fills count="98">
    <fill>
      <patternFill patternType="none"/>
    </fill>
    <fill>
      <patternFill patternType="gray125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solid">
        <fgColor indexed="31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0"/>
        <b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0"/>
        <bgColor indexed="25"/>
      </patternFill>
    </fill>
    <fill>
      <patternFill patternType="solid">
        <fgColor indexed="22"/>
        <bgColor indexed="44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48"/>
      </patternFill>
    </fill>
    <fill>
      <patternFill patternType="solid">
        <fgColor indexed="10"/>
        <bgColor indexed="60"/>
      </patternFill>
    </fill>
    <fill>
      <patternFill patternType="solid">
        <fgColor indexed="21"/>
        <bgColor indexed="38"/>
      </patternFill>
    </fill>
    <fill>
      <patternFill patternType="solid">
        <fgColor indexed="25"/>
        <bgColor indexed="6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4A4A4"/>
      </patternFill>
    </fill>
    <fill>
      <patternFill patternType="solid">
        <fgColor rgb="FFBEBEBE"/>
      </patternFill>
    </fill>
    <fill>
      <patternFill patternType="solid">
        <fgColor rgb="FFD7D7D7"/>
      </patternFill>
    </fill>
  </fills>
  <borders count="9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303">
    <xf numFmtId="0" fontId="0" fillId="0" borderId="0"/>
    <xf numFmtId="0" fontId="7" fillId="32" borderId="1"/>
    <xf numFmtId="164" fontId="7" fillId="32" borderId="1" applyFont="0" applyFill="0" applyBorder="0" applyAlignment="0" applyProtection="0"/>
    <xf numFmtId="0" fontId="7" fillId="32" borderId="1"/>
    <xf numFmtId="0" fontId="7" fillId="32" borderId="1"/>
    <xf numFmtId="0" fontId="7" fillId="32" borderId="1"/>
    <xf numFmtId="0" fontId="7" fillId="32" borderId="1"/>
    <xf numFmtId="0" fontId="7" fillId="32" borderId="1"/>
    <xf numFmtId="0" fontId="7" fillId="32" borderId="1"/>
    <xf numFmtId="0" fontId="7" fillId="32" borderId="1"/>
    <xf numFmtId="0" fontId="7" fillId="32" borderId="1"/>
    <xf numFmtId="164" fontId="7" fillId="32" borderId="1" applyFont="0" applyFill="0" applyBorder="0" applyAlignment="0" applyProtection="0"/>
    <xf numFmtId="0" fontId="7" fillId="32" borderId="1"/>
    <xf numFmtId="0" fontId="7" fillId="32" borderId="1"/>
    <xf numFmtId="0" fontId="7" fillId="32" borderId="1"/>
    <xf numFmtId="0" fontId="7" fillId="32" borderId="1"/>
    <xf numFmtId="0" fontId="16" fillId="32" borderId="1"/>
    <xf numFmtId="0" fontId="16" fillId="33" borderId="1" applyNumberFormat="0" applyBorder="0" applyAlignment="0" applyProtection="0"/>
    <xf numFmtId="0" fontId="16" fillId="34" borderId="1" applyNumberFormat="0" applyBorder="0" applyAlignment="0" applyProtection="0"/>
    <xf numFmtId="0" fontId="16" fillId="35" borderId="1" applyNumberFormat="0" applyBorder="0" applyAlignment="0" applyProtection="0"/>
    <xf numFmtId="0" fontId="16" fillId="36" borderId="1" applyNumberFormat="0" applyBorder="0" applyAlignment="0" applyProtection="0"/>
    <xf numFmtId="0" fontId="16" fillId="37" borderId="1" applyNumberFormat="0" applyBorder="0" applyAlignment="0" applyProtection="0"/>
    <xf numFmtId="0" fontId="16" fillId="37" borderId="1" applyNumberFormat="0" applyBorder="0" applyAlignment="0" applyProtection="0"/>
    <xf numFmtId="0" fontId="16" fillId="38" borderId="1" applyNumberFormat="0" applyBorder="0" applyAlignment="0" applyProtection="0"/>
    <xf numFmtId="0" fontId="16" fillId="39" borderId="1" applyNumberFormat="0" applyBorder="0" applyAlignment="0" applyProtection="0"/>
    <xf numFmtId="0" fontId="16" fillId="40" borderId="1" applyNumberFormat="0" applyBorder="0" applyAlignment="0" applyProtection="0"/>
    <xf numFmtId="0" fontId="16" fillId="36" borderId="1" applyNumberFormat="0" applyBorder="0" applyAlignment="0" applyProtection="0"/>
    <xf numFmtId="0" fontId="16" fillId="38" borderId="1" applyNumberFormat="0" applyBorder="0" applyAlignment="0" applyProtection="0"/>
    <xf numFmtId="0" fontId="16" fillId="41" borderId="1" applyNumberFormat="0" applyBorder="0" applyAlignment="0" applyProtection="0"/>
    <xf numFmtId="0" fontId="17" fillId="42" borderId="1" applyNumberFormat="0" applyBorder="0" applyAlignment="0" applyProtection="0"/>
    <xf numFmtId="0" fontId="17" fillId="39" borderId="1" applyNumberFormat="0" applyBorder="0" applyAlignment="0" applyProtection="0"/>
    <xf numFmtId="0" fontId="17" fillId="40" borderId="1" applyNumberFormat="0" applyBorder="0" applyAlignment="0" applyProtection="0"/>
    <xf numFmtId="0" fontId="17" fillId="43" borderId="1" applyNumberFormat="0" applyBorder="0" applyAlignment="0" applyProtection="0"/>
    <xf numFmtId="0" fontId="17" fillId="44" borderId="1" applyNumberFormat="0" applyBorder="0" applyAlignment="0" applyProtection="0"/>
    <xf numFmtId="0" fontId="17" fillId="45" borderId="1" applyNumberFormat="0" applyBorder="0" applyAlignment="0" applyProtection="0"/>
    <xf numFmtId="0" fontId="18" fillId="36" borderId="1" applyNumberFormat="0" applyBorder="0" applyAlignment="0" applyProtection="0"/>
    <xf numFmtId="0" fontId="19" fillId="35" borderId="1" applyNumberFormat="0" applyBorder="0" applyAlignment="0" applyProtection="0"/>
    <xf numFmtId="0" fontId="20" fillId="46" borderId="29" applyNumberFormat="0" applyAlignment="0" applyProtection="0"/>
    <xf numFmtId="0" fontId="21" fillId="47" borderId="30" applyNumberFormat="0" applyAlignment="0" applyProtection="0"/>
    <xf numFmtId="0" fontId="22" fillId="32" borderId="31" applyNumberFormat="0" applyFill="0" applyAlignment="0" applyProtection="0"/>
    <xf numFmtId="44" fontId="7" fillId="32" borderId="1" applyFont="0" applyFill="0" applyBorder="0" applyAlignment="0" applyProtection="0"/>
    <xf numFmtId="0" fontId="17" fillId="48" borderId="1" applyNumberFormat="0" applyBorder="0" applyAlignment="0" applyProtection="0"/>
    <xf numFmtId="0" fontId="17" fillId="49" borderId="1" applyNumberFormat="0" applyBorder="0" applyAlignment="0" applyProtection="0"/>
    <xf numFmtId="0" fontId="17" fillId="50" borderId="1" applyNumberFormat="0" applyBorder="0" applyAlignment="0" applyProtection="0"/>
    <xf numFmtId="0" fontId="17" fillId="43" borderId="1" applyNumberFormat="0" applyBorder="0" applyAlignment="0" applyProtection="0"/>
    <xf numFmtId="0" fontId="17" fillId="44" borderId="1" applyNumberFormat="0" applyBorder="0" applyAlignment="0" applyProtection="0"/>
    <xf numFmtId="0" fontId="17" fillId="51" borderId="1" applyNumberFormat="0" applyBorder="0" applyAlignment="0" applyProtection="0"/>
    <xf numFmtId="0" fontId="23" fillId="37" borderId="29" applyNumberFormat="0" applyAlignment="0" applyProtection="0"/>
    <xf numFmtId="167" fontId="14" fillId="32" borderId="1" applyFill="0" applyBorder="0" applyAlignment="0" applyProtection="0"/>
    <xf numFmtId="0" fontId="14" fillId="32" borderId="1"/>
    <xf numFmtId="0" fontId="19" fillId="37" borderId="1" applyNumberFormat="0" applyBorder="0" applyAlignment="0" applyProtection="0"/>
    <xf numFmtId="0" fontId="24" fillId="32" borderId="32" applyNumberFormat="0" applyFill="0" applyAlignment="0" applyProtection="0"/>
    <xf numFmtId="0" fontId="25" fillId="32" borderId="33" applyNumberFormat="0" applyFill="0" applyAlignment="0" applyProtection="0"/>
    <xf numFmtId="0" fontId="26" fillId="32" borderId="1"/>
    <xf numFmtId="0" fontId="18" fillId="34" borderId="1" applyNumberFormat="0" applyBorder="0" applyAlignment="0" applyProtection="0"/>
    <xf numFmtId="0" fontId="14" fillId="32" borderId="1" applyFill="0" applyBorder="0" applyAlignment="0" applyProtection="0"/>
    <xf numFmtId="168" fontId="14" fillId="32" borderId="1" applyFill="0" applyBorder="0" applyAlignment="0" applyProtection="0"/>
    <xf numFmtId="169" fontId="14" fillId="32" borderId="1" applyFill="0" applyBorder="0" applyAlignment="0" applyProtection="0"/>
    <xf numFmtId="170" fontId="14" fillId="32" borderId="1" applyFill="0" applyBorder="0" applyAlignment="0" applyProtection="0"/>
    <xf numFmtId="170" fontId="14" fillId="32" borderId="1" applyFill="0" applyBorder="0" applyAlignment="0" applyProtection="0"/>
    <xf numFmtId="170" fontId="14" fillId="32" borderId="1" applyFill="0" applyBorder="0" applyAlignment="0" applyProtection="0"/>
    <xf numFmtId="170" fontId="14" fillId="32" borderId="1" applyFill="0" applyBorder="0" applyAlignment="0" applyProtection="0"/>
    <xf numFmtId="170" fontId="14" fillId="32" borderId="1" applyFill="0" applyBorder="0" applyAlignment="0" applyProtection="0"/>
    <xf numFmtId="170" fontId="14" fillId="32" borderId="1" applyFill="0" applyBorder="0" applyAlignment="0" applyProtection="0"/>
    <xf numFmtId="170" fontId="14" fillId="32" borderId="1" applyFill="0" applyBorder="0" applyAlignment="0" applyProtection="0"/>
    <xf numFmtId="171" fontId="14" fillId="32" borderId="1" applyFont="0" applyFill="0" applyBorder="0" applyAlignment="0" applyProtection="0"/>
    <xf numFmtId="0" fontId="27" fillId="52" borderId="1" applyNumberFormat="0" applyBorder="0" applyAlignment="0" applyProtection="0"/>
    <xf numFmtId="0" fontId="28" fillId="52" borderId="1" applyNumberFormat="0" applyBorder="0" applyAlignment="0" applyProtection="0"/>
    <xf numFmtId="0" fontId="16" fillId="32" borderId="1"/>
    <xf numFmtId="0" fontId="7" fillId="32" borderId="1"/>
    <xf numFmtId="0" fontId="14" fillId="32" borderId="1"/>
    <xf numFmtId="0" fontId="14" fillId="32" borderId="1"/>
    <xf numFmtId="0" fontId="14" fillId="32" borderId="1"/>
    <xf numFmtId="0" fontId="16" fillId="32" borderId="1"/>
    <xf numFmtId="0" fontId="16" fillId="32" borderId="1"/>
    <xf numFmtId="0" fontId="14" fillId="32" borderId="1"/>
    <xf numFmtId="0" fontId="29" fillId="32" borderId="1"/>
    <xf numFmtId="0" fontId="14" fillId="32" borderId="1"/>
    <xf numFmtId="0" fontId="14" fillId="32" borderId="1"/>
    <xf numFmtId="0" fontId="14" fillId="32" borderId="1"/>
    <xf numFmtId="0" fontId="16" fillId="32" borderId="1"/>
    <xf numFmtId="0" fontId="30" fillId="32" borderId="1"/>
    <xf numFmtId="0" fontId="7" fillId="32" borderId="1"/>
    <xf numFmtId="0" fontId="14" fillId="53" borderId="34" applyNumberFormat="0" applyAlignment="0" applyProtection="0"/>
    <xf numFmtId="0" fontId="14" fillId="53" borderId="34" applyNumberFormat="0" applyAlignment="0" applyProtection="0"/>
    <xf numFmtId="9" fontId="16" fillId="32" borderId="1" applyFont="0" applyFill="0" applyBorder="0" applyAlignment="0" applyProtection="0"/>
    <xf numFmtId="9" fontId="14" fillId="32" borderId="1" applyFill="0" applyBorder="0" applyAlignment="0" applyProtection="0"/>
    <xf numFmtId="9" fontId="14" fillId="32" borderId="1" applyFill="0" applyBorder="0" applyAlignment="0" applyProtection="0"/>
    <xf numFmtId="9" fontId="14" fillId="32" borderId="1" applyFill="0" applyBorder="0" applyAlignment="0" applyProtection="0"/>
    <xf numFmtId="9" fontId="14" fillId="32" borderId="1" applyFill="0" applyBorder="0" applyAlignment="0" applyProtection="0"/>
    <xf numFmtId="9" fontId="14" fillId="32" borderId="1" applyFill="0" applyBorder="0" applyAlignment="0" applyProtection="0"/>
    <xf numFmtId="9" fontId="14" fillId="32" borderId="1" applyFill="0" applyBorder="0" applyAlignment="0" applyProtection="0"/>
    <xf numFmtId="9" fontId="16" fillId="32" borderId="1" applyFill="0" applyBorder="0" applyAlignment="0" applyProtection="0"/>
    <xf numFmtId="9" fontId="16" fillId="32" borderId="1" applyFill="0" applyBorder="0" applyAlignment="0" applyProtection="0"/>
    <xf numFmtId="9" fontId="14" fillId="32" borderId="1" applyFill="0" applyBorder="0" applyAlignment="0" applyProtection="0"/>
    <xf numFmtId="9" fontId="14" fillId="32" borderId="1" applyFill="0" applyBorder="0" applyAlignment="0" applyProtection="0"/>
    <xf numFmtId="9" fontId="14" fillId="32" borderId="1" applyFill="0" applyBorder="0" applyAlignment="0" applyProtection="0"/>
    <xf numFmtId="9" fontId="16" fillId="32" borderId="1" applyFont="0" applyFill="0" applyBorder="0" applyAlignment="0" applyProtection="0"/>
    <xf numFmtId="9" fontId="29" fillId="32" borderId="1" applyBorder="0" applyProtection="0"/>
    <xf numFmtId="9" fontId="16" fillId="32" borderId="1" applyFont="0" applyFill="0" applyBorder="0" applyAlignment="0" applyProtection="0"/>
    <xf numFmtId="0" fontId="31" fillId="46" borderId="35" applyNumberFormat="0" applyAlignment="0" applyProtection="0"/>
    <xf numFmtId="172" fontId="16" fillId="32" borderId="1" applyFont="0" applyFill="0" applyBorder="0" applyAlignment="0" applyProtection="0"/>
    <xf numFmtId="173" fontId="14" fillId="32" borderId="1" applyFill="0" applyBorder="0" applyAlignment="0" applyProtection="0"/>
    <xf numFmtId="174" fontId="14" fillId="32" borderId="1" applyFill="0" applyBorder="0" applyAlignment="0" applyProtection="0"/>
    <xf numFmtId="174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3" fontId="14" fillId="32" borderId="1" applyFill="0" applyBorder="0" applyAlignment="0" applyProtection="0"/>
    <xf numFmtId="173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3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3" fontId="14" fillId="32" borderId="1" applyFill="0" applyBorder="0" applyAlignment="0" applyProtection="0"/>
    <xf numFmtId="173" fontId="14" fillId="32" borderId="1" applyFill="0" applyBorder="0" applyAlignment="0" applyProtection="0"/>
    <xf numFmtId="173" fontId="14" fillId="32" borderId="1" applyFill="0" applyBorder="0" applyAlignment="0" applyProtection="0"/>
    <xf numFmtId="173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3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3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5" fontId="14" fillId="32" borderId="1" applyFill="0" applyBorder="0" applyAlignment="0" applyProtection="0"/>
    <xf numFmtId="173" fontId="14" fillId="32" borderId="1" applyFill="0" applyBorder="0" applyAlignment="0" applyProtection="0"/>
    <xf numFmtId="173" fontId="14" fillId="32" borderId="1" applyFill="0" applyBorder="0" applyAlignment="0" applyProtection="0"/>
    <xf numFmtId="173" fontId="14" fillId="32" borderId="1" applyFill="0" applyBorder="0" applyAlignment="0" applyProtection="0"/>
    <xf numFmtId="173" fontId="14" fillId="32" borderId="1" applyFill="0" applyBorder="0" applyAlignment="0" applyProtection="0"/>
    <xf numFmtId="9" fontId="29" fillId="32" borderId="1" applyBorder="0" applyProtection="0"/>
    <xf numFmtId="170" fontId="14" fillId="32" borderId="1"/>
    <xf numFmtId="0" fontId="32" fillId="32" borderId="1" applyNumberFormat="0" applyFill="0" applyBorder="0" applyAlignment="0" applyProtection="0"/>
    <xf numFmtId="0" fontId="33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5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6" fillId="32" borderId="36" applyNumberFormat="0" applyFill="0" applyAlignment="0" applyProtection="0"/>
    <xf numFmtId="0" fontId="34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6" fillId="32" borderId="36" applyNumberFormat="0" applyFill="0" applyAlignment="0" applyProtection="0"/>
    <xf numFmtId="0" fontId="36" fillId="32" borderId="36" applyNumberFormat="0" applyFill="0" applyAlignment="0" applyProtection="0"/>
    <xf numFmtId="0" fontId="37" fillId="32" borderId="36" applyNumberFormat="0" applyFill="0" applyAlignment="0" applyProtection="0"/>
    <xf numFmtId="0" fontId="38" fillId="32" borderId="37" applyNumberFormat="0" applyFill="0" applyAlignment="0" applyProtection="0"/>
    <xf numFmtId="0" fontId="39" fillId="32" borderId="38" applyNumberFormat="0" applyFill="0" applyAlignment="0" applyProtection="0"/>
    <xf numFmtId="0" fontId="39" fillId="32" borderId="1" applyNumberFormat="0" applyFill="0" applyBorder="0" applyAlignment="0" applyProtection="0"/>
    <xf numFmtId="0" fontId="35" fillId="32" borderId="1" applyNumberFormat="0" applyFill="0" applyBorder="0" applyAlignment="0" applyProtection="0"/>
    <xf numFmtId="0" fontId="40" fillId="32" borderId="1" applyNumberFormat="0" applyFill="0" applyBorder="0" applyAlignment="0" applyProtection="0"/>
    <xf numFmtId="0" fontId="34" fillId="32" borderId="1" applyNumberFormat="0" applyFill="0" applyBorder="0" applyAlignment="0" applyProtection="0"/>
    <xf numFmtId="0" fontId="35" fillId="32" borderId="1" applyNumberFormat="0" applyFill="0" applyBorder="0" applyAlignment="0" applyProtection="0"/>
    <xf numFmtId="0" fontId="40" fillId="32" borderId="1" applyNumberFormat="0" applyFill="0" applyBorder="0" applyAlignment="0" applyProtection="0"/>
    <xf numFmtId="0" fontId="41" fillId="32" borderId="39" applyNumberFormat="0" applyFill="0" applyAlignment="0" applyProtection="0"/>
    <xf numFmtId="173" fontId="14" fillId="32" borderId="1" applyFill="0" applyBorder="0" applyAlignment="0" applyProtection="0"/>
    <xf numFmtId="176" fontId="14" fillId="32" borderId="1" applyFill="0" applyBorder="0" applyAlignment="0" applyProtection="0"/>
    <xf numFmtId="174" fontId="14" fillId="32" borderId="1" applyFill="0" applyBorder="0" applyAlignment="0" applyProtection="0"/>
    <xf numFmtId="43" fontId="7" fillId="32" borderId="1" applyFont="0" applyFill="0" applyBorder="0" applyAlignment="0" applyProtection="0"/>
    <xf numFmtId="0" fontId="7" fillId="32" borderId="1"/>
    <xf numFmtId="0" fontId="14" fillId="32" borderId="1"/>
    <xf numFmtId="43" fontId="7" fillId="32" borderId="1" applyFont="0" applyFill="0" applyBorder="0" applyAlignment="0" applyProtection="0"/>
    <xf numFmtId="0" fontId="7" fillId="32" borderId="1"/>
    <xf numFmtId="0" fontId="1" fillId="32" borderId="1"/>
    <xf numFmtId="0" fontId="1" fillId="32" borderId="1"/>
    <xf numFmtId="0" fontId="1" fillId="32" borderId="1"/>
    <xf numFmtId="43" fontId="1" fillId="32" borderId="1" applyFont="0" applyFill="0" applyBorder="0" applyAlignment="0" applyProtection="0"/>
    <xf numFmtId="43" fontId="1" fillId="32" borderId="1" applyFont="0" applyFill="0" applyBorder="0" applyAlignment="0" applyProtection="0"/>
    <xf numFmtId="44" fontId="1" fillId="32" borderId="1" applyFont="0" applyFill="0" applyBorder="0" applyAlignment="0" applyProtection="0"/>
    <xf numFmtId="0" fontId="1" fillId="32" borderId="1"/>
    <xf numFmtId="165" fontId="1" fillId="32" borderId="1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1"/>
    <xf numFmtId="0" fontId="1" fillId="67" borderId="1" applyNumberFormat="0" applyBorder="0" applyAlignment="0" applyProtection="0"/>
    <xf numFmtId="0" fontId="1" fillId="67" borderId="1" applyNumberFormat="0" applyBorder="0" applyAlignment="0" applyProtection="0"/>
    <xf numFmtId="0" fontId="1" fillId="71" borderId="1" applyNumberFormat="0" applyBorder="0" applyAlignment="0" applyProtection="0"/>
    <xf numFmtId="0" fontId="1" fillId="71" borderId="1" applyNumberFormat="0" applyBorder="0" applyAlignment="0" applyProtection="0"/>
    <xf numFmtId="0" fontId="1" fillId="75" borderId="1" applyNumberFormat="0" applyBorder="0" applyAlignment="0" applyProtection="0"/>
    <xf numFmtId="0" fontId="1" fillId="75" borderId="1" applyNumberFormat="0" applyBorder="0" applyAlignment="0" applyProtection="0"/>
    <xf numFmtId="0" fontId="1" fillId="79" borderId="1" applyNumberFormat="0" applyBorder="0" applyAlignment="0" applyProtection="0"/>
    <xf numFmtId="0" fontId="1" fillId="79" borderId="1" applyNumberFormat="0" applyBorder="0" applyAlignment="0" applyProtection="0"/>
    <xf numFmtId="0" fontId="1" fillId="83" borderId="1" applyNumberFormat="0" applyBorder="0" applyAlignment="0" applyProtection="0"/>
    <xf numFmtId="0" fontId="1" fillId="83" borderId="1" applyNumberFormat="0" applyBorder="0" applyAlignment="0" applyProtection="0"/>
    <xf numFmtId="0" fontId="1" fillId="87" borderId="1" applyNumberFormat="0" applyBorder="0" applyAlignment="0" applyProtection="0"/>
    <xf numFmtId="0" fontId="1" fillId="87" borderId="1" applyNumberFormat="0" applyBorder="0" applyAlignment="0" applyProtection="0"/>
    <xf numFmtId="0" fontId="1" fillId="68" borderId="1" applyNumberFormat="0" applyBorder="0" applyAlignment="0" applyProtection="0"/>
    <xf numFmtId="0" fontId="1" fillId="68" borderId="1" applyNumberFormat="0" applyBorder="0" applyAlignment="0" applyProtection="0"/>
    <xf numFmtId="0" fontId="1" fillId="72" borderId="1" applyNumberFormat="0" applyBorder="0" applyAlignment="0" applyProtection="0"/>
    <xf numFmtId="0" fontId="1" fillId="72" borderId="1" applyNumberFormat="0" applyBorder="0" applyAlignment="0" applyProtection="0"/>
    <xf numFmtId="0" fontId="1" fillId="76" borderId="1" applyNumberFormat="0" applyBorder="0" applyAlignment="0" applyProtection="0"/>
    <xf numFmtId="0" fontId="1" fillId="76" borderId="1" applyNumberFormat="0" applyBorder="0" applyAlignment="0" applyProtection="0"/>
    <xf numFmtId="0" fontId="1" fillId="80" borderId="1" applyNumberFormat="0" applyBorder="0" applyAlignment="0" applyProtection="0"/>
    <xf numFmtId="0" fontId="1" fillId="80" borderId="1" applyNumberFormat="0" applyBorder="0" applyAlignment="0" applyProtection="0"/>
    <xf numFmtId="0" fontId="1" fillId="84" borderId="1" applyNumberFormat="0" applyBorder="0" applyAlignment="0" applyProtection="0"/>
    <xf numFmtId="0" fontId="1" fillId="84" borderId="1" applyNumberFormat="0" applyBorder="0" applyAlignment="0" applyProtection="0"/>
    <xf numFmtId="0" fontId="1" fillId="88" borderId="1" applyNumberFormat="0" applyBorder="0" applyAlignment="0" applyProtection="0"/>
    <xf numFmtId="0" fontId="1" fillId="88" borderId="1" applyNumberFormat="0" applyBorder="0" applyAlignment="0" applyProtection="0"/>
    <xf numFmtId="0" fontId="58" fillId="69" borderId="1" applyNumberFormat="0" applyBorder="0" applyAlignment="0" applyProtection="0"/>
    <xf numFmtId="0" fontId="58" fillId="69" borderId="1" applyNumberFormat="0" applyBorder="0" applyAlignment="0" applyProtection="0"/>
    <xf numFmtId="0" fontId="58" fillId="73" borderId="1" applyNumberFormat="0" applyBorder="0" applyAlignment="0" applyProtection="0"/>
    <xf numFmtId="0" fontId="58" fillId="73" borderId="1" applyNumberFormat="0" applyBorder="0" applyAlignment="0" applyProtection="0"/>
    <xf numFmtId="0" fontId="58" fillId="77" borderId="1" applyNumberFormat="0" applyBorder="0" applyAlignment="0" applyProtection="0"/>
    <xf numFmtId="0" fontId="58" fillId="77" borderId="1" applyNumberFormat="0" applyBorder="0" applyAlignment="0" applyProtection="0"/>
    <xf numFmtId="0" fontId="58" fillId="81" borderId="1" applyNumberFormat="0" applyBorder="0" applyAlignment="0" applyProtection="0"/>
    <xf numFmtId="0" fontId="58" fillId="81" borderId="1" applyNumberFormat="0" applyBorder="0" applyAlignment="0" applyProtection="0"/>
    <xf numFmtId="0" fontId="58" fillId="85" borderId="1" applyNumberFormat="0" applyBorder="0" applyAlignment="0" applyProtection="0"/>
    <xf numFmtId="0" fontId="58" fillId="85" borderId="1" applyNumberFormat="0" applyBorder="0" applyAlignment="0" applyProtection="0"/>
    <xf numFmtId="0" fontId="58" fillId="89" borderId="1" applyNumberFormat="0" applyBorder="0" applyAlignment="0" applyProtection="0"/>
    <xf numFmtId="0" fontId="58" fillId="89" borderId="1" applyNumberFormat="0" applyBorder="0" applyAlignment="0" applyProtection="0"/>
    <xf numFmtId="0" fontId="58" fillId="66" borderId="1" applyNumberFormat="0" applyBorder="0" applyAlignment="0" applyProtection="0"/>
    <xf numFmtId="0" fontId="58" fillId="66" borderId="1" applyNumberFormat="0" applyBorder="0" applyAlignment="0" applyProtection="0"/>
    <xf numFmtId="0" fontId="58" fillId="70" borderId="1" applyNumberFormat="0" applyBorder="0" applyAlignment="0" applyProtection="0"/>
    <xf numFmtId="0" fontId="58" fillId="70" borderId="1" applyNumberFormat="0" applyBorder="0" applyAlignment="0" applyProtection="0"/>
    <xf numFmtId="0" fontId="58" fillId="74" borderId="1" applyNumberFormat="0" applyBorder="0" applyAlignment="0" applyProtection="0"/>
    <xf numFmtId="0" fontId="58" fillId="74" borderId="1" applyNumberFormat="0" applyBorder="0" applyAlignment="0" applyProtection="0"/>
    <xf numFmtId="0" fontId="58" fillId="78" borderId="1" applyNumberFormat="0" applyBorder="0" applyAlignment="0" applyProtection="0"/>
    <xf numFmtId="0" fontId="58" fillId="78" borderId="1" applyNumberFormat="0" applyBorder="0" applyAlignment="0" applyProtection="0"/>
    <xf numFmtId="0" fontId="58" fillId="82" borderId="1" applyNumberFormat="0" applyBorder="0" applyAlignment="0" applyProtection="0"/>
    <xf numFmtId="0" fontId="58" fillId="82" borderId="1" applyNumberFormat="0" applyBorder="0" applyAlignment="0" applyProtection="0"/>
    <xf numFmtId="0" fontId="58" fillId="86" borderId="1" applyNumberFormat="0" applyBorder="0" applyAlignment="0" applyProtection="0"/>
    <xf numFmtId="0" fontId="58" fillId="86" borderId="1" applyNumberFormat="0" applyBorder="0" applyAlignment="0" applyProtection="0"/>
    <xf numFmtId="0" fontId="49" fillId="60" borderId="1" applyNumberFormat="0" applyBorder="0" applyAlignment="0" applyProtection="0"/>
    <xf numFmtId="0" fontId="49" fillId="60" borderId="1" applyNumberFormat="0" applyBorder="0" applyAlignment="0" applyProtection="0"/>
    <xf numFmtId="0" fontId="53" fillId="63" borderId="59" applyNumberFormat="0" applyAlignment="0" applyProtection="0"/>
    <xf numFmtId="0" fontId="53" fillId="63" borderId="59" applyNumberFormat="0" applyAlignment="0" applyProtection="0"/>
    <xf numFmtId="0" fontId="55" fillId="64" borderId="62" applyNumberFormat="0" applyAlignment="0" applyProtection="0"/>
    <xf numFmtId="0" fontId="55" fillId="64" borderId="62" applyNumberFormat="0" applyAlignment="0" applyProtection="0"/>
    <xf numFmtId="0" fontId="57" fillId="32" borderId="1" applyNumberFormat="0" applyFill="0" applyBorder="0" applyAlignment="0" applyProtection="0"/>
    <xf numFmtId="0" fontId="57" fillId="32" borderId="1" applyNumberFormat="0" applyFill="0" applyBorder="0" applyAlignment="0" applyProtection="0"/>
    <xf numFmtId="0" fontId="48" fillId="59" borderId="1" applyNumberFormat="0" applyBorder="0" applyAlignment="0" applyProtection="0"/>
    <xf numFmtId="0" fontId="48" fillId="59" borderId="1" applyNumberFormat="0" applyBorder="0" applyAlignment="0" applyProtection="0"/>
    <xf numFmtId="0" fontId="45" fillId="32" borderId="56" applyNumberFormat="0" applyFill="0" applyAlignment="0" applyProtection="0"/>
    <xf numFmtId="0" fontId="45" fillId="32" borderId="56" applyNumberFormat="0" applyFill="0" applyAlignment="0" applyProtection="0"/>
    <xf numFmtId="0" fontId="46" fillId="32" borderId="57" applyNumberFormat="0" applyFill="0" applyAlignment="0" applyProtection="0"/>
    <xf numFmtId="0" fontId="46" fillId="32" borderId="57" applyNumberFormat="0" applyFill="0" applyAlignment="0" applyProtection="0"/>
    <xf numFmtId="0" fontId="47" fillId="32" borderId="58" applyNumberFormat="0" applyFill="0" applyAlignment="0" applyProtection="0"/>
    <xf numFmtId="0" fontId="47" fillId="32" borderId="58" applyNumberFormat="0" applyFill="0" applyAlignment="0" applyProtection="0"/>
    <xf numFmtId="0" fontId="47" fillId="32" borderId="1" applyNumberFormat="0" applyFill="0" applyBorder="0" applyAlignment="0" applyProtection="0"/>
    <xf numFmtId="0" fontId="47" fillId="32" borderId="1" applyNumberFormat="0" applyFill="0" applyBorder="0" applyAlignment="0" applyProtection="0"/>
    <xf numFmtId="0" fontId="51" fillId="62" borderId="59" applyNumberFormat="0" applyAlignment="0" applyProtection="0"/>
    <xf numFmtId="0" fontId="51" fillId="62" borderId="59" applyNumberFormat="0" applyAlignment="0" applyProtection="0"/>
    <xf numFmtId="0" fontId="54" fillId="32" borderId="61" applyNumberFormat="0" applyFill="0" applyAlignment="0" applyProtection="0"/>
    <xf numFmtId="0" fontId="54" fillId="32" borderId="61" applyNumberFormat="0" applyFill="0" applyAlignment="0" applyProtection="0"/>
    <xf numFmtId="0" fontId="50" fillId="61" borderId="1" applyNumberFormat="0" applyBorder="0" applyAlignment="0" applyProtection="0"/>
    <xf numFmtId="0" fontId="50" fillId="61" borderId="1" applyNumberFormat="0" applyBorder="0" applyAlignment="0" applyProtection="0"/>
    <xf numFmtId="0" fontId="1" fillId="65" borderId="63" applyNumberFormat="0" applyFont="0" applyAlignment="0" applyProtection="0"/>
    <xf numFmtId="0" fontId="1" fillId="65" borderId="63" applyNumberFormat="0" applyFont="0" applyAlignment="0" applyProtection="0"/>
    <xf numFmtId="0" fontId="52" fillId="63" borderId="60" applyNumberFormat="0" applyAlignment="0" applyProtection="0"/>
    <xf numFmtId="0" fontId="52" fillId="63" borderId="60" applyNumberFormat="0" applyAlignment="0" applyProtection="0"/>
    <xf numFmtId="0" fontId="44" fillId="32" borderId="1" applyNumberFormat="0" applyFill="0" applyBorder="0" applyAlignment="0" applyProtection="0"/>
    <xf numFmtId="0" fontId="44" fillId="32" borderId="1" applyNumberFormat="0" applyFill="0" applyBorder="0" applyAlignment="0" applyProtection="0"/>
    <xf numFmtId="0" fontId="56" fillId="32" borderId="1" applyNumberFormat="0" applyFill="0" applyBorder="0" applyAlignment="0" applyProtection="0"/>
    <xf numFmtId="0" fontId="56" fillId="32" borderId="1" applyNumberFormat="0" applyFill="0" applyBorder="0" applyAlignment="0" applyProtection="0"/>
    <xf numFmtId="0" fontId="1" fillId="32" borderId="1"/>
    <xf numFmtId="43" fontId="1" fillId="32" borderId="1" applyFont="0" applyFill="0" applyBorder="0" applyAlignment="0" applyProtection="0"/>
    <xf numFmtId="0" fontId="1" fillId="32" borderId="1"/>
    <xf numFmtId="0" fontId="14" fillId="32" borderId="1"/>
    <xf numFmtId="178" fontId="14" fillId="32" borderId="1" applyFill="0" applyBorder="0" applyAlignment="0" applyProtection="0"/>
    <xf numFmtId="0" fontId="1" fillId="32" borderId="1"/>
    <xf numFmtId="0" fontId="1" fillId="32" borderId="1"/>
    <xf numFmtId="0" fontId="1" fillId="32" borderId="1"/>
    <xf numFmtId="0" fontId="1" fillId="32" borderId="1"/>
  </cellStyleXfs>
  <cellXfs count="1137">
    <xf numFmtId="0" fontId="0" fillId="0" borderId="0" xfId="0"/>
    <xf numFmtId="4" fontId="3" fillId="4" borderId="2" xfId="0" applyNumberFormat="1" applyFont="1" applyFill="1" applyBorder="1" applyAlignment="1" applyProtection="1">
      <alignment horizontal="right" vertical="center" wrapText="1"/>
    </xf>
    <xf numFmtId="4" fontId="2" fillId="0" borderId="0" xfId="0" applyNumberFormat="1" applyFont="1" applyAlignment="1">
      <alignment wrapText="1"/>
    </xf>
    <xf numFmtId="4" fontId="3" fillId="2" borderId="2" xfId="0" applyNumberFormat="1" applyFont="1" applyFill="1" applyBorder="1" applyAlignment="1" applyProtection="1">
      <alignment horizontal="center" vertical="center" wrapText="1"/>
    </xf>
    <xf numFmtId="4" fontId="2" fillId="5" borderId="0" xfId="0" applyNumberFormat="1" applyFont="1" applyFill="1" applyBorder="1" applyAlignment="1" applyProtection="1">
      <alignment wrapText="1"/>
      <protection locked="0"/>
    </xf>
    <xf numFmtId="4" fontId="5" fillId="13" borderId="4" xfId="0" applyNumberFormat="1" applyFont="1" applyFill="1" applyBorder="1" applyAlignment="1" applyProtection="1">
      <alignment horizontal="right" vertical="center" wrapText="1"/>
    </xf>
    <xf numFmtId="4" fontId="3" fillId="14" borderId="4" xfId="0" applyNumberFormat="1" applyFont="1" applyFill="1" applyBorder="1" applyAlignment="1" applyProtection="1">
      <alignment horizontal="right" vertical="center" wrapText="1"/>
    </xf>
    <xf numFmtId="4" fontId="5" fillId="18" borderId="2" xfId="0" applyNumberFormat="1" applyFont="1" applyFill="1" applyBorder="1" applyAlignment="1" applyProtection="1">
      <alignment horizontal="right" vertical="center" wrapText="1"/>
    </xf>
    <xf numFmtId="4" fontId="3" fillId="20" borderId="2" xfId="0" applyNumberFormat="1" applyFont="1" applyFill="1" applyBorder="1" applyAlignment="1" applyProtection="1">
      <alignment horizontal="right" vertical="center" wrapText="1"/>
    </xf>
    <xf numFmtId="4" fontId="5" fillId="28" borderId="4" xfId="0" applyNumberFormat="1" applyFont="1" applyFill="1" applyBorder="1" applyAlignment="1" applyProtection="1">
      <alignment horizontal="right" vertical="center" wrapText="1"/>
    </xf>
    <xf numFmtId="4" fontId="5" fillId="9" borderId="2" xfId="0" applyNumberFormat="1" applyFont="1" applyFill="1" applyBorder="1" applyAlignment="1" applyProtection="1">
      <alignment horizontal="center" vertical="center" wrapText="1"/>
    </xf>
    <xf numFmtId="4" fontId="2" fillId="21" borderId="4" xfId="0" applyNumberFormat="1" applyFont="1" applyFill="1" applyBorder="1" applyAlignment="1" applyProtection="1">
      <alignment wrapText="1"/>
      <protection locked="0"/>
    </xf>
    <xf numFmtId="4" fontId="2" fillId="22" borderId="5" xfId="0" applyNumberFormat="1" applyFont="1" applyFill="1" applyBorder="1" applyAlignment="1" applyProtection="1">
      <alignment wrapText="1"/>
      <protection locked="0"/>
    </xf>
    <xf numFmtId="4" fontId="2" fillId="23" borderId="6" xfId="0" applyNumberFormat="1" applyFont="1" applyFill="1" applyBorder="1" applyAlignment="1" applyProtection="1">
      <alignment wrapText="1"/>
      <protection locked="0"/>
    </xf>
    <xf numFmtId="4" fontId="2" fillId="24" borderId="7" xfId="0" applyNumberFormat="1" applyFont="1" applyFill="1" applyBorder="1" applyAlignment="1" applyProtection="1">
      <alignment wrapText="1"/>
      <protection locked="0"/>
    </xf>
    <xf numFmtId="4" fontId="2" fillId="25" borderId="5" xfId="0" applyNumberFormat="1" applyFont="1" applyFill="1" applyBorder="1" applyAlignment="1" applyProtection="1">
      <alignment wrapText="1"/>
      <protection locked="0"/>
    </xf>
    <xf numFmtId="4" fontId="2" fillId="26" borderId="8" xfId="0" applyNumberFormat="1" applyFont="1" applyFill="1" applyBorder="1" applyAlignment="1" applyProtection="1">
      <alignment wrapText="1"/>
      <protection locked="0"/>
    </xf>
    <xf numFmtId="4" fontId="2" fillId="29" borderId="7" xfId="0" applyNumberFormat="1" applyFont="1" applyFill="1" applyBorder="1" applyAlignment="1" applyProtection="1">
      <alignment wrapText="1"/>
      <protection locked="0"/>
    </xf>
    <xf numFmtId="4" fontId="2" fillId="30" borderId="10" xfId="0" applyNumberFormat="1" applyFont="1" applyFill="1" applyBorder="1" applyAlignment="1" applyProtection="1">
      <alignment wrapText="1"/>
      <protection locked="0"/>
    </xf>
    <xf numFmtId="4" fontId="5" fillId="18" borderId="2" xfId="0" applyNumberFormat="1" applyFont="1" applyFill="1" applyBorder="1" applyAlignment="1" applyProtection="1">
      <alignment horizontal="right" vertical="center" wrapText="1"/>
    </xf>
    <xf numFmtId="0" fontId="9" fillId="32" borderId="11" xfId="1" applyFont="1" applyBorder="1" applyAlignment="1" applyProtection="1">
      <alignment horizontal="left" vertical="center" wrapText="1"/>
      <protection locked="0"/>
    </xf>
    <xf numFmtId="4" fontId="2" fillId="0" borderId="1" xfId="0" applyNumberFormat="1" applyFont="1" applyBorder="1" applyAlignment="1">
      <alignment wrapText="1"/>
    </xf>
    <xf numFmtId="4" fontId="5" fillId="18" borderId="2" xfId="0" applyNumberFormat="1" applyFont="1" applyFill="1" applyBorder="1" applyAlignment="1" applyProtection="1">
      <alignment horizontal="right" vertical="center" wrapText="1"/>
    </xf>
    <xf numFmtId="4" fontId="5" fillId="0" borderId="2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4" fontId="5" fillId="0" borderId="2" xfId="0" applyNumberFormat="1" applyFont="1" applyFill="1" applyBorder="1" applyAlignment="1" applyProtection="1">
      <alignment horizontal="center" vertical="center" wrapText="1"/>
    </xf>
    <xf numFmtId="4" fontId="5" fillId="0" borderId="2" xfId="0" applyNumberFormat="1" applyFont="1" applyFill="1" applyBorder="1" applyAlignment="1" applyProtection="1">
      <alignment horizontal="right" vertical="center" wrapText="1"/>
    </xf>
    <xf numFmtId="4" fontId="2" fillId="0" borderId="0" xfId="0" applyNumberFormat="1" applyFont="1" applyFill="1" applyAlignment="1">
      <alignment wrapText="1"/>
    </xf>
    <xf numFmtId="4" fontId="2" fillId="54" borderId="0" xfId="0" applyNumberFormat="1" applyFont="1" applyFill="1" applyAlignment="1">
      <alignment wrapText="1"/>
    </xf>
    <xf numFmtId="0" fontId="0" fillId="32" borderId="1" xfId="199" applyFont="1" applyFill="1" applyBorder="1"/>
    <xf numFmtId="0" fontId="0" fillId="32" borderId="1" xfId="199" applyFont="1" applyFill="1" applyBorder="1" applyAlignment="1">
      <alignment horizontal="center"/>
    </xf>
    <xf numFmtId="44" fontId="0" fillId="32" borderId="1" xfId="40" applyFont="1" applyFill="1" applyBorder="1"/>
    <xf numFmtId="4" fontId="2" fillId="0" borderId="0" xfId="0" applyNumberFormat="1" applyFont="1" applyAlignment="1">
      <alignment horizontal="left" wrapText="1"/>
    </xf>
    <xf numFmtId="4" fontId="2" fillId="54" borderId="0" xfId="0" applyNumberFormat="1" applyFont="1" applyFill="1" applyAlignment="1">
      <alignment horizontal="left" wrapText="1"/>
    </xf>
    <xf numFmtId="4" fontId="2" fillId="55" borderId="0" xfId="0" applyNumberFormat="1" applyFont="1" applyFill="1" applyAlignment="1">
      <alignment wrapText="1"/>
    </xf>
    <xf numFmtId="4" fontId="2" fillId="0" borderId="0" xfId="0" applyNumberFormat="1" applyFont="1" applyAlignment="1">
      <alignment vertical="center" wrapText="1"/>
    </xf>
    <xf numFmtId="4" fontId="2" fillId="54" borderId="0" xfId="0" applyNumberFormat="1" applyFont="1" applyFill="1" applyAlignment="1">
      <alignment horizontal="left" vertical="center" wrapText="1"/>
    </xf>
    <xf numFmtId="4" fontId="2" fillId="54" borderId="0" xfId="0" applyNumberFormat="1" applyFont="1" applyFill="1" applyAlignment="1">
      <alignment vertical="center" wrapText="1"/>
    </xf>
    <xf numFmtId="4" fontId="2" fillId="0" borderId="0" xfId="0" applyNumberFormat="1" applyFont="1" applyAlignment="1">
      <alignment horizontal="left" vertical="center" wrapText="1"/>
    </xf>
    <xf numFmtId="4" fontId="6" fillId="56" borderId="0" xfId="0" applyNumberFormat="1" applyFont="1" applyFill="1" applyAlignment="1">
      <alignment wrapText="1"/>
    </xf>
    <xf numFmtId="10" fontId="2" fillId="0" borderId="0" xfId="0" applyNumberFormat="1" applyFont="1" applyAlignment="1">
      <alignment wrapText="1"/>
    </xf>
    <xf numFmtId="4" fontId="6" fillId="0" borderId="2" xfId="0" applyNumberFormat="1" applyFont="1" applyFill="1" applyBorder="1" applyAlignment="1" applyProtection="1">
      <alignment horizontal="left" vertical="center" wrapText="1"/>
    </xf>
    <xf numFmtId="4" fontId="2" fillId="0" borderId="0" xfId="0" applyNumberFormat="1" applyFont="1" applyFill="1" applyAlignment="1">
      <alignment vertical="center" wrapText="1"/>
    </xf>
    <xf numFmtId="4" fontId="2" fillId="0" borderId="0" xfId="0" applyNumberFormat="1" applyFont="1" applyFill="1" applyAlignment="1">
      <alignment horizontal="left" vertical="center" wrapText="1"/>
    </xf>
    <xf numFmtId="4" fontId="3" fillId="57" borderId="2" xfId="0" applyNumberFormat="1" applyFont="1" applyFill="1" applyBorder="1" applyAlignment="1" applyProtection="1">
      <alignment horizontal="right" vertical="center" wrapText="1"/>
    </xf>
    <xf numFmtId="4" fontId="2" fillId="57" borderId="0" xfId="0" applyNumberFormat="1" applyFont="1" applyFill="1" applyAlignment="1">
      <alignment wrapText="1"/>
    </xf>
    <xf numFmtId="4" fontId="2" fillId="57" borderId="0" xfId="0" applyNumberFormat="1" applyFont="1" applyFill="1" applyAlignment="1">
      <alignment vertical="center" wrapText="1"/>
    </xf>
    <xf numFmtId="4" fontId="2" fillId="55" borderId="0" xfId="0" applyNumberFormat="1" applyFont="1" applyFill="1" applyAlignment="1">
      <alignment vertical="center" wrapText="1"/>
    </xf>
    <xf numFmtId="10" fontId="2" fillId="0" borderId="1" xfId="0" applyNumberFormat="1" applyFont="1" applyBorder="1" applyAlignment="1">
      <alignment horizontal="left" wrapText="1"/>
    </xf>
    <xf numFmtId="4" fontId="2" fillId="57" borderId="0" xfId="0" applyNumberFormat="1" applyFont="1" applyFill="1" applyAlignment="1">
      <alignment horizontal="left" vertical="center" wrapText="1"/>
    </xf>
    <xf numFmtId="4" fontId="2" fillId="0" borderId="1" xfId="0" applyNumberFormat="1" applyFont="1" applyBorder="1" applyAlignment="1">
      <alignment vertical="center" wrapText="1"/>
    </xf>
    <xf numFmtId="4" fontId="3" fillId="57" borderId="1" xfId="0" applyNumberFormat="1" applyFont="1" applyFill="1" applyBorder="1" applyAlignment="1" applyProtection="1">
      <alignment horizontal="right" vertical="center" wrapText="1"/>
    </xf>
    <xf numFmtId="4" fontId="2" fillId="57" borderId="1" xfId="0" applyNumberFormat="1" applyFont="1" applyFill="1" applyBorder="1" applyAlignment="1">
      <alignment vertical="center" wrapText="1"/>
    </xf>
    <xf numFmtId="4" fontId="3" fillId="0" borderId="1" xfId="0" applyNumberFormat="1" applyFont="1" applyFill="1" applyBorder="1" applyAlignment="1" applyProtection="1">
      <alignment horizontal="center" vertical="top" wrapText="1"/>
    </xf>
    <xf numFmtId="4" fontId="3" fillId="0" borderId="1" xfId="0" applyNumberFormat="1" applyFont="1" applyFill="1" applyBorder="1" applyAlignment="1" applyProtection="1">
      <alignment horizontal="right" vertical="top" wrapText="1"/>
    </xf>
    <xf numFmtId="4" fontId="2" fillId="57" borderId="53" xfId="0" applyNumberFormat="1" applyFont="1" applyFill="1" applyBorder="1" applyAlignment="1">
      <alignment wrapText="1"/>
    </xf>
    <xf numFmtId="4" fontId="2" fillId="57" borderId="1" xfId="0" applyNumberFormat="1" applyFont="1" applyFill="1" applyBorder="1" applyAlignment="1">
      <alignment wrapText="1"/>
    </xf>
    <xf numFmtId="4" fontId="3" fillId="57" borderId="53" xfId="0" applyNumberFormat="1" applyFont="1" applyFill="1" applyBorder="1" applyAlignment="1" applyProtection="1">
      <alignment horizontal="right" vertical="center" wrapText="1"/>
    </xf>
    <xf numFmtId="4" fontId="2" fillId="54" borderId="53" xfId="0" applyNumberFormat="1" applyFont="1" applyFill="1" applyBorder="1" applyAlignment="1">
      <alignment wrapText="1"/>
    </xf>
    <xf numFmtId="4" fontId="3" fillId="4" borderId="53" xfId="0" applyNumberFormat="1" applyFont="1" applyFill="1" applyBorder="1" applyAlignment="1" applyProtection="1">
      <alignment horizontal="right" vertical="center" wrapText="1"/>
    </xf>
    <xf numFmtId="4" fontId="3" fillId="4" borderId="13" xfId="0" applyNumberFormat="1" applyFont="1" applyFill="1" applyBorder="1" applyAlignment="1" applyProtection="1">
      <alignment horizontal="right" vertical="center" wrapText="1"/>
    </xf>
    <xf numFmtId="10" fontId="2" fillId="58" borderId="0" xfId="0" applyNumberFormat="1" applyFont="1" applyFill="1" applyAlignment="1">
      <alignment horizontal="left" wrapText="1"/>
    </xf>
    <xf numFmtId="4" fontId="2" fillId="58" borderId="0" xfId="0" applyNumberFormat="1" applyFont="1" applyFill="1" applyAlignment="1">
      <alignment wrapText="1"/>
    </xf>
    <xf numFmtId="4" fontId="2" fillId="58" borderId="0" xfId="0" applyNumberFormat="1" applyFont="1" applyFill="1" applyAlignment="1">
      <alignment horizontal="left" wrapText="1"/>
    </xf>
    <xf numFmtId="4" fontId="2" fillId="58" borderId="0" xfId="0" applyNumberFormat="1" applyFont="1" applyFill="1" applyAlignment="1">
      <alignment horizontal="left" vertical="center" wrapText="1"/>
    </xf>
    <xf numFmtId="4" fontId="2" fillId="58" borderId="0" xfId="0" applyNumberFormat="1" applyFont="1" applyFill="1" applyAlignment="1">
      <alignment vertical="center" wrapText="1"/>
    </xf>
    <xf numFmtId="4" fontId="2" fillId="58" borderId="1" xfId="0" applyNumberFormat="1" applyFont="1" applyFill="1" applyBorder="1" applyAlignment="1">
      <alignment horizontal="left" vertical="center" wrapText="1"/>
    </xf>
    <xf numFmtId="4" fontId="2" fillId="58" borderId="1" xfId="0" applyNumberFormat="1" applyFont="1" applyFill="1" applyBorder="1" applyAlignment="1">
      <alignment vertical="center" wrapText="1"/>
    </xf>
    <xf numFmtId="4" fontId="2" fillId="58" borderId="53" xfId="0" applyNumberFormat="1" applyFont="1" applyFill="1" applyBorder="1" applyAlignment="1">
      <alignment vertical="center" wrapText="1"/>
    </xf>
    <xf numFmtId="4" fontId="2" fillId="54" borderId="1" xfId="0" applyNumberFormat="1" applyFont="1" applyFill="1" applyBorder="1" applyAlignment="1">
      <alignment vertical="center" wrapText="1"/>
    </xf>
    <xf numFmtId="4" fontId="3" fillId="54" borderId="53" xfId="0" applyNumberFormat="1" applyFont="1" applyFill="1" applyBorder="1" applyAlignment="1" applyProtection="1">
      <alignment horizontal="right" vertical="center" wrapText="1"/>
    </xf>
    <xf numFmtId="4" fontId="2" fillId="57" borderId="53" xfId="0" applyNumberFormat="1" applyFont="1" applyFill="1" applyBorder="1" applyAlignment="1">
      <alignment vertical="center" wrapText="1"/>
    </xf>
    <xf numFmtId="4" fontId="2" fillId="57" borderId="0" xfId="0" applyNumberFormat="1" applyFont="1" applyFill="1" applyAlignment="1">
      <alignment horizontal="left" wrapText="1"/>
    </xf>
    <xf numFmtId="4" fontId="42" fillId="0" borderId="40" xfId="0" applyNumberFormat="1" applyFont="1" applyFill="1" applyBorder="1" applyAlignment="1">
      <alignment wrapText="1"/>
    </xf>
    <xf numFmtId="4" fontId="42" fillId="0" borderId="40" xfId="0" applyNumberFormat="1" applyFont="1" applyBorder="1" applyAlignment="1">
      <alignment wrapText="1"/>
    </xf>
    <xf numFmtId="4" fontId="3" fillId="0" borderId="40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2" xfId="0" applyNumberFormat="1" applyFont="1" applyFill="1" applyBorder="1" applyAlignment="1" applyProtection="1">
      <alignment horizontal="center" vertical="center" wrapText="1"/>
    </xf>
    <xf numFmtId="4" fontId="5" fillId="0" borderId="2" xfId="0" applyNumberFormat="1" applyFont="1" applyFill="1" applyBorder="1" applyAlignment="1" applyProtection="1">
      <alignment horizontal="justify" vertical="center" wrapText="1"/>
    </xf>
    <xf numFmtId="4" fontId="3" fillId="0" borderId="2" xfId="0" applyNumberFormat="1" applyFont="1" applyFill="1" applyBorder="1" applyAlignment="1" applyProtection="1">
      <alignment horizontal="right" vertical="top" wrapText="1"/>
    </xf>
    <xf numFmtId="4" fontId="2" fillId="0" borderId="0" xfId="0" applyNumberFormat="1" applyFont="1" applyFill="1" applyBorder="1" applyAlignment="1" applyProtection="1">
      <alignment wrapText="1"/>
      <protection locked="0"/>
    </xf>
    <xf numFmtId="4" fontId="5" fillId="0" borderId="2" xfId="0" applyNumberFormat="1" applyFont="1" applyFill="1" applyBorder="1" applyAlignment="1" applyProtection="1">
      <alignment horizontal="right" vertical="top" wrapText="1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top" wrapText="1"/>
    </xf>
    <xf numFmtId="4" fontId="5" fillId="0" borderId="2" xfId="0" applyNumberFormat="1" applyFont="1" applyFill="1" applyBorder="1" applyAlignment="1" applyProtection="1">
      <alignment horizontal="justify" vertical="top" wrapText="1"/>
    </xf>
    <xf numFmtId="4" fontId="5" fillId="0" borderId="2" xfId="0" applyNumberFormat="1" applyFont="1" applyFill="1" applyBorder="1" applyAlignment="1" applyProtection="1">
      <alignment horizontal="center" vertical="top" wrapText="1"/>
    </xf>
    <xf numFmtId="4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9" xfId="0" applyNumberFormat="1" applyFont="1" applyFill="1" applyBorder="1" applyAlignment="1" applyProtection="1">
      <alignment vertical="center" wrapText="1"/>
      <protection locked="0"/>
    </xf>
    <xf numFmtId="182" fontId="5" fillId="0" borderId="2" xfId="0" applyNumberFormat="1" applyFont="1" applyFill="1" applyBorder="1" applyAlignment="1" applyProtection="1">
      <alignment horizontal="right" vertical="center" wrapText="1"/>
    </xf>
    <xf numFmtId="4" fontId="3" fillId="0" borderId="9" xfId="0" applyNumberFormat="1" applyFont="1" applyFill="1" applyBorder="1" applyAlignment="1" applyProtection="1">
      <alignment vertical="center" wrapText="1"/>
    </xf>
    <xf numFmtId="179" fontId="5" fillId="0" borderId="2" xfId="0" applyNumberFormat="1" applyFont="1" applyFill="1" applyBorder="1" applyAlignment="1" applyProtection="1">
      <alignment horizontal="right" vertical="center" wrapText="1"/>
    </xf>
    <xf numFmtId="181" fontId="5" fillId="0" borderId="2" xfId="0" applyNumberFormat="1" applyFont="1" applyFill="1" applyBorder="1" applyAlignment="1" applyProtection="1">
      <alignment horizontal="right" vertical="center" wrapText="1"/>
    </xf>
    <xf numFmtId="4" fontId="3" fillId="0" borderId="6" xfId="0" applyNumberFormat="1" applyFont="1" applyFill="1" applyBorder="1" applyAlignment="1" applyProtection="1">
      <alignment horizontal="center" vertical="center" wrapText="1"/>
    </xf>
    <xf numFmtId="4" fontId="3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2" xfId="0" applyNumberFormat="1" applyFont="1" applyFill="1" applyBorder="1" applyAlignment="1" applyProtection="1">
      <alignment horizontal="right" vertical="center" wrapText="1"/>
    </xf>
    <xf numFmtId="4" fontId="3" fillId="0" borderId="40" xfId="0" applyNumberFormat="1" applyFont="1" applyFill="1" applyBorder="1" applyAlignment="1" applyProtection="1">
      <alignment vertical="center" wrapText="1"/>
      <protection locked="0"/>
    </xf>
    <xf numFmtId="4" fontId="5" fillId="0" borderId="2" xfId="0" applyNumberFormat="1" applyFont="1" applyFill="1" applyBorder="1" applyAlignment="1" applyProtection="1">
      <alignment wrapText="1"/>
    </xf>
    <xf numFmtId="4" fontId="5" fillId="0" borderId="2" xfId="0" applyNumberFormat="1" applyFont="1" applyFill="1" applyBorder="1" applyAlignment="1" applyProtection="1">
      <alignment horizontal="justify" wrapText="1"/>
    </xf>
    <xf numFmtId="0" fontId="6" fillId="0" borderId="40" xfId="199" applyNumberFormat="1" applyFont="1" applyFill="1" applyBorder="1" applyAlignment="1">
      <alignment horizontal="center" vertical="center"/>
    </xf>
    <xf numFmtId="0" fontId="0" fillId="0" borderId="9" xfId="0" applyFill="1" applyBorder="1" applyAlignment="1"/>
    <xf numFmtId="4" fontId="5" fillId="0" borderId="3" xfId="0" applyNumberFormat="1" applyFont="1" applyFill="1" applyBorder="1" applyAlignment="1" applyProtection="1">
      <alignment vertical="center" wrapText="1"/>
    </xf>
    <xf numFmtId="179" fontId="5" fillId="0" borderId="2" xfId="0" applyNumberFormat="1" applyFont="1" applyFill="1" applyBorder="1" applyAlignment="1" applyProtection="1">
      <alignment horizontal="center" vertical="center" wrapText="1"/>
    </xf>
    <xf numFmtId="4" fontId="2" fillId="0" borderId="1" xfId="0" applyNumberFormat="1" applyFont="1" applyFill="1" applyBorder="1" applyAlignment="1" applyProtection="1">
      <alignment wrapText="1"/>
      <protection locked="0"/>
    </xf>
    <xf numFmtId="4" fontId="3" fillId="0" borderId="23" xfId="0" applyNumberFormat="1" applyFont="1" applyFill="1" applyBorder="1" applyAlignment="1" applyProtection="1">
      <alignment horizontal="right" vertical="center" wrapText="1"/>
    </xf>
    <xf numFmtId="4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9" xfId="0" applyNumberFormat="1" applyFont="1" applyFill="1" applyBorder="1" applyAlignment="1" applyProtection="1">
      <alignment horizontal="right" vertical="center" wrapText="1"/>
    </xf>
    <xf numFmtId="4" fontId="2" fillId="0" borderId="0" xfId="0" applyNumberFormat="1" applyFont="1" applyFill="1" applyAlignment="1">
      <alignment horizontal="center" wrapText="1"/>
    </xf>
    <xf numFmtId="0" fontId="6" fillId="0" borderId="40" xfId="71" applyFont="1" applyFill="1" applyBorder="1" applyAlignment="1">
      <alignment horizontal="left" vertical="center" wrapText="1"/>
    </xf>
    <xf numFmtId="0" fontId="6" fillId="0" borderId="40" xfId="71" applyFont="1" applyFill="1" applyBorder="1" applyAlignment="1">
      <alignment horizontal="center" vertical="center" wrapText="1"/>
    </xf>
    <xf numFmtId="0" fontId="6" fillId="0" borderId="40" xfId="71" applyFont="1" applyFill="1" applyBorder="1" applyAlignment="1">
      <alignment horizontal="center" vertical="center"/>
    </xf>
    <xf numFmtId="2" fontId="6" fillId="0" borderId="40" xfId="71" quotePrefix="1" applyNumberFormat="1" applyFont="1" applyFill="1" applyBorder="1" applyAlignment="1">
      <alignment horizontal="center" vertical="center"/>
    </xf>
    <xf numFmtId="4" fontId="6" fillId="0" borderId="40" xfId="71" applyNumberFormat="1" applyFont="1" applyFill="1" applyBorder="1" applyAlignment="1">
      <alignment horizontal="right"/>
    </xf>
    <xf numFmtId="173" fontId="6" fillId="0" borderId="40" xfId="195" applyFont="1" applyFill="1" applyBorder="1" applyAlignment="1">
      <alignment horizontal="right"/>
    </xf>
    <xf numFmtId="173" fontId="4" fillId="0" borderId="40" xfId="195" applyFont="1" applyFill="1" applyBorder="1" applyAlignment="1">
      <alignment horizontal="right" vertical="center"/>
    </xf>
    <xf numFmtId="0" fontId="4" fillId="0" borderId="1" xfId="71" applyFont="1" applyFill="1" applyBorder="1" applyAlignment="1">
      <alignment horizontal="right"/>
    </xf>
    <xf numFmtId="173" fontId="4" fillId="0" borderId="1" xfId="195" applyFont="1" applyFill="1" applyBorder="1" applyAlignment="1">
      <alignment horizontal="right" vertical="center"/>
    </xf>
    <xf numFmtId="1" fontId="4" fillId="0" borderId="40" xfId="199" applyNumberFormat="1" applyFont="1" applyFill="1" applyBorder="1" applyAlignment="1">
      <alignment horizontal="center" vertical="center" wrapText="1"/>
    </xf>
    <xf numFmtId="0" fontId="2" fillId="0" borderId="40" xfId="199" applyNumberFormat="1" applyFont="1" applyFill="1" applyBorder="1" applyAlignment="1">
      <alignment horizontal="center" vertical="center"/>
    </xf>
    <xf numFmtId="0" fontId="2" fillId="0" borderId="40" xfId="199" applyFont="1" applyFill="1" applyBorder="1" applyAlignment="1">
      <alignment horizontal="center" vertical="center"/>
    </xf>
    <xf numFmtId="178" fontId="6" fillId="0" borderId="40" xfId="70" applyNumberFormat="1" applyFont="1" applyFill="1" applyBorder="1" applyAlignment="1">
      <alignment horizontal="center" vertical="center" wrapText="1"/>
    </xf>
    <xf numFmtId="0" fontId="6" fillId="0" borderId="40" xfId="71" applyFont="1" applyFill="1" applyBorder="1" applyAlignment="1">
      <alignment horizontal="right" vertical="center"/>
    </xf>
    <xf numFmtId="173" fontId="6" fillId="0" borderId="40" xfId="195" applyFont="1" applyFill="1" applyBorder="1" applyAlignment="1">
      <alignment horizontal="right" vertical="center"/>
    </xf>
    <xf numFmtId="178" fontId="6" fillId="0" borderId="40" xfId="71" quotePrefix="1" applyNumberFormat="1" applyFont="1" applyFill="1" applyBorder="1" applyAlignment="1">
      <alignment horizontal="center" vertical="center"/>
    </xf>
    <xf numFmtId="0" fontId="4" fillId="0" borderId="40" xfId="199" applyFont="1" applyFill="1" applyBorder="1" applyAlignment="1">
      <alignment horizontal="center" vertical="center"/>
    </xf>
    <xf numFmtId="0" fontId="6" fillId="0" borderId="40" xfId="199" applyFont="1" applyFill="1" applyBorder="1" applyAlignment="1">
      <alignment horizontal="center" vertical="center"/>
    </xf>
    <xf numFmtId="2" fontId="6" fillId="0" borderId="40" xfId="199" applyNumberFormat="1" applyFont="1" applyFill="1" applyBorder="1" applyAlignment="1">
      <alignment horizontal="center" vertical="center"/>
    </xf>
    <xf numFmtId="2" fontId="6" fillId="0" borderId="40" xfId="71" applyNumberFormat="1" applyFont="1" applyFill="1" applyBorder="1" applyAlignment="1">
      <alignment horizontal="right" vertical="center"/>
    </xf>
    <xf numFmtId="173" fontId="6" fillId="0" borderId="40" xfId="195" applyFont="1" applyFill="1" applyBorder="1" applyAlignment="1">
      <alignment horizontal="center" vertical="center" wrapText="1"/>
    </xf>
    <xf numFmtId="173" fontId="4" fillId="0" borderId="40" xfId="195" applyFont="1" applyFill="1" applyBorder="1" applyAlignment="1">
      <alignment horizontal="center" vertical="center" wrapText="1"/>
    </xf>
    <xf numFmtId="0" fontId="2" fillId="0" borderId="1" xfId="199" applyFont="1" applyFill="1"/>
    <xf numFmtId="0" fontId="2" fillId="0" borderId="1" xfId="199" applyFont="1" applyFill="1" applyAlignment="1">
      <alignment horizontal="center"/>
    </xf>
    <xf numFmtId="0" fontId="2" fillId="0" borderId="1" xfId="199" applyFont="1" applyFill="1" applyAlignment="1">
      <alignment horizontal="right"/>
    </xf>
    <xf numFmtId="178" fontId="6" fillId="0" borderId="40" xfId="199" applyNumberFormat="1" applyFont="1" applyFill="1" applyBorder="1" applyAlignment="1">
      <alignment horizontal="center" vertical="center"/>
    </xf>
    <xf numFmtId="2" fontId="6" fillId="0" borderId="40" xfId="201" applyNumberFormat="1" applyFont="1" applyFill="1" applyBorder="1" applyAlignment="1">
      <alignment horizontal="center" vertical="center"/>
    </xf>
    <xf numFmtId="180" fontId="6" fillId="0" borderId="40" xfId="199" applyNumberFormat="1" applyFont="1" applyFill="1" applyBorder="1" applyAlignment="1">
      <alignment horizontal="center" vertical="center"/>
    </xf>
    <xf numFmtId="0" fontId="6" fillId="0" borderId="40" xfId="199" applyNumberFormat="1" applyFont="1" applyFill="1" applyBorder="1" applyAlignment="1">
      <alignment horizontal="right" vertical="center"/>
    </xf>
    <xf numFmtId="173" fontId="4" fillId="0" borderId="40" xfId="195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 wrapText="1"/>
    </xf>
    <xf numFmtId="1" fontId="5" fillId="0" borderId="2" xfId="0" applyNumberFormat="1" applyFont="1" applyFill="1" applyBorder="1" applyAlignment="1" applyProtection="1">
      <alignment horizontal="center" vertical="center" wrapText="1"/>
    </xf>
    <xf numFmtId="4" fontId="5" fillId="0" borderId="40" xfId="0" applyNumberFormat="1" applyFont="1" applyFill="1" applyBorder="1" applyAlignment="1" applyProtection="1">
      <alignment horizontal="center" vertical="center" wrapText="1"/>
    </xf>
    <xf numFmtId="4" fontId="3" fillId="0" borderId="4" xfId="0" applyNumberFormat="1" applyFont="1" applyFill="1" applyBorder="1" applyAlignment="1" applyProtection="1">
      <alignment horizontal="left" vertical="center" wrapText="1"/>
    </xf>
    <xf numFmtId="4" fontId="5" fillId="0" borderId="3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>
      <alignment horizontal="center" vertical="center" wrapText="1"/>
    </xf>
    <xf numFmtId="4" fontId="5" fillId="0" borderId="9" xfId="0" applyNumberFormat="1" applyFont="1" applyFill="1" applyBorder="1" applyAlignment="1" applyProtection="1">
      <alignment horizontal="left" vertical="center" wrapText="1"/>
    </xf>
    <xf numFmtId="0" fontId="5" fillId="0" borderId="45" xfId="0" applyNumberFormat="1" applyFont="1" applyFill="1" applyBorder="1" applyAlignment="1" applyProtection="1">
      <alignment horizontal="center" vertical="center" wrapText="1"/>
    </xf>
    <xf numFmtId="4" fontId="5" fillId="0" borderId="49" xfId="0" applyNumberFormat="1" applyFont="1" applyFill="1" applyBorder="1" applyAlignment="1" applyProtection="1">
      <alignment horizontal="left" vertical="center" wrapText="1"/>
    </xf>
    <xf numFmtId="0" fontId="5" fillId="0" borderId="40" xfId="0" applyNumberFormat="1" applyFont="1" applyFill="1" applyBorder="1" applyAlignment="1" applyProtection="1">
      <alignment horizontal="center" vertical="center" wrapText="1"/>
    </xf>
    <xf numFmtId="4" fontId="5" fillId="0" borderId="40" xfId="0" applyNumberFormat="1" applyFont="1" applyFill="1" applyBorder="1" applyAlignment="1" applyProtection="1">
      <alignment horizontal="left" vertical="center" wrapText="1"/>
    </xf>
    <xf numFmtId="4" fontId="3" fillId="0" borderId="40" xfId="0" applyNumberFormat="1" applyFont="1" applyFill="1" applyBorder="1" applyAlignment="1" applyProtection="1">
      <alignment horizontal="left" vertical="center" wrapText="1"/>
    </xf>
    <xf numFmtId="4" fontId="3" fillId="0" borderId="9" xfId="0" applyNumberFormat="1" applyFont="1" applyFill="1" applyBorder="1" applyAlignment="1" applyProtection="1">
      <alignment horizontal="left" vertical="center" wrapText="1"/>
      <protection locked="0"/>
    </xf>
    <xf numFmtId="4" fontId="5" fillId="0" borderId="9" xfId="0" applyNumberFormat="1" applyFont="1" applyFill="1" applyBorder="1" applyAlignment="1" applyProtection="1">
      <alignment horizontal="center" vertical="center" wrapText="1"/>
    </xf>
    <xf numFmtId="4" fontId="5" fillId="0" borderId="6" xfId="0" applyNumberFormat="1" applyFont="1" applyFill="1" applyBorder="1" applyAlignment="1" applyProtection="1">
      <alignment horizontal="left" vertical="center" wrapText="1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4" fontId="5" fillId="0" borderId="4" xfId="0" applyNumberFormat="1" applyFont="1" applyFill="1" applyBorder="1" applyAlignment="1" applyProtection="1">
      <alignment horizontal="right" vertical="center" wrapText="1"/>
    </xf>
    <xf numFmtId="4" fontId="3" fillId="0" borderId="3" xfId="0" applyNumberFormat="1" applyFont="1" applyFill="1" applyBorder="1" applyAlignment="1" applyProtection="1">
      <alignment horizontal="left" vertical="center" wrapText="1"/>
      <protection locked="0"/>
    </xf>
    <xf numFmtId="4" fontId="5" fillId="0" borderId="3" xfId="0" applyNumberFormat="1" applyFont="1" applyFill="1" applyBorder="1" applyAlignment="1" applyProtection="1">
      <alignment horizontal="right" vertical="center" wrapText="1"/>
    </xf>
    <xf numFmtId="4" fontId="5" fillId="0" borderId="40" xfId="0" applyNumberFormat="1" applyFont="1" applyFill="1" applyBorder="1" applyAlignment="1" applyProtection="1">
      <alignment horizontal="right" vertical="center" wrapText="1"/>
    </xf>
    <xf numFmtId="4" fontId="5" fillId="0" borderId="6" xfId="0" applyNumberFormat="1" applyFont="1" applyFill="1" applyBorder="1" applyAlignment="1" applyProtection="1">
      <alignment horizontal="right" vertical="center" wrapText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4" fontId="5" fillId="0" borderId="4" xfId="0" applyNumberFormat="1" applyFont="1" applyFill="1" applyBorder="1" applyAlignment="1" applyProtection="1">
      <alignment horizontal="left" vertical="center" wrapText="1"/>
    </xf>
    <xf numFmtId="4" fontId="5" fillId="0" borderId="4" xfId="0" applyNumberFormat="1" applyFont="1" applyFill="1" applyBorder="1" applyAlignment="1" applyProtection="1">
      <alignment horizontal="center" vertical="center" wrapText="1"/>
    </xf>
    <xf numFmtId="4" fontId="2" fillId="0" borderId="40" xfId="0" applyNumberFormat="1" applyFont="1" applyFill="1" applyBorder="1" applyAlignment="1">
      <alignment vertical="center" wrapText="1"/>
    </xf>
    <xf numFmtId="4" fontId="5" fillId="0" borderId="6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0" fillId="57" borderId="1" xfId="199" applyFont="1" applyFill="1" applyBorder="1"/>
    <xf numFmtId="0" fontId="0" fillId="57" borderId="1" xfId="199" applyFont="1" applyFill="1" applyBorder="1" applyAlignment="1">
      <alignment horizontal="center"/>
    </xf>
    <xf numFmtId="0" fontId="7" fillId="57" borderId="1" xfId="10" applyFill="1" applyBorder="1"/>
    <xf numFmtId="4" fontId="2" fillId="57" borderId="1" xfId="202" applyNumberFormat="1" applyFont="1" applyFill="1" applyAlignment="1">
      <alignment wrapText="1"/>
    </xf>
    <xf numFmtId="4" fontId="2" fillId="57" borderId="1" xfId="10" applyNumberFormat="1" applyFont="1" applyFill="1" applyAlignment="1">
      <alignment wrapText="1"/>
    </xf>
    <xf numFmtId="4" fontId="3" fillId="2" borderId="2" xfId="0" applyNumberFormat="1" applyFont="1" applyFill="1" applyBorder="1" applyAlignment="1" applyProtection="1">
      <alignment horizontal="center" vertical="center" wrapText="1"/>
    </xf>
    <xf numFmtId="0" fontId="5" fillId="0" borderId="2" xfId="202" applyNumberFormat="1" applyFont="1" applyFill="1" applyBorder="1" applyAlignment="1" applyProtection="1">
      <alignment horizontal="center" vertical="center" wrapText="1"/>
    </xf>
    <xf numFmtId="0" fontId="5" fillId="0" borderId="2" xfId="202" applyNumberFormat="1" applyFont="1" applyFill="1" applyBorder="1" applyAlignment="1" applyProtection="1">
      <alignment horizontal="center" vertical="top" wrapText="1"/>
    </xf>
    <xf numFmtId="4" fontId="5" fillId="0" borderId="2" xfId="202" applyNumberFormat="1" applyFont="1" applyFill="1" applyBorder="1" applyAlignment="1" applyProtection="1">
      <alignment horizontal="justify" vertical="top" wrapText="1"/>
    </xf>
    <xf numFmtId="0" fontId="4" fillId="0" borderId="40" xfId="199" applyNumberFormat="1" applyFont="1" applyFill="1" applyBorder="1" applyAlignment="1">
      <alignment horizontal="center" vertical="center"/>
    </xf>
    <xf numFmtId="0" fontId="6" fillId="0" borderId="40" xfId="199" applyFont="1" applyFill="1" applyBorder="1" applyAlignment="1">
      <alignment horizontal="left"/>
    </xf>
    <xf numFmtId="43" fontId="6" fillId="0" borderId="40" xfId="201" applyFont="1" applyFill="1" applyBorder="1" applyAlignment="1">
      <alignment horizontal="right" vertical="center"/>
    </xf>
    <xf numFmtId="43" fontId="6" fillId="0" borderId="40" xfId="201" applyFont="1" applyFill="1" applyBorder="1" applyAlignment="1">
      <alignment horizontal="center" vertical="center"/>
    </xf>
    <xf numFmtId="179" fontId="6" fillId="0" borderId="40" xfId="199" applyNumberFormat="1" applyFont="1" applyFill="1" applyBorder="1" applyAlignment="1">
      <alignment vertical="center"/>
    </xf>
    <xf numFmtId="180" fontId="6" fillId="0" borderId="40" xfId="71" quotePrefix="1" applyNumberFormat="1" applyFont="1" applyFill="1" applyBorder="1" applyAlignment="1">
      <alignment horizontal="center" vertical="center"/>
    </xf>
    <xf numFmtId="0" fontId="6" fillId="0" borderId="40" xfId="71" quotePrefix="1" applyFont="1" applyFill="1" applyBorder="1" applyAlignment="1">
      <alignment horizontal="center" vertical="center"/>
    </xf>
    <xf numFmtId="2" fontId="6" fillId="0" borderId="40" xfId="70" applyNumberFormat="1" applyFont="1" applyFill="1" applyBorder="1" applyAlignment="1">
      <alignment horizontal="center" vertical="center" wrapText="1"/>
    </xf>
    <xf numFmtId="0" fontId="6" fillId="0" borderId="40" xfId="70" applyFont="1" applyFill="1" applyBorder="1" applyAlignment="1">
      <alignment horizontal="center" vertical="center" wrapText="1"/>
    </xf>
    <xf numFmtId="2" fontId="4" fillId="0" borderId="40" xfId="10" applyNumberFormat="1" applyFont="1" applyFill="1" applyBorder="1" applyAlignment="1">
      <alignment horizontal="center" vertical="center" wrapText="1"/>
    </xf>
    <xf numFmtId="1" fontId="4" fillId="0" borderId="40" xfId="10" applyNumberFormat="1" applyFont="1" applyFill="1" applyBorder="1" applyAlignment="1">
      <alignment horizontal="center" vertical="center" wrapText="1"/>
    </xf>
    <xf numFmtId="0" fontId="6" fillId="0" borderId="40" xfId="10" applyNumberFormat="1" applyFont="1" applyFill="1" applyBorder="1" applyAlignment="1">
      <alignment horizontal="center" vertical="center"/>
    </xf>
    <xf numFmtId="0" fontId="6" fillId="0" borderId="40" xfId="10" applyFont="1" applyFill="1" applyBorder="1" applyAlignment="1">
      <alignment horizontal="center" vertical="center"/>
    </xf>
    <xf numFmtId="178" fontId="6" fillId="0" borderId="40" xfId="10" applyNumberFormat="1" applyFont="1" applyFill="1" applyBorder="1" applyAlignment="1">
      <alignment horizontal="center" vertical="center"/>
    </xf>
    <xf numFmtId="0" fontId="2" fillId="0" borderId="40" xfId="10" applyFont="1" applyFill="1" applyBorder="1" applyAlignment="1">
      <alignment horizontal="center" vertical="center"/>
    </xf>
    <xf numFmtId="2" fontId="6" fillId="0" borderId="40" xfId="10" applyNumberFormat="1" applyFont="1" applyFill="1" applyBorder="1" applyAlignment="1">
      <alignment horizontal="center" vertical="center"/>
    </xf>
    <xf numFmtId="44" fontId="6" fillId="0" borderId="40" xfId="71" applyNumberFormat="1" applyFont="1" applyFill="1" applyBorder="1" applyAlignment="1">
      <alignment horizontal="left" vertical="center" wrapText="1"/>
    </xf>
    <xf numFmtId="2" fontId="6" fillId="0" borderId="40" xfId="71" applyNumberFormat="1" applyFont="1" applyFill="1" applyBorder="1" applyAlignment="1">
      <alignment horizontal="center" vertical="center"/>
    </xf>
    <xf numFmtId="0" fontId="6" fillId="0" borderId="40" xfId="70" applyFont="1" applyFill="1" applyBorder="1" applyAlignment="1">
      <alignment horizontal="left" vertical="center" wrapText="1"/>
    </xf>
    <xf numFmtId="177" fontId="4" fillId="0" borderId="40" xfId="70" applyNumberFormat="1" applyFont="1" applyFill="1" applyBorder="1" applyAlignment="1">
      <alignment horizontal="center" vertical="center" wrapText="1"/>
    </xf>
    <xf numFmtId="4" fontId="4" fillId="0" borderId="40" xfId="70" applyNumberFormat="1" applyFont="1" applyFill="1" applyBorder="1" applyAlignment="1">
      <alignment horizontal="center" vertical="center" wrapText="1"/>
    </xf>
    <xf numFmtId="0" fontId="6" fillId="0" borderId="40" xfId="199" applyFont="1" applyFill="1" applyBorder="1" applyAlignment="1">
      <alignment horizontal="left" vertical="center" wrapText="1"/>
    </xf>
    <xf numFmtId="0" fontId="4" fillId="0" borderId="21" xfId="70" applyFont="1" applyFill="1" applyBorder="1" applyAlignment="1">
      <alignment horizontal="center" vertical="center" wrapText="1"/>
    </xf>
    <xf numFmtId="177" fontId="4" fillId="0" borderId="21" xfId="70" applyNumberFormat="1" applyFont="1" applyFill="1" applyBorder="1" applyAlignment="1">
      <alignment horizontal="center" vertical="center" wrapText="1"/>
    </xf>
    <xf numFmtId="4" fontId="4" fillId="0" borderId="21" xfId="70" applyNumberFormat="1" applyFont="1" applyFill="1" applyBorder="1" applyAlignment="1">
      <alignment horizontal="right" vertical="center" wrapText="1"/>
    </xf>
    <xf numFmtId="4" fontId="4" fillId="0" borderId="21" xfId="70" applyNumberFormat="1" applyFont="1" applyFill="1" applyBorder="1" applyAlignment="1">
      <alignment horizontal="center" vertical="center" wrapText="1"/>
    </xf>
    <xf numFmtId="0" fontId="4" fillId="0" borderId="40" xfId="0" applyFont="1" applyFill="1" applyBorder="1" applyAlignment="1" applyProtection="1">
      <alignment horizontal="center" vertical="center" wrapText="1"/>
    </xf>
    <xf numFmtId="0" fontId="3" fillId="0" borderId="40" xfId="0" applyFont="1" applyFill="1" applyBorder="1" applyAlignment="1" applyProtection="1">
      <alignment horizontal="center" vertical="center" wrapText="1"/>
    </xf>
    <xf numFmtId="0" fontId="6" fillId="0" borderId="21" xfId="0" applyNumberFormat="1" applyFont="1" applyFill="1" applyBorder="1" applyAlignment="1" applyProtection="1">
      <alignment horizontal="center" vertical="top" wrapText="1"/>
    </xf>
    <xf numFmtId="0" fontId="6" fillId="0" borderId="41" xfId="0" applyFont="1" applyFill="1" applyBorder="1" applyAlignment="1" applyProtection="1">
      <alignment horizontal="center" vertical="top" wrapText="1"/>
    </xf>
    <xf numFmtId="0" fontId="6" fillId="0" borderId="21" xfId="0" applyFont="1" applyFill="1" applyBorder="1" applyAlignment="1" applyProtection="1">
      <alignment horizontal="center" vertical="top" wrapText="1"/>
    </xf>
    <xf numFmtId="4" fontId="5" fillId="0" borderId="21" xfId="0" applyNumberFormat="1" applyFont="1" applyFill="1" applyBorder="1" applyAlignment="1" applyProtection="1">
      <alignment horizontal="center" vertical="top" wrapText="1"/>
    </xf>
    <xf numFmtId="4" fontId="3" fillId="0" borderId="2" xfId="202" applyNumberFormat="1" applyFont="1" applyFill="1" applyBorder="1" applyAlignment="1" applyProtection="1">
      <alignment horizontal="center" vertical="center" wrapText="1"/>
    </xf>
    <xf numFmtId="4" fontId="3" fillId="0" borderId="3" xfId="0" applyNumberFormat="1" applyFont="1" applyFill="1" applyBorder="1" applyAlignment="1" applyProtection="1">
      <alignment vertical="center" wrapText="1"/>
    </xf>
    <xf numFmtId="4" fontId="3" fillId="0" borderId="2" xfId="202" applyNumberFormat="1" applyFont="1" applyFill="1" applyBorder="1" applyAlignment="1" applyProtection="1">
      <alignment horizontal="right" vertical="top" wrapText="1"/>
    </xf>
    <xf numFmtId="4" fontId="3" fillId="0" borderId="40" xfId="10" applyNumberFormat="1" applyFont="1" applyFill="1" applyBorder="1" applyAlignment="1" applyProtection="1">
      <alignment horizontal="center" vertical="center" wrapText="1"/>
      <protection locked="0"/>
    </xf>
    <xf numFmtId="4" fontId="5" fillId="0" borderId="2" xfId="10" applyNumberFormat="1" applyFont="1" applyFill="1" applyBorder="1" applyAlignment="1" applyProtection="1">
      <alignment horizontal="right" vertical="center" wrapText="1"/>
    </xf>
    <xf numFmtId="0" fontId="2" fillId="0" borderId="40" xfId="0" applyFont="1" applyFill="1" applyBorder="1" applyAlignment="1">
      <alignment horizontal="center" vertical="center"/>
    </xf>
    <xf numFmtId="4" fontId="3" fillId="0" borderId="2" xfId="10" applyNumberFormat="1" applyFont="1" applyFill="1" applyBorder="1" applyAlignment="1" applyProtection="1">
      <alignment horizontal="right" vertical="top" wrapText="1"/>
    </xf>
    <xf numFmtId="2" fontId="4" fillId="0" borderId="40" xfId="203" applyNumberFormat="1" applyFont="1" applyFill="1" applyBorder="1" applyAlignment="1">
      <alignment horizontal="center" vertical="center" wrapText="1"/>
    </xf>
    <xf numFmtId="1" fontId="4" fillId="0" borderId="40" xfId="203" applyNumberFormat="1" applyFont="1" applyFill="1" applyBorder="1" applyAlignment="1">
      <alignment horizontal="center" vertical="center" wrapText="1"/>
    </xf>
    <xf numFmtId="0" fontId="6" fillId="0" borderId="40" xfId="203" applyFont="1" applyFill="1" applyBorder="1" applyAlignment="1">
      <alignment horizontal="center" vertical="center"/>
    </xf>
    <xf numFmtId="4" fontId="3" fillId="0" borderId="40" xfId="203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 applyProtection="1">
      <alignment horizontal="right" vertical="center" wrapText="1"/>
    </xf>
    <xf numFmtId="4" fontId="5" fillId="0" borderId="2" xfId="203" applyNumberFormat="1" applyFont="1" applyFill="1" applyBorder="1" applyAlignment="1" applyProtection="1">
      <alignment horizontal="right" vertical="center" wrapText="1"/>
    </xf>
    <xf numFmtId="4" fontId="3" fillId="0" borderId="2" xfId="203" applyNumberFormat="1" applyFont="1" applyFill="1" applyBorder="1" applyAlignment="1" applyProtection="1">
      <alignment horizontal="right" vertical="top" wrapText="1"/>
    </xf>
    <xf numFmtId="4" fontId="2" fillId="58" borderId="1" xfId="0" applyNumberFormat="1" applyFont="1" applyFill="1" applyBorder="1" applyAlignment="1">
      <alignment wrapText="1"/>
    </xf>
    <xf numFmtId="4" fontId="2" fillId="57" borderId="1" xfId="202" applyNumberFormat="1" applyFont="1" applyFill="1" applyAlignment="1">
      <alignment vertical="center" wrapText="1"/>
    </xf>
    <xf numFmtId="4" fontId="2" fillId="57" borderId="1" xfId="202" applyNumberFormat="1" applyFont="1" applyFill="1" applyAlignment="1">
      <alignment horizontal="left" wrapText="1"/>
    </xf>
    <xf numFmtId="4" fontId="2" fillId="58" borderId="0" xfId="0" applyNumberFormat="1" applyFont="1" applyFill="1" applyAlignment="1">
      <alignment horizontal="center" vertical="center" wrapText="1"/>
    </xf>
    <xf numFmtId="43" fontId="2" fillId="0" borderId="0" xfId="211" applyFont="1" applyAlignment="1">
      <alignment wrapText="1"/>
    </xf>
    <xf numFmtId="10" fontId="2" fillId="58" borderId="0" xfId="0" applyNumberFormat="1" applyFont="1" applyFill="1" applyAlignment="1">
      <alignment vertical="center" wrapText="1"/>
    </xf>
    <xf numFmtId="181" fontId="2" fillId="0" borderId="0" xfId="0" applyNumberFormat="1" applyFont="1" applyAlignment="1">
      <alignment wrapText="1"/>
    </xf>
    <xf numFmtId="10" fontId="2" fillId="0" borderId="0" xfId="212" applyNumberFormat="1" applyFont="1" applyAlignment="1">
      <alignment wrapText="1"/>
    </xf>
    <xf numFmtId="4" fontId="3" fillId="0" borderId="4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</xf>
    <xf numFmtId="4" fontId="2" fillId="5" borderId="1" xfId="0" applyNumberFormat="1" applyFont="1" applyFill="1" applyBorder="1" applyAlignment="1" applyProtection="1">
      <alignment wrapText="1"/>
      <protection locked="0"/>
    </xf>
    <xf numFmtId="4" fontId="42" fillId="0" borderId="21" xfId="0" applyNumberFormat="1" applyFont="1" applyBorder="1" applyAlignment="1">
      <alignment wrapText="1"/>
    </xf>
    <xf numFmtId="10" fontId="42" fillId="0" borderId="0" xfId="0" applyNumberFormat="1" applyFont="1" applyAlignment="1">
      <alignment wrapText="1"/>
    </xf>
    <xf numFmtId="4" fontId="42" fillId="0" borderId="0" xfId="0" applyNumberFormat="1" applyFont="1" applyAlignment="1">
      <alignment wrapText="1"/>
    </xf>
    <xf numFmtId="43" fontId="42" fillId="0" borderId="0" xfId="211" applyFont="1" applyAlignment="1">
      <alignment wrapText="1"/>
    </xf>
    <xf numFmtId="4" fontId="2" fillId="0" borderId="0" xfId="0" applyNumberFormat="1" applyFont="1" applyAlignment="1">
      <alignment horizontal="center" wrapText="1"/>
    </xf>
    <xf numFmtId="4" fontId="2" fillId="0" borderId="0" xfId="0" applyNumberFormat="1" applyFont="1" applyAlignment="1">
      <alignment horizontal="center" vertical="center" wrapText="1"/>
    </xf>
    <xf numFmtId="0" fontId="0" fillId="54" borderId="1" xfId="199" applyFont="1" applyFill="1" applyBorder="1"/>
    <xf numFmtId="4" fontId="2" fillId="0" borderId="40" xfId="0" applyNumberFormat="1" applyFont="1" applyBorder="1" applyAlignment="1">
      <alignment wrapText="1"/>
    </xf>
    <xf numFmtId="0" fontId="10" fillId="32" borderId="40" xfId="1" applyFont="1" applyBorder="1" applyAlignment="1" applyProtection="1">
      <alignment horizontal="center" vertical="center" wrapText="1"/>
      <protection locked="0"/>
    </xf>
    <xf numFmtId="0" fontId="13" fillId="32" borderId="40" xfId="1" applyFont="1" applyBorder="1" applyAlignment="1" applyProtection="1">
      <alignment horizontal="center" vertical="center" wrapText="1"/>
      <protection locked="0"/>
    </xf>
    <xf numFmtId="49" fontId="10" fillId="32" borderId="40" xfId="1" applyNumberFormat="1" applyFont="1" applyBorder="1" applyAlignment="1" applyProtection="1">
      <alignment horizontal="center" vertical="center"/>
    </xf>
    <xf numFmtId="4" fontId="6" fillId="0" borderId="40" xfId="71" applyNumberFormat="1" applyFont="1" applyFill="1" applyBorder="1" applyAlignment="1">
      <alignment horizontal="lef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6" fillId="57" borderId="0" xfId="0" applyNumberFormat="1" applyFont="1" applyFill="1" applyAlignment="1">
      <alignment wrapText="1"/>
    </xf>
    <xf numFmtId="184" fontId="2" fillId="0" borderId="0" xfId="211" applyNumberFormat="1" applyFont="1" applyAlignment="1">
      <alignment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4" fontId="6" fillId="0" borderId="2" xfId="0" applyNumberFormat="1" applyFont="1" applyFill="1" applyBorder="1" applyAlignment="1" applyProtection="1">
      <alignment horizontal="justify" vertical="center" wrapText="1"/>
    </xf>
    <xf numFmtId="4" fontId="6" fillId="0" borderId="2" xfId="0" applyNumberFormat="1" applyFont="1" applyFill="1" applyBorder="1" applyAlignment="1" applyProtection="1">
      <alignment horizontal="center" vertical="center" wrapText="1"/>
    </xf>
    <xf numFmtId="4" fontId="6" fillId="0" borderId="2" xfId="0" applyNumberFormat="1" applyFont="1" applyFill="1" applyBorder="1" applyAlignment="1" applyProtection="1">
      <alignment horizontal="right" vertical="center" wrapText="1"/>
    </xf>
    <xf numFmtId="4" fontId="5" fillId="0" borderId="6" xfId="0" applyNumberFormat="1" applyFont="1" applyFill="1" applyBorder="1" applyAlignment="1" applyProtection="1">
      <alignment horizontal="justify" vertical="center" wrapText="1"/>
    </xf>
    <xf numFmtId="0" fontId="6" fillId="0" borderId="40" xfId="199" applyFont="1" applyFill="1" applyBorder="1" applyAlignment="1">
      <alignment horizontal="left" wrapText="1"/>
    </xf>
    <xf numFmtId="173" fontId="6" fillId="0" borderId="40" xfId="195" applyFont="1" applyFill="1" applyBorder="1" applyAlignment="1">
      <alignment horizontal="center" vertical="center"/>
    </xf>
    <xf numFmtId="2" fontId="6" fillId="0" borderId="40" xfId="199" applyNumberFormat="1" applyFont="1" applyFill="1" applyBorder="1" applyAlignment="1">
      <alignment horizontal="right" vertical="center"/>
    </xf>
    <xf numFmtId="0" fontId="6" fillId="0" borderId="40" xfId="199" applyFont="1" applyFill="1" applyBorder="1" applyAlignment="1" applyProtection="1">
      <alignment horizontal="center" vertical="center" wrapText="1"/>
    </xf>
    <xf numFmtId="181" fontId="6" fillId="0" borderId="40" xfId="199" applyNumberFormat="1" applyFont="1" applyFill="1" applyBorder="1" applyAlignment="1" applyProtection="1">
      <alignment horizontal="right" vertical="center" wrapText="1"/>
    </xf>
    <xf numFmtId="180" fontId="6" fillId="0" borderId="40" xfId="70" applyNumberFormat="1" applyFont="1" applyFill="1" applyBorder="1" applyAlignment="1">
      <alignment horizontal="center" vertical="center" wrapText="1"/>
    </xf>
    <xf numFmtId="0" fontId="6" fillId="0" borderId="42" xfId="71" applyFont="1" applyFill="1" applyBorder="1" applyAlignment="1">
      <alignment horizontal="left" vertical="center" wrapText="1"/>
    </xf>
    <xf numFmtId="4" fontId="5" fillId="0" borderId="2" xfId="202" applyNumberFormat="1" applyFont="1" applyFill="1" applyBorder="1" applyAlignment="1" applyProtection="1">
      <alignment horizontal="right" vertical="center" wrapText="1"/>
    </xf>
    <xf numFmtId="4" fontId="5" fillId="0" borderId="2" xfId="202" applyNumberFormat="1" applyFont="1" applyFill="1" applyBorder="1" applyAlignment="1" applyProtection="1">
      <alignment horizontal="justify" vertical="center" wrapText="1"/>
    </xf>
    <xf numFmtId="4" fontId="5" fillId="0" borderId="2" xfId="202" applyNumberFormat="1" applyFont="1" applyFill="1" applyBorder="1" applyAlignment="1" applyProtection="1">
      <alignment horizontal="center" vertical="center" wrapText="1"/>
    </xf>
    <xf numFmtId="4" fontId="3" fillId="0" borderId="1" xfId="203" applyNumberFormat="1" applyFont="1" applyFill="1" applyBorder="1" applyAlignment="1" applyProtection="1">
      <alignment horizontal="center" vertical="top" wrapText="1"/>
    </xf>
    <xf numFmtId="4" fontId="3" fillId="0" borderId="9" xfId="203" applyNumberFormat="1" applyFont="1" applyFill="1" applyBorder="1" applyAlignment="1" applyProtection="1">
      <alignment horizontal="right" vertical="top" wrapText="1"/>
    </xf>
    <xf numFmtId="0" fontId="3" fillId="0" borderId="2" xfId="203" applyNumberFormat="1" applyFont="1" applyFill="1" applyBorder="1" applyAlignment="1" applyProtection="1">
      <alignment horizontal="center" vertical="center" wrapText="1"/>
      <protection locked="0"/>
    </xf>
    <xf numFmtId="4" fontId="3" fillId="0" borderId="2" xfId="203" applyNumberFormat="1" applyFont="1" applyFill="1" applyBorder="1" applyAlignment="1" applyProtection="1">
      <alignment horizontal="center" vertical="center" wrapText="1"/>
    </xf>
    <xf numFmtId="4" fontId="3" fillId="0" borderId="2" xfId="203" applyNumberFormat="1" applyFont="1" applyFill="1" applyBorder="1" applyAlignment="1" applyProtection="1">
      <alignment horizontal="left" vertical="center" wrapText="1"/>
      <protection locked="0"/>
    </xf>
    <xf numFmtId="0" fontId="5" fillId="0" borderId="2" xfId="203" applyNumberFormat="1" applyFont="1" applyFill="1" applyBorder="1" applyAlignment="1" applyProtection="1">
      <alignment horizontal="center" vertical="center" wrapText="1"/>
    </xf>
    <xf numFmtId="4" fontId="5" fillId="0" borderId="2" xfId="203" applyNumberFormat="1" applyFont="1" applyFill="1" applyBorder="1" applyAlignment="1" applyProtection="1">
      <alignment horizontal="justify" vertical="center" wrapText="1"/>
    </xf>
    <xf numFmtId="4" fontId="5" fillId="0" borderId="2" xfId="203" applyNumberFormat="1" applyFont="1" applyFill="1" applyBorder="1" applyAlignment="1" applyProtection="1">
      <alignment horizontal="center" vertical="center" wrapText="1"/>
    </xf>
    <xf numFmtId="4" fontId="2" fillId="0" borderId="1" xfId="202" applyNumberFormat="1" applyFont="1" applyFill="1" applyAlignment="1">
      <alignment wrapText="1"/>
    </xf>
    <xf numFmtId="4" fontId="3" fillId="0" borderId="40" xfId="202" applyNumberFormat="1" applyFont="1" applyFill="1" applyBorder="1" applyAlignment="1" applyProtection="1">
      <alignment horizontal="center" vertical="center" wrapText="1"/>
      <protection locked="0"/>
    </xf>
    <xf numFmtId="4" fontId="3" fillId="0" borderId="9" xfId="202" applyNumberFormat="1" applyFont="1" applyFill="1" applyBorder="1" applyAlignment="1" applyProtection="1">
      <alignment vertical="center" wrapText="1"/>
      <protection locked="0"/>
    </xf>
    <xf numFmtId="4" fontId="3" fillId="0" borderId="2" xfId="202" applyNumberFormat="1" applyFont="1" applyFill="1" applyBorder="1" applyAlignment="1" applyProtection="1">
      <alignment horizontal="right" vertical="center" wrapText="1"/>
    </xf>
    <xf numFmtId="0" fontId="3" fillId="0" borderId="9" xfId="202" applyNumberFormat="1" applyFont="1" applyFill="1" applyBorder="1" applyAlignment="1" applyProtection="1">
      <alignment horizontal="center" vertical="center" wrapText="1"/>
      <protection locked="0"/>
    </xf>
    <xf numFmtId="4" fontId="5" fillId="0" borderId="2" xfId="0" applyNumberFormat="1" applyFont="1" applyFill="1" applyBorder="1" applyAlignment="1" applyProtection="1">
      <alignment horizontal="left" wrapText="1"/>
    </xf>
    <xf numFmtId="4" fontId="2" fillId="0" borderId="1" xfId="202" applyNumberFormat="1" applyFont="1" applyFill="1" applyBorder="1" applyAlignment="1" applyProtection="1">
      <alignment wrapText="1"/>
      <protection locked="0"/>
    </xf>
    <xf numFmtId="1" fontId="5" fillId="0" borderId="40" xfId="0" applyNumberFormat="1" applyFont="1" applyFill="1" applyBorder="1" applyAlignment="1" applyProtection="1">
      <alignment horizontal="center" vertical="center" wrapText="1"/>
    </xf>
    <xf numFmtId="4" fontId="5" fillId="0" borderId="2" xfId="0" applyNumberFormat="1" applyFont="1" applyFill="1" applyBorder="1" applyAlignment="1" applyProtection="1">
      <alignment vertical="center" wrapText="1"/>
    </xf>
    <xf numFmtId="4" fontId="2" fillId="0" borderId="1" xfId="0" applyNumberFormat="1" applyFont="1" applyFill="1" applyBorder="1" applyAlignment="1">
      <alignment vertical="center" wrapText="1"/>
    </xf>
    <xf numFmtId="179" fontId="2" fillId="0" borderId="0" xfId="0" applyNumberFormat="1" applyFont="1" applyAlignment="1">
      <alignment wrapText="1"/>
    </xf>
    <xf numFmtId="4" fontId="2" fillId="90" borderId="0" xfId="0" applyNumberFormat="1" applyFont="1" applyFill="1" applyAlignment="1">
      <alignment horizontal="left" wrapText="1"/>
    </xf>
    <xf numFmtId="4" fontId="2" fillId="90" borderId="0" xfId="0" applyNumberFormat="1" applyFont="1" applyFill="1" applyAlignment="1">
      <alignment wrapText="1"/>
    </xf>
    <xf numFmtId="4" fontId="2" fillId="90" borderId="0" xfId="0" applyNumberFormat="1" applyFont="1" applyFill="1" applyAlignment="1">
      <alignment horizontal="left" vertical="center" wrapText="1"/>
    </xf>
    <xf numFmtId="4" fontId="2" fillId="90" borderId="0" xfId="0" applyNumberFormat="1" applyFont="1" applyFill="1" applyAlignment="1">
      <alignment vertical="center" wrapText="1"/>
    </xf>
    <xf numFmtId="4" fontId="4" fillId="0" borderId="2" xfId="0" applyNumberFormat="1" applyFont="1" applyFill="1" applyBorder="1" applyAlignment="1" applyProtection="1">
      <alignment horizontal="left" vertical="center" wrapText="1"/>
    </xf>
    <xf numFmtId="4" fontId="5" fillId="0" borderId="1" xfId="0" applyNumberFormat="1" applyFont="1" applyFill="1" applyBorder="1" applyAlignment="1" applyProtection="1">
      <alignment vertical="center" wrapText="1"/>
    </xf>
    <xf numFmtId="0" fontId="0" fillId="32" borderId="1" xfId="294" applyFont="1"/>
    <xf numFmtId="4" fontId="61" fillId="32" borderId="1" xfId="71" applyNumberFormat="1" applyFont="1" applyAlignment="1">
      <alignment horizontal="right" vertical="center" wrapText="1"/>
    </xf>
    <xf numFmtId="4" fontId="62" fillId="91" borderId="1" xfId="294" applyNumberFormat="1" applyFont="1" applyFill="1" applyAlignment="1">
      <alignment horizontal="right" vertical="center" wrapText="1"/>
    </xf>
    <xf numFmtId="4" fontId="61" fillId="32" borderId="1" xfId="71" applyNumberFormat="1" applyFont="1" applyAlignment="1">
      <alignment horizontal="center" vertical="center" wrapText="1"/>
    </xf>
    <xf numFmtId="10" fontId="61" fillId="32" borderId="1" xfId="71" applyNumberFormat="1" applyFont="1" applyAlignment="1">
      <alignment horizontal="center" vertical="center" wrapText="1"/>
    </xf>
    <xf numFmtId="0" fontId="60" fillId="32" borderId="1" xfId="294" applyFont="1"/>
    <xf numFmtId="185" fontId="63" fillId="58" borderId="1" xfId="71" applyNumberFormat="1" applyFont="1" applyFill="1" applyAlignment="1">
      <alignment vertical="center" wrapText="1"/>
    </xf>
    <xf numFmtId="0" fontId="64" fillId="32" borderId="27" xfId="294" applyFont="1" applyBorder="1" applyAlignment="1">
      <alignment horizontal="center" vertical="center" wrapText="1"/>
    </xf>
    <xf numFmtId="0" fontId="64" fillId="32" borderId="1" xfId="294" applyFont="1" applyBorder="1" applyAlignment="1">
      <alignment vertical="center" wrapText="1"/>
    </xf>
    <xf numFmtId="0" fontId="64" fillId="32" borderId="1" xfId="294" applyFont="1" applyBorder="1" applyAlignment="1">
      <alignment horizontal="center" vertical="center" wrapText="1"/>
    </xf>
    <xf numFmtId="4" fontId="64" fillId="32" borderId="28" xfId="294" applyNumberFormat="1" applyFont="1" applyBorder="1" applyAlignment="1">
      <alignment horizontal="right" vertical="center" wrapText="1"/>
    </xf>
    <xf numFmtId="4" fontId="64" fillId="91" borderId="1" xfId="294" applyNumberFormat="1" applyFont="1" applyFill="1" applyAlignment="1">
      <alignment horizontal="right" vertical="center" wrapText="1"/>
    </xf>
    <xf numFmtId="4" fontId="64" fillId="32" borderId="1" xfId="294" applyNumberFormat="1" applyFont="1" applyAlignment="1">
      <alignment horizontal="right" vertical="center" wrapText="1"/>
    </xf>
    <xf numFmtId="4" fontId="64" fillId="32" borderId="1" xfId="294" applyNumberFormat="1" applyFont="1" applyAlignment="1">
      <alignment horizontal="center" vertical="center" wrapText="1"/>
    </xf>
    <xf numFmtId="10" fontId="64" fillId="32" borderId="1" xfId="294" applyNumberFormat="1" applyFont="1" applyAlignment="1">
      <alignment horizontal="center" vertical="center" wrapText="1"/>
    </xf>
    <xf numFmtId="0" fontId="60" fillId="91" borderId="1" xfId="294" applyFont="1" applyFill="1" applyAlignment="1">
      <alignment horizontal="center" vertical="center"/>
    </xf>
    <xf numFmtId="0" fontId="60" fillId="32" borderId="1" xfId="294" applyFont="1" applyAlignment="1">
      <alignment horizontal="center" vertical="center"/>
    </xf>
    <xf numFmtId="180" fontId="68" fillId="32" borderId="1" xfId="294" applyNumberFormat="1" applyFont="1" applyAlignment="1">
      <alignment horizontal="right" vertical="top" wrapText="1"/>
    </xf>
    <xf numFmtId="180" fontId="69" fillId="32" borderId="1" xfId="294" applyNumberFormat="1" applyFont="1" applyAlignment="1">
      <alignment horizontal="right" vertical="top" wrapText="1"/>
    </xf>
    <xf numFmtId="0" fontId="0" fillId="32" borderId="1" xfId="294" applyFont="1" applyBorder="1"/>
    <xf numFmtId="0" fontId="0" fillId="32" borderId="28" xfId="294" applyFont="1" applyBorder="1"/>
    <xf numFmtId="0" fontId="70" fillId="32" borderId="1" xfId="294" applyFont="1" applyAlignment="1">
      <alignment horizontal="justify"/>
    </xf>
    <xf numFmtId="0" fontId="60" fillId="32" borderId="27" xfId="294" applyFont="1" applyBorder="1"/>
    <xf numFmtId="0" fontId="60" fillId="32" borderId="1" xfId="294" applyFont="1" applyBorder="1"/>
    <xf numFmtId="0" fontId="60" fillId="32" borderId="28" xfId="294" applyFont="1" applyBorder="1"/>
    <xf numFmtId="0" fontId="59" fillId="32" borderId="1" xfId="294" applyFont="1" applyAlignment="1">
      <alignment horizontal="justify"/>
    </xf>
    <xf numFmtId="0" fontId="60" fillId="91" borderId="1" xfId="294" applyFont="1" applyFill="1"/>
    <xf numFmtId="0" fontId="60" fillId="92" borderId="69" xfId="294" applyFont="1" applyFill="1" applyBorder="1"/>
    <xf numFmtId="2" fontId="59" fillId="92" borderId="72" xfId="294" applyNumberFormat="1" applyFont="1" applyFill="1" applyBorder="1" applyAlignment="1">
      <alignment horizontal="right"/>
    </xf>
    <xf numFmtId="2" fontId="59" fillId="92" borderId="72" xfId="294" applyNumberFormat="1" applyFont="1" applyFill="1" applyBorder="1" applyAlignment="1">
      <alignment horizontal="left"/>
    </xf>
    <xf numFmtId="0" fontId="60" fillId="92" borderId="72" xfId="294" applyFont="1" applyFill="1" applyBorder="1"/>
    <xf numFmtId="0" fontId="60" fillId="92" borderId="73" xfId="294" applyFont="1" applyFill="1" applyBorder="1"/>
    <xf numFmtId="0" fontId="60" fillId="32" borderId="27" xfId="294" applyFont="1" applyFill="1" applyBorder="1"/>
    <xf numFmtId="2" fontId="59" fillId="32" borderId="1" xfId="294" applyNumberFormat="1" applyFont="1" applyFill="1" applyBorder="1" applyAlignment="1">
      <alignment horizontal="right"/>
    </xf>
    <xf numFmtId="2" fontId="59" fillId="32" borderId="1" xfId="294" applyNumberFormat="1" applyFont="1" applyFill="1" applyBorder="1" applyAlignment="1">
      <alignment horizontal="left"/>
    </xf>
    <xf numFmtId="0" fontId="60" fillId="32" borderId="1" xfId="294" applyFont="1" applyFill="1" applyBorder="1"/>
    <xf numFmtId="0" fontId="60" fillId="32" borderId="28" xfId="294" applyFont="1" applyFill="1" applyBorder="1"/>
    <xf numFmtId="0" fontId="0" fillId="32" borderId="27" xfId="294" applyFont="1" applyBorder="1"/>
    <xf numFmtId="0" fontId="0" fillId="91" borderId="1" xfId="294" applyFont="1" applyFill="1"/>
    <xf numFmtId="0" fontId="71" fillId="94" borderId="1" xfId="71" applyFont="1" applyFill="1" applyAlignment="1">
      <alignment horizontal="center"/>
    </xf>
    <xf numFmtId="0" fontId="71" fillId="94" borderId="1" xfId="71" applyFont="1" applyFill="1" applyAlignment="1">
      <alignment horizontal="left"/>
    </xf>
    <xf numFmtId="2" fontId="14" fillId="94" borderId="1" xfId="71" applyNumberFormat="1" applyFill="1"/>
    <xf numFmtId="0" fontId="71" fillId="91" borderId="1" xfId="71" applyFont="1" applyFill="1" applyAlignment="1">
      <alignment horizontal="center"/>
    </xf>
    <xf numFmtId="0" fontId="14" fillId="91" borderId="1" xfId="71" applyFill="1" applyAlignment="1">
      <alignment horizontal="left"/>
    </xf>
    <xf numFmtId="2" fontId="14" fillId="91" borderId="1" xfId="71" applyNumberFormat="1" applyFill="1"/>
    <xf numFmtId="0" fontId="71" fillId="91" borderId="1" xfId="71" applyFont="1" applyFill="1" applyAlignment="1">
      <alignment horizontal="right"/>
    </xf>
    <xf numFmtId="2" fontId="71" fillId="91" borderId="1" xfId="71" applyNumberFormat="1" applyFont="1" applyFill="1"/>
    <xf numFmtId="0" fontId="71" fillId="91" borderId="1" xfId="71" applyFont="1" applyFill="1" applyAlignment="1">
      <alignment horizontal="left"/>
    </xf>
    <xf numFmtId="0" fontId="71" fillId="91" borderId="1" xfId="71" applyFont="1" applyFill="1"/>
    <xf numFmtId="0" fontId="14" fillId="91" borderId="1" xfId="71" applyFill="1"/>
    <xf numFmtId="2" fontId="72" fillId="91" borderId="1" xfId="71" applyNumberFormat="1" applyFont="1" applyFill="1"/>
    <xf numFmtId="4" fontId="2" fillId="0" borderId="0" xfId="0" applyNumberFormat="1" applyFont="1" applyFill="1" applyAlignment="1">
      <alignment horizontal="left" wrapText="1"/>
    </xf>
    <xf numFmtId="4" fontId="3" fillId="0" borderId="2" xfId="0" applyNumberFormat="1" applyFont="1" applyFill="1" applyBorder="1" applyAlignment="1" applyProtection="1">
      <alignment horizontal="lef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3" fillId="0" borderId="3" xfId="0" applyNumberFormat="1" applyFont="1" applyFill="1" applyBorder="1" applyAlignment="1" applyProtection="1">
      <alignment horizontal="center" vertical="center" wrapText="1"/>
    </xf>
    <xf numFmtId="4" fontId="3" fillId="0" borderId="9" xfId="0" applyNumberFormat="1" applyFont="1" applyFill="1" applyBorder="1" applyAlignment="1" applyProtection="1">
      <alignment horizontal="center" vertical="center" wrapText="1"/>
    </xf>
    <xf numFmtId="4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203" applyNumberFormat="1" applyFont="1" applyFill="1" applyBorder="1" applyAlignment="1" applyProtection="1">
      <alignment horizontal="center" vertical="top" wrapText="1"/>
    </xf>
    <xf numFmtId="0" fontId="4" fillId="0" borderId="41" xfId="0" applyFont="1" applyFill="1" applyBorder="1" applyAlignment="1" applyProtection="1">
      <alignment horizontal="center" vertical="center" wrapText="1"/>
    </xf>
    <xf numFmtId="0" fontId="4" fillId="0" borderId="40" xfId="70" applyFont="1" applyFill="1" applyBorder="1" applyAlignment="1">
      <alignment horizontal="center" vertical="center" wrapText="1"/>
    </xf>
    <xf numFmtId="2" fontId="4" fillId="0" borderId="40" xfId="199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 applyProtection="1">
      <alignment horizontal="left" vertical="top" wrapText="1"/>
    </xf>
    <xf numFmtId="4" fontId="5" fillId="0" borderId="1" xfId="0" applyNumberFormat="1" applyFont="1" applyFill="1" applyBorder="1" applyAlignment="1" applyProtection="1">
      <alignment horizontal="left" vertical="top" wrapText="1"/>
      <protection locked="0"/>
    </xf>
    <xf numFmtId="4" fontId="3" fillId="0" borderId="9" xfId="202" applyNumberFormat="1" applyFont="1" applyFill="1" applyBorder="1" applyAlignment="1" applyProtection="1">
      <alignment horizontal="center" vertical="center" wrapText="1"/>
      <protection locked="0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2" fillId="0" borderId="0" xfId="0" applyNumberFormat="1" applyFont="1" applyAlignment="1">
      <alignment horizontal="center" wrapText="1"/>
    </xf>
    <xf numFmtId="4" fontId="3" fillId="0" borderId="1" xfId="0" applyNumberFormat="1" applyFont="1" applyFill="1" applyBorder="1" applyAlignment="1" applyProtection="1">
      <alignment horizontal="right" vertical="center" wrapText="1"/>
    </xf>
    <xf numFmtId="4" fontId="2" fillId="0" borderId="1" xfId="0" applyNumberFormat="1" applyFont="1" applyBorder="1" applyAlignment="1">
      <alignment horizontal="right" wrapText="1"/>
    </xf>
    <xf numFmtId="10" fontId="2" fillId="0" borderId="1" xfId="0" applyNumberFormat="1" applyFont="1" applyBorder="1" applyAlignment="1">
      <alignment horizontal="right" wrapText="1"/>
    </xf>
    <xf numFmtId="4" fontId="2" fillId="58" borderId="0" xfId="0" applyNumberFormat="1" applyFont="1" applyFill="1" applyAlignment="1">
      <alignment horizontal="right" vertical="center" wrapText="1"/>
    </xf>
    <xf numFmtId="4" fontId="2" fillId="90" borderId="0" xfId="0" applyNumberFormat="1" applyFont="1" applyFill="1" applyAlignment="1">
      <alignment horizontal="right" vertical="center" wrapText="1"/>
    </xf>
    <xf numFmtId="4" fontId="2" fillId="57" borderId="0" xfId="0" applyNumberFormat="1" applyFont="1" applyFill="1" applyAlignment="1">
      <alignment horizontal="right" vertical="center" wrapText="1"/>
    </xf>
    <xf numFmtId="4" fontId="2" fillId="0" borderId="0" xfId="0" applyNumberFormat="1" applyFont="1" applyFill="1" applyAlignment="1">
      <alignment horizontal="right" vertical="center" wrapText="1"/>
    </xf>
    <xf numFmtId="10" fontId="2" fillId="58" borderId="0" xfId="0" applyNumberFormat="1" applyFont="1" applyFill="1" applyAlignment="1">
      <alignment horizontal="right" vertical="center" wrapText="1"/>
    </xf>
    <xf numFmtId="4" fontId="42" fillId="0" borderId="1" xfId="0" applyNumberFormat="1" applyFont="1" applyBorder="1" applyAlignment="1">
      <alignment horizontal="right" wrapText="1"/>
    </xf>
    <xf numFmtId="4" fontId="2" fillId="0" borderId="0" xfId="0" applyNumberFormat="1" applyFont="1" applyAlignment="1">
      <alignment horizontal="right" wrapText="1"/>
    </xf>
    <xf numFmtId="4" fontId="6" fillId="0" borderId="3" xfId="0" applyNumberFormat="1" applyFont="1" applyFill="1" applyBorder="1" applyAlignment="1" applyProtection="1">
      <alignment horizontal="center" vertical="center" wrapText="1"/>
    </xf>
    <xf numFmtId="4" fontId="2" fillId="54" borderId="1" xfId="0" applyNumberFormat="1" applyFont="1" applyFill="1" applyBorder="1" applyAlignment="1">
      <alignment wrapText="1"/>
    </xf>
    <xf numFmtId="4" fontId="3" fillId="54" borderId="1" xfId="0" applyNumberFormat="1" applyFont="1" applyFill="1" applyBorder="1" applyAlignment="1" applyProtection="1">
      <alignment horizontal="right" vertical="center" wrapText="1"/>
    </xf>
    <xf numFmtId="4" fontId="3" fillId="4" borderId="1" xfId="0" applyNumberFormat="1" applyFont="1" applyFill="1" applyBorder="1" applyAlignment="1" applyProtection="1">
      <alignment horizontal="right" vertical="center" wrapText="1"/>
    </xf>
    <xf numFmtId="10" fontId="2" fillId="58" borderId="0" xfId="0" applyNumberFormat="1" applyFont="1" applyFill="1" applyAlignment="1">
      <alignment horizontal="right" wrapText="1"/>
    </xf>
    <xf numFmtId="4" fontId="2" fillId="54" borderId="0" xfId="0" applyNumberFormat="1" applyFont="1" applyFill="1" applyAlignment="1">
      <alignment horizontal="right" vertical="center" wrapText="1"/>
    </xf>
    <xf numFmtId="4" fontId="2" fillId="0" borderId="0" xfId="0" applyNumberFormat="1" applyFont="1" applyAlignment="1">
      <alignment horizontal="right" vertical="center" wrapText="1"/>
    </xf>
    <xf numFmtId="4" fontId="2" fillId="0" borderId="0" xfId="0" applyNumberFormat="1" applyFont="1" applyFill="1" applyAlignment="1">
      <alignment horizontal="right" wrapText="1"/>
    </xf>
    <xf numFmtId="4" fontId="2" fillId="54" borderId="0" xfId="0" applyNumberFormat="1" applyFont="1" applyFill="1" applyAlignment="1">
      <alignment horizontal="right" wrapText="1"/>
    </xf>
    <xf numFmtId="4" fontId="2" fillId="55" borderId="0" xfId="0" applyNumberFormat="1" applyFont="1" applyFill="1" applyAlignment="1">
      <alignment horizontal="right" vertical="center" wrapText="1"/>
    </xf>
    <xf numFmtId="4" fontId="2" fillId="58" borderId="0" xfId="0" applyNumberFormat="1" applyFont="1" applyFill="1" applyAlignment="1">
      <alignment horizontal="right" wrapText="1"/>
    </xf>
    <xf numFmtId="4" fontId="2" fillId="90" borderId="0" xfId="0" applyNumberFormat="1" applyFont="1" applyFill="1" applyAlignment="1">
      <alignment horizontal="right" wrapText="1"/>
    </xf>
    <xf numFmtId="4" fontId="2" fillId="57" borderId="0" xfId="0" applyNumberFormat="1" applyFont="1" applyFill="1" applyAlignment="1">
      <alignment horizontal="right" wrapText="1"/>
    </xf>
    <xf numFmtId="4" fontId="2" fillId="57" borderId="1" xfId="0" applyNumberFormat="1" applyFont="1" applyFill="1" applyBorder="1" applyAlignment="1">
      <alignment horizontal="right" wrapText="1"/>
    </xf>
    <xf numFmtId="4" fontId="2" fillId="54" borderId="1" xfId="0" applyNumberFormat="1" applyFont="1" applyFill="1" applyBorder="1" applyAlignment="1">
      <alignment horizontal="right" wrapText="1"/>
    </xf>
    <xf numFmtId="4" fontId="2" fillId="57" borderId="1" xfId="0" applyNumberFormat="1" applyFont="1" applyFill="1" applyBorder="1" applyAlignment="1">
      <alignment horizontal="right" vertical="center" wrapText="1"/>
    </xf>
    <xf numFmtId="4" fontId="2" fillId="58" borderId="1" xfId="0" applyNumberFormat="1" applyFont="1" applyFill="1" applyBorder="1" applyAlignment="1">
      <alignment horizontal="right" vertical="center" wrapText="1"/>
    </xf>
    <xf numFmtId="4" fontId="73" fillId="90" borderId="0" xfId="0" applyNumberFormat="1" applyFont="1" applyFill="1" applyAlignment="1">
      <alignment horizontal="right" vertical="center" wrapText="1"/>
    </xf>
    <xf numFmtId="4" fontId="74" fillId="4" borderId="1" xfId="0" applyNumberFormat="1" applyFont="1" applyFill="1" applyBorder="1" applyAlignment="1" applyProtection="1">
      <alignment horizontal="right" vertical="center" wrapText="1"/>
    </xf>
    <xf numFmtId="4" fontId="73" fillId="0" borderId="0" xfId="0" applyNumberFormat="1" applyFont="1" applyAlignment="1">
      <alignment wrapText="1"/>
    </xf>
    <xf numFmtId="4" fontId="73" fillId="58" borderId="82" xfId="0" applyNumberFormat="1" applyFont="1" applyFill="1" applyBorder="1" applyAlignment="1">
      <alignment vertical="center" wrapText="1"/>
    </xf>
    <xf numFmtId="4" fontId="2" fillId="58" borderId="27" xfId="0" applyNumberFormat="1" applyFont="1" applyFill="1" applyBorder="1" applyAlignment="1">
      <alignment vertical="center" wrapText="1"/>
    </xf>
    <xf numFmtId="4" fontId="2" fillId="58" borderId="28" xfId="0" applyNumberFormat="1" applyFont="1" applyFill="1" applyBorder="1" applyAlignment="1">
      <alignment vertical="center" wrapText="1"/>
    </xf>
    <xf numFmtId="4" fontId="73" fillId="58" borderId="27" xfId="0" applyNumberFormat="1" applyFont="1" applyFill="1" applyBorder="1" applyAlignment="1">
      <alignment vertical="center" wrapText="1"/>
    </xf>
    <xf numFmtId="4" fontId="2" fillId="0" borderId="27" xfId="0" applyNumberFormat="1" applyFont="1" applyBorder="1" applyAlignment="1">
      <alignment wrapText="1"/>
    </xf>
    <xf numFmtId="4" fontId="2" fillId="0" borderId="28" xfId="0" applyNumberFormat="1" applyFont="1" applyBorder="1" applyAlignment="1">
      <alignment wrapText="1"/>
    </xf>
    <xf numFmtId="4" fontId="73" fillId="0" borderId="77" xfId="0" applyNumberFormat="1" applyFont="1" applyBorder="1" applyAlignment="1">
      <alignment wrapText="1"/>
    </xf>
    <xf numFmtId="4" fontId="2" fillId="0" borderId="79" xfId="0" applyNumberFormat="1" applyFont="1" applyBorder="1" applyAlignment="1">
      <alignment wrapText="1"/>
    </xf>
    <xf numFmtId="4" fontId="73" fillId="58" borderId="1" xfId="0" applyNumberFormat="1" applyFont="1" applyFill="1" applyBorder="1" applyAlignment="1">
      <alignment vertical="center" wrapText="1"/>
    </xf>
    <xf numFmtId="4" fontId="73" fillId="58" borderId="81" xfId="0" applyNumberFormat="1" applyFont="1" applyFill="1" applyBorder="1" applyAlignment="1">
      <alignment vertical="center" wrapText="1"/>
    </xf>
    <xf numFmtId="4" fontId="73" fillId="58" borderId="28" xfId="0" applyNumberFormat="1" applyFont="1" applyFill="1" applyBorder="1" applyAlignment="1">
      <alignment vertical="center" wrapText="1"/>
    </xf>
    <xf numFmtId="4" fontId="74" fillId="0" borderId="0" xfId="0" applyNumberFormat="1" applyFont="1" applyAlignment="1">
      <alignment horizontal="right" wrapText="1"/>
    </xf>
    <xf numFmtId="43" fontId="74" fillId="0" borderId="0" xfId="211" applyFont="1" applyAlignment="1">
      <alignment wrapText="1"/>
    </xf>
    <xf numFmtId="4" fontId="42" fillId="0" borderId="40" xfId="0" applyNumberFormat="1" applyFont="1" applyFill="1" applyBorder="1" applyAlignment="1" applyProtection="1">
      <alignment horizontal="right" wrapText="1"/>
      <protection locked="0"/>
    </xf>
    <xf numFmtId="4" fontId="2" fillId="0" borderId="0" xfId="0" applyNumberFormat="1" applyFont="1" applyAlignment="1">
      <alignment horizontal="center" wrapText="1"/>
    </xf>
    <xf numFmtId="185" fontId="61" fillId="32" borderId="1" xfId="71" applyNumberFormat="1" applyFont="1" applyAlignment="1">
      <alignment horizontal="left" vertical="center" wrapText="1"/>
    </xf>
    <xf numFmtId="0" fontId="0" fillId="32" borderId="1" xfId="294" applyFont="1" applyAlignment="1">
      <alignment horizontal="left" vertical="center" wrapText="1"/>
    </xf>
    <xf numFmtId="4" fontId="2" fillId="0" borderId="0" xfId="0" applyNumberFormat="1" applyFont="1" applyAlignment="1">
      <alignment horizontal="center" wrapText="1"/>
    </xf>
    <xf numFmtId="4" fontId="5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" fontId="5" fillId="0" borderId="1" xfId="0" applyNumberFormat="1" applyFont="1" applyFill="1" applyBorder="1" applyAlignment="1" applyProtection="1">
      <alignment horizontal="center" vertical="center" wrapText="1"/>
    </xf>
    <xf numFmtId="4" fontId="5" fillId="0" borderId="1" xfId="0" applyNumberFormat="1" applyFont="1" applyFill="1" applyBorder="1" applyAlignment="1" applyProtection="1">
      <alignment horizontal="right" vertical="center" wrapText="1"/>
    </xf>
    <xf numFmtId="4" fontId="5" fillId="0" borderId="21" xfId="0" applyNumberFormat="1" applyFont="1" applyFill="1" applyBorder="1" applyAlignment="1" applyProtection="1">
      <alignment horizontal="right" vertical="center" wrapText="1"/>
    </xf>
    <xf numFmtId="4" fontId="42" fillId="32" borderId="40" xfId="0" applyNumberFormat="1" applyFont="1" applyFill="1" applyBorder="1" applyAlignment="1" applyProtection="1">
      <alignment wrapText="1"/>
      <protection locked="0"/>
    </xf>
    <xf numFmtId="4" fontId="42" fillId="32" borderId="1" xfId="0" applyNumberFormat="1" applyFont="1" applyFill="1" applyBorder="1" applyAlignment="1" applyProtection="1">
      <alignment wrapText="1"/>
      <protection locked="0"/>
    </xf>
    <xf numFmtId="4" fontId="42" fillId="0" borderId="1" xfId="0" applyNumberFormat="1" applyFont="1" applyFill="1" applyBorder="1" applyAlignment="1">
      <alignment wrapText="1"/>
    </xf>
    <xf numFmtId="4" fontId="5" fillId="0" borderId="83" xfId="0" applyNumberFormat="1" applyFont="1" applyFill="1" applyBorder="1" applyAlignment="1" applyProtection="1">
      <alignment horizontal="right" vertical="center" wrapText="1"/>
    </xf>
    <xf numFmtId="4" fontId="2" fillId="5" borderId="40" xfId="0" applyNumberFormat="1" applyFont="1" applyFill="1" applyBorder="1" applyAlignment="1" applyProtection="1">
      <alignment wrapText="1"/>
      <protection locked="0"/>
    </xf>
    <xf numFmtId="4" fontId="42" fillId="0" borderId="1" xfId="0" applyNumberFormat="1" applyFont="1" applyFill="1" applyBorder="1" applyAlignment="1" applyProtection="1">
      <alignment horizontal="right" wrapText="1"/>
      <protection locked="0"/>
    </xf>
    <xf numFmtId="4" fontId="42" fillId="0" borderId="1" xfId="0" applyNumberFormat="1" applyFont="1" applyBorder="1" applyAlignment="1">
      <alignment wrapText="1"/>
    </xf>
    <xf numFmtId="4" fontId="42" fillId="32" borderId="40" xfId="0" applyNumberFormat="1" applyFont="1" applyFill="1" applyBorder="1" applyAlignment="1" applyProtection="1">
      <alignment horizontal="right" wrapText="1"/>
      <protection locked="0"/>
    </xf>
    <xf numFmtId="4" fontId="42" fillId="32" borderId="1" xfId="0" applyNumberFormat="1" applyFont="1" applyFill="1" applyBorder="1" applyAlignment="1" applyProtection="1">
      <alignment horizontal="right" wrapText="1"/>
      <protection locked="0"/>
    </xf>
    <xf numFmtId="4" fontId="42" fillId="32" borderId="1" xfId="0" applyNumberFormat="1" applyFont="1" applyFill="1" applyBorder="1" applyAlignment="1" applyProtection="1">
      <alignment horizontal="center" wrapText="1"/>
      <protection locked="0"/>
    </xf>
    <xf numFmtId="4" fontId="42" fillId="0" borderId="0" xfId="0" applyNumberFormat="1" applyFont="1" applyAlignment="1">
      <alignment horizontal="center" wrapText="1"/>
    </xf>
    <xf numFmtId="4" fontId="2" fillId="0" borderId="0" xfId="0" applyNumberFormat="1" applyFont="1" applyAlignment="1"/>
    <xf numFmtId="4" fontId="5" fillId="19" borderId="1" xfId="0" applyNumberFormat="1" applyFont="1" applyFill="1" applyBorder="1" applyAlignment="1" applyProtection="1">
      <alignment horizontal="right" vertical="center" wrapText="1"/>
      <protection locked="0"/>
    </xf>
    <xf numFmtId="0" fontId="75" fillId="32" borderId="1" xfId="294" applyFont="1"/>
    <xf numFmtId="4" fontId="2" fillId="91" borderId="1" xfId="0" applyNumberFormat="1" applyFont="1" applyFill="1" applyBorder="1" applyAlignment="1" applyProtection="1">
      <alignment wrapText="1"/>
      <protection locked="0"/>
    </xf>
    <xf numFmtId="4" fontId="5" fillId="91" borderId="1" xfId="0" applyNumberFormat="1" applyFont="1" applyFill="1" applyBorder="1" applyAlignment="1" applyProtection="1">
      <alignment horizontal="right" vertical="center" wrapText="1"/>
      <protection locked="0"/>
    </xf>
    <xf numFmtId="4" fontId="5" fillId="91" borderId="1" xfId="0" applyNumberFormat="1" applyFont="1" applyFill="1" applyBorder="1" applyAlignment="1" applyProtection="1">
      <alignment horizontal="right" vertical="center" wrapText="1"/>
    </xf>
    <xf numFmtId="4" fontId="3" fillId="91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32" borderId="40" xfId="1" applyFont="1" applyBorder="1" applyAlignment="1" applyProtection="1">
      <alignment horizontal="center" vertical="top" wrapText="1"/>
      <protection locked="0"/>
    </xf>
    <xf numFmtId="0" fontId="9" fillId="32" borderId="40" xfId="1" applyFont="1" applyBorder="1" applyAlignment="1" applyProtection="1">
      <alignment horizontal="center" vertical="top" wrapText="1"/>
      <protection locked="0"/>
    </xf>
    <xf numFmtId="0" fontId="43" fillId="32" borderId="40" xfId="1" applyFont="1" applyBorder="1" applyAlignment="1" applyProtection="1">
      <alignment horizontal="center" vertical="top" wrapText="1"/>
      <protection locked="0"/>
    </xf>
    <xf numFmtId="0" fontId="12" fillId="32" borderId="40" xfId="1" applyFont="1" applyBorder="1" applyAlignment="1" applyProtection="1">
      <alignment horizontal="center" vertical="center" wrapText="1"/>
      <protection locked="0"/>
    </xf>
    <xf numFmtId="0" fontId="12" fillId="32" borderId="40" xfId="1" applyFont="1" applyBorder="1" applyAlignment="1" applyProtection="1">
      <alignment horizontal="center" vertical="center"/>
    </xf>
    <xf numFmtId="0" fontId="60" fillId="91" borderId="27" xfId="294" applyFont="1" applyFill="1" applyBorder="1"/>
    <xf numFmtId="2" fontId="59" fillId="91" borderId="1" xfId="294" applyNumberFormat="1" applyFont="1" applyFill="1" applyBorder="1" applyAlignment="1">
      <alignment horizontal="right"/>
    </xf>
    <xf numFmtId="2" fontId="59" fillId="91" borderId="1" xfId="294" applyNumberFormat="1" applyFont="1" applyFill="1" applyBorder="1" applyAlignment="1">
      <alignment horizontal="left"/>
    </xf>
    <xf numFmtId="0" fontId="60" fillId="91" borderId="1" xfId="294" applyFont="1" applyFill="1" applyBorder="1"/>
    <xf numFmtId="0" fontId="60" fillId="91" borderId="28" xfId="294" applyFont="1" applyFill="1" applyBorder="1"/>
    <xf numFmtId="0" fontId="59" fillId="32" borderId="27" xfId="294" applyFont="1" applyBorder="1"/>
    <xf numFmtId="0" fontId="77" fillId="32" borderId="1" xfId="294" applyFont="1" applyBorder="1"/>
    <xf numFmtId="0" fontId="60" fillId="32" borderId="27" xfId="294" applyFont="1" applyBorder="1" applyAlignment="1">
      <alignment horizontal="left" vertical="center" wrapText="1"/>
    </xf>
    <xf numFmtId="0" fontId="59" fillId="32" borderId="1" xfId="294" applyFont="1" applyBorder="1" applyAlignment="1">
      <alignment horizontal="left" vertical="center" wrapText="1"/>
    </xf>
    <xf numFmtId="0" fontId="60" fillId="32" borderId="1" xfId="294" applyFont="1" applyBorder="1" applyAlignment="1">
      <alignment horizontal="left" vertical="center" wrapText="1"/>
    </xf>
    <xf numFmtId="0" fontId="60" fillId="32" borderId="28" xfId="294" applyFont="1" applyBorder="1" applyAlignment="1">
      <alignment horizontal="left" vertical="center" wrapText="1"/>
    </xf>
    <xf numFmtId="0" fontId="78" fillId="32" borderId="27" xfId="294" applyFont="1" applyBorder="1"/>
    <xf numFmtId="0" fontId="78" fillId="32" borderId="1" xfId="294" applyFont="1" applyBorder="1"/>
    <xf numFmtId="4" fontId="2" fillId="0" borderId="0" xfId="0" applyNumberFormat="1" applyFont="1" applyAlignment="1">
      <alignment horizontal="center" wrapText="1"/>
    </xf>
    <xf numFmtId="0" fontId="10" fillId="32" borderId="1" xfId="70" applyFont="1" applyFill="1" applyBorder="1" applyAlignment="1">
      <alignment horizontal="left" vertical="top"/>
    </xf>
    <xf numFmtId="0" fontId="80" fillId="32" borderId="2" xfId="70" applyFont="1" applyFill="1" applyBorder="1" applyAlignment="1">
      <alignment horizontal="center" vertical="top" wrapText="1"/>
    </xf>
    <xf numFmtId="0" fontId="80" fillId="32" borderId="2" xfId="70" applyFont="1" applyFill="1" applyBorder="1" applyAlignment="1">
      <alignment horizontal="left" vertical="top" wrapText="1"/>
    </xf>
    <xf numFmtId="2" fontId="82" fillId="32" borderId="2" xfId="70" applyNumberFormat="1" applyFont="1" applyFill="1" applyBorder="1" applyAlignment="1">
      <alignment horizontal="center" vertical="top" shrinkToFit="1"/>
    </xf>
    <xf numFmtId="0" fontId="71" fillId="97" borderId="2" xfId="70" applyFont="1" applyFill="1" applyBorder="1" applyAlignment="1">
      <alignment horizontal="center" vertical="top" wrapText="1"/>
    </xf>
    <xf numFmtId="0" fontId="71" fillId="97" borderId="2" xfId="70" applyFont="1" applyFill="1" applyBorder="1" applyAlignment="1">
      <alignment horizontal="left" vertical="top" wrapText="1"/>
    </xf>
    <xf numFmtId="2" fontId="83" fillId="97" borderId="2" xfId="70" applyNumberFormat="1" applyFont="1" applyFill="1" applyBorder="1" applyAlignment="1">
      <alignment horizontal="center" vertical="top" shrinkToFit="1"/>
    </xf>
    <xf numFmtId="2" fontId="83" fillId="97" borderId="4" xfId="70" applyNumberFormat="1" applyFont="1" applyFill="1" applyBorder="1" applyAlignment="1">
      <alignment horizontal="center" vertical="top" shrinkToFit="1"/>
    </xf>
    <xf numFmtId="0" fontId="84" fillId="95" borderId="3" xfId="70" applyFont="1" applyFill="1" applyBorder="1" applyAlignment="1">
      <alignment horizontal="left" vertical="top"/>
    </xf>
    <xf numFmtId="0" fontId="71" fillId="95" borderId="23" xfId="70" applyFont="1" applyFill="1" applyBorder="1" applyAlignment="1">
      <alignment vertical="top" wrapText="1"/>
    </xf>
    <xf numFmtId="0" fontId="71" fillId="95" borderId="40" xfId="70" applyFont="1" applyFill="1" applyBorder="1" applyAlignment="1">
      <alignment horizontal="center" vertical="center" wrapText="1"/>
    </xf>
    <xf numFmtId="0" fontId="81" fillId="32" borderId="2" xfId="70" applyFont="1" applyFill="1" applyBorder="1" applyAlignment="1">
      <alignment horizontal="left" vertical="top" wrapText="1"/>
    </xf>
    <xf numFmtId="4" fontId="42" fillId="32" borderId="23" xfId="0" applyNumberFormat="1" applyFont="1" applyFill="1" applyBorder="1" applyAlignment="1" applyProtection="1">
      <alignment horizontal="right" vertical="center" wrapText="1"/>
    </xf>
    <xf numFmtId="4" fontId="3" fillId="54" borderId="3" xfId="0" applyNumberFormat="1" applyFont="1" applyFill="1" applyBorder="1" applyAlignment="1" applyProtection="1">
      <alignment vertical="center"/>
    </xf>
    <xf numFmtId="4" fontId="3" fillId="54" borderId="23" xfId="0" applyNumberFormat="1" applyFont="1" applyFill="1" applyBorder="1" applyAlignment="1" applyProtection="1">
      <alignment vertical="center"/>
    </xf>
    <xf numFmtId="4" fontId="3" fillId="54" borderId="9" xfId="0" applyNumberFormat="1" applyFont="1" applyFill="1" applyBorder="1" applyAlignment="1" applyProtection="1">
      <alignment vertical="center"/>
    </xf>
    <xf numFmtId="4" fontId="3" fillId="0" borderId="23" xfId="0" applyNumberFormat="1" applyFont="1" applyFill="1" applyBorder="1" applyAlignment="1" applyProtection="1">
      <alignment vertical="center" wrapText="1"/>
    </xf>
    <xf numFmtId="4" fontId="73" fillId="90" borderId="0" xfId="0" applyNumberFormat="1" applyFont="1" applyFill="1" applyAlignment="1">
      <alignment horizontal="center" vertical="center" wrapText="1"/>
    </xf>
    <xf numFmtId="4" fontId="73" fillId="0" borderId="0" xfId="0" applyNumberFormat="1" applyFont="1" applyAlignment="1">
      <alignment horizontal="center" vertical="center" wrapText="1"/>
    </xf>
    <xf numFmtId="0" fontId="71" fillId="96" borderId="6" xfId="70" applyFont="1" applyFill="1" applyBorder="1" applyAlignment="1">
      <alignment horizontal="center" vertical="top" wrapText="1"/>
    </xf>
    <xf numFmtId="0" fontId="79" fillId="32" borderId="1" xfId="70" applyFont="1" applyFill="1" applyBorder="1" applyAlignment="1">
      <alignment vertical="top" wrapText="1"/>
    </xf>
    <xf numFmtId="4" fontId="5" fillId="91" borderId="2" xfId="0" applyNumberFormat="1" applyFont="1" applyFill="1" applyBorder="1" applyAlignment="1" applyProtection="1">
      <alignment horizontal="left" vertical="center" wrapText="1"/>
    </xf>
    <xf numFmtId="4" fontId="5" fillId="55" borderId="2" xfId="0" applyNumberFormat="1" applyFont="1" applyFill="1" applyBorder="1" applyAlignment="1" applyProtection="1">
      <alignment horizontal="left" vertical="center" wrapText="1"/>
    </xf>
    <xf numFmtId="4" fontId="5" fillId="55" borderId="2" xfId="0" applyNumberFormat="1" applyFont="1" applyFill="1" applyBorder="1" applyAlignment="1" applyProtection="1">
      <alignment horizontal="center" vertical="center" wrapText="1"/>
    </xf>
    <xf numFmtId="4" fontId="5" fillId="55" borderId="2" xfId="0" applyNumberFormat="1" applyFont="1" applyFill="1" applyBorder="1" applyAlignment="1" applyProtection="1">
      <alignment horizontal="right" vertical="center" wrapText="1"/>
    </xf>
    <xf numFmtId="4" fontId="2" fillId="55" borderId="0" xfId="0" applyNumberFormat="1" applyFont="1" applyFill="1" applyAlignment="1">
      <alignment horizontal="left" vertical="center" wrapText="1"/>
    </xf>
    <xf numFmtId="0" fontId="5" fillId="55" borderId="2" xfId="0" applyNumberFormat="1" applyFont="1" applyFill="1" applyBorder="1" applyAlignment="1" applyProtection="1">
      <alignment horizontal="center" vertical="center" wrapText="1"/>
    </xf>
    <xf numFmtId="4" fontId="2" fillId="55" borderId="0" xfId="0" applyNumberFormat="1" applyFont="1" applyFill="1" applyAlignment="1">
      <alignment horizontal="right" wrapText="1"/>
    </xf>
    <xf numFmtId="4" fontId="2" fillId="55" borderId="0" xfId="0" applyNumberFormat="1" applyFont="1" applyFill="1" applyAlignment="1">
      <alignment horizontal="left" wrapText="1"/>
    </xf>
    <xf numFmtId="1" fontId="5" fillId="55" borderId="2" xfId="0" applyNumberFormat="1" applyFont="1" applyFill="1" applyBorder="1" applyAlignment="1" applyProtection="1">
      <alignment horizontal="center" vertical="center" wrapText="1"/>
    </xf>
    <xf numFmtId="0" fontId="5" fillId="55" borderId="2" xfId="0" applyNumberFormat="1" applyFont="1" applyFill="1" applyBorder="1" applyAlignment="1" applyProtection="1">
      <alignment horizontal="left" vertical="center" wrapText="1"/>
    </xf>
    <xf numFmtId="43" fontId="2" fillId="32" borderId="40" xfId="212" applyNumberFormat="1" applyFont="1" applyFill="1" applyBorder="1" applyAlignment="1">
      <alignment horizontal="center" vertical="center" wrapText="1"/>
    </xf>
    <xf numFmtId="4" fontId="2" fillId="0" borderId="40" xfId="0" applyNumberFormat="1" applyFont="1" applyFill="1" applyBorder="1" applyAlignment="1">
      <alignment wrapText="1"/>
    </xf>
    <xf numFmtId="4" fontId="3" fillId="2" borderId="4" xfId="0" applyNumberFormat="1" applyFont="1" applyFill="1" applyBorder="1" applyAlignment="1" applyProtection="1">
      <alignment horizontal="center" vertical="center" wrapText="1"/>
    </xf>
    <xf numFmtId="4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4" fillId="0" borderId="44" xfId="71" applyFont="1" applyFill="1" applyBorder="1" applyAlignment="1">
      <alignment horizontal="center"/>
    </xf>
    <xf numFmtId="0" fontId="4" fillId="0" borderId="16" xfId="71" applyFont="1" applyFill="1" applyBorder="1" applyAlignment="1">
      <alignment horizontal="center"/>
    </xf>
    <xf numFmtId="2" fontId="4" fillId="0" borderId="40" xfId="199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 applyProtection="1">
      <alignment horizontal="left" vertical="top" wrapText="1"/>
    </xf>
    <xf numFmtId="4" fontId="5" fillId="0" borderId="1" xfId="0" applyNumberFormat="1" applyFont="1" applyFill="1" applyBorder="1" applyAlignment="1" applyProtection="1">
      <alignment horizontal="left" vertical="top" wrapText="1"/>
      <protection locked="0"/>
    </xf>
    <xf numFmtId="4" fontId="3" fillId="0" borderId="9" xfId="202" applyNumberFormat="1" applyFont="1" applyFill="1" applyBorder="1" applyAlignment="1" applyProtection="1">
      <alignment horizontal="center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0" fontId="4" fillId="0" borderId="16" xfId="71" applyFont="1" applyFill="1" applyBorder="1" applyAlignment="1">
      <alignment horizontal="center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4" fontId="3" fillId="0" borderId="2" xfId="0" applyNumberFormat="1" applyFont="1" applyFill="1" applyBorder="1" applyAlignment="1" applyProtection="1">
      <alignment horizontal="center" vertical="top" wrapText="1"/>
    </xf>
    <xf numFmtId="4" fontId="3" fillId="0" borderId="48" xfId="0" applyNumberFormat="1" applyFont="1" applyFill="1" applyBorder="1" applyAlignment="1" applyProtection="1">
      <alignment vertical="top" wrapText="1"/>
    </xf>
    <xf numFmtId="4" fontId="3" fillId="0" borderId="48" xfId="203" applyNumberFormat="1" applyFont="1" applyFill="1" applyBorder="1" applyAlignment="1" applyProtection="1">
      <alignment vertical="top" wrapText="1"/>
    </xf>
    <xf numFmtId="4" fontId="3" fillId="0" borderId="1" xfId="0" applyNumberFormat="1" applyFont="1" applyFill="1" applyBorder="1" applyAlignment="1" applyProtection="1">
      <alignment vertical="top" wrapText="1"/>
    </xf>
    <xf numFmtId="0" fontId="4" fillId="0" borderId="1" xfId="71" applyFont="1" applyFill="1" applyBorder="1" applyAlignment="1">
      <alignment horizontal="center"/>
    </xf>
    <xf numFmtId="173" fontId="4" fillId="0" borderId="1" xfId="195" applyFont="1" applyFill="1" applyBorder="1" applyAlignment="1">
      <alignment horizontal="center" vertical="center" wrapText="1"/>
    </xf>
    <xf numFmtId="4" fontId="2" fillId="55" borderId="40" xfId="0" applyNumberFormat="1" applyFont="1" applyFill="1" applyBorder="1" applyAlignment="1">
      <alignment wrapText="1"/>
    </xf>
    <xf numFmtId="0" fontId="5" fillId="54" borderId="2" xfId="0" applyNumberFormat="1" applyFont="1" applyFill="1" applyBorder="1" applyAlignment="1" applyProtection="1">
      <alignment horizontal="center" vertical="center" wrapText="1"/>
    </xf>
    <xf numFmtId="4" fontId="5" fillId="54" borderId="2" xfId="0" applyNumberFormat="1" applyFont="1" applyFill="1" applyBorder="1" applyAlignment="1" applyProtection="1">
      <alignment horizontal="center" vertical="center" wrapText="1"/>
    </xf>
    <xf numFmtId="4" fontId="5" fillId="54" borderId="2" xfId="0" applyNumberFormat="1" applyFont="1" applyFill="1" applyBorder="1" applyAlignment="1" applyProtection="1">
      <alignment horizontal="right" vertical="center" wrapText="1"/>
    </xf>
    <xf numFmtId="4" fontId="5" fillId="54" borderId="6" xfId="0" applyNumberFormat="1" applyFont="1" applyFill="1" applyBorder="1" applyAlignment="1" applyProtection="1">
      <alignment horizontal="right" vertical="center" wrapText="1"/>
    </xf>
    <xf numFmtId="0" fontId="4" fillId="0" borderId="16" xfId="71" applyFont="1" applyFill="1" applyBorder="1" applyAlignment="1"/>
    <xf numFmtId="0" fontId="4" fillId="0" borderId="44" xfId="71" applyFont="1" applyFill="1" applyBorder="1" applyAlignment="1">
      <alignment horizontal="center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2" fontId="4" fillId="0" borderId="40" xfId="199" applyNumberFormat="1" applyFont="1" applyFill="1" applyBorder="1" applyAlignment="1">
      <alignment horizontal="center" vertical="center" wrapText="1"/>
    </xf>
    <xf numFmtId="0" fontId="5" fillId="54" borderId="40" xfId="0" applyNumberFormat="1" applyFont="1" applyFill="1" applyBorder="1" applyAlignment="1" applyProtection="1">
      <alignment horizontal="center" vertical="center" wrapText="1"/>
    </xf>
    <xf numFmtId="4" fontId="73" fillId="55" borderId="0" xfId="0" applyNumberFormat="1" applyFont="1" applyFill="1" applyAlignment="1">
      <alignment vertical="center" wrapText="1"/>
    </xf>
    <xf numFmtId="4" fontId="6" fillId="55" borderId="2" xfId="0" applyNumberFormat="1" applyFont="1" applyFill="1" applyBorder="1" applyAlignment="1" applyProtection="1">
      <alignment horizontal="center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1" xfId="0" applyNumberFormat="1" applyFont="1" applyFill="1" applyBorder="1" applyAlignment="1" applyProtection="1">
      <alignment horizontal="center" vertical="center" wrapText="1"/>
    </xf>
    <xf numFmtId="4" fontId="3" fillId="0" borderId="48" xfId="202" applyNumberFormat="1" applyFont="1" applyFill="1" applyBorder="1" applyAlignment="1" applyProtection="1">
      <alignment vertical="top" wrapText="1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2" fillId="55" borderId="40" xfId="0" applyNumberFormat="1" applyFont="1" applyFill="1" applyBorder="1" applyAlignment="1">
      <alignment vertical="center" wrapText="1"/>
    </xf>
    <xf numFmtId="180" fontId="5" fillId="0" borderId="2" xfId="0" applyNumberFormat="1" applyFont="1" applyFill="1" applyBorder="1" applyAlignment="1" applyProtection="1">
      <alignment horizontal="right" vertical="center" wrapText="1"/>
    </xf>
    <xf numFmtId="4" fontId="3" fillId="0" borderId="4" xfId="0" applyNumberFormat="1" applyFont="1" applyFill="1" applyBorder="1" applyAlignment="1" applyProtection="1">
      <alignment horizontal="center" vertical="center" wrapText="1"/>
    </xf>
    <xf numFmtId="4" fontId="3" fillId="0" borderId="85" xfId="0" applyNumberFormat="1" applyFont="1" applyFill="1" applyBorder="1" applyAlignment="1" applyProtection="1">
      <alignment horizontal="center" vertical="center" wrapText="1"/>
    </xf>
    <xf numFmtId="4" fontId="3" fillId="0" borderId="6" xfId="0" applyNumberFormat="1" applyFont="1" applyFill="1" applyBorder="1" applyAlignment="1" applyProtection="1">
      <alignment horizontal="right" vertical="top" wrapText="1"/>
    </xf>
    <xf numFmtId="4" fontId="3" fillId="0" borderId="21" xfId="0" applyNumberFormat="1" applyFont="1" applyFill="1" applyBorder="1" applyAlignment="1" applyProtection="1">
      <alignment horizontal="center" vertical="top" wrapText="1"/>
    </xf>
    <xf numFmtId="4" fontId="5" fillId="0" borderId="40" xfId="0" applyNumberFormat="1" applyFont="1" applyFill="1" applyBorder="1" applyAlignment="1" applyProtection="1">
      <alignment horizontal="justify" vertical="center" wrapText="1"/>
    </xf>
    <xf numFmtId="0" fontId="5" fillId="0" borderId="40" xfId="0" applyNumberFormat="1" applyFont="1" applyFill="1" applyBorder="1" applyAlignment="1" applyProtection="1">
      <alignment horizontal="right" vertical="center" wrapText="1"/>
    </xf>
    <xf numFmtId="0" fontId="3" fillId="0" borderId="40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3" xfId="0" applyNumberFormat="1" applyFont="1" applyFill="1" applyBorder="1" applyAlignment="1" applyProtection="1">
      <alignment horizontal="right" vertical="top" wrapText="1"/>
    </xf>
    <xf numFmtId="2" fontId="5" fillId="0" borderId="2" xfId="0" applyNumberFormat="1" applyFont="1" applyFill="1" applyBorder="1" applyAlignment="1" applyProtection="1">
      <alignment horizontal="right" vertical="center" wrapText="1"/>
    </xf>
    <xf numFmtId="0" fontId="4" fillId="0" borderId="16" xfId="71" applyFont="1" applyFill="1" applyBorder="1" applyAlignment="1">
      <alignment horizontal="center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0" fontId="4" fillId="0" borderId="44" xfId="71" applyFont="1" applyFill="1" applyBorder="1" applyAlignment="1">
      <alignment horizontal="center"/>
    </xf>
    <xf numFmtId="2" fontId="4" fillId="0" borderId="40" xfId="199" applyNumberFormat="1" applyFont="1" applyFill="1" applyBorder="1" applyAlignment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0" fontId="4" fillId="0" borderId="16" xfId="71" applyFont="1" applyFill="1" applyBorder="1" applyAlignment="1">
      <alignment horizontal="center"/>
    </xf>
    <xf numFmtId="0" fontId="4" fillId="0" borderId="44" xfId="71" applyFont="1" applyFill="1" applyBorder="1" applyAlignment="1">
      <alignment horizontal="center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2" fontId="4" fillId="0" borderId="40" xfId="199" applyNumberFormat="1" applyFont="1" applyFill="1" applyBorder="1" applyAlignment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4" fontId="3" fillId="0" borderId="6" xfId="0" applyNumberFormat="1" applyFont="1" applyFill="1" applyBorder="1" applyAlignment="1" applyProtection="1">
      <alignment horizontal="left" vertical="center" wrapText="1"/>
      <protection locked="0"/>
    </xf>
    <xf numFmtId="183" fontId="2" fillId="0" borderId="0" xfId="0" applyNumberFormat="1" applyFont="1" applyAlignment="1">
      <alignment wrapText="1"/>
    </xf>
    <xf numFmtId="4" fontId="3" fillId="0" borderId="6" xfId="0" applyNumberFormat="1" applyFont="1" applyFill="1" applyBorder="1" applyAlignment="1" applyProtection="1">
      <alignment horizontal="right" vertical="center" wrapText="1"/>
    </xf>
    <xf numFmtId="4" fontId="2" fillId="0" borderId="1" xfId="0" applyNumberFormat="1" applyFont="1" applyFill="1" applyBorder="1" applyAlignment="1">
      <alignment wrapText="1"/>
    </xf>
    <xf numFmtId="4" fontId="3" fillId="0" borderId="40" xfId="0" applyNumberFormat="1" applyFont="1" applyFill="1" applyBorder="1" applyAlignment="1" applyProtection="1">
      <alignment horizontal="left" vertical="center" wrapText="1"/>
      <protection locked="0"/>
    </xf>
    <xf numFmtId="183" fontId="2" fillId="58" borderId="40" xfId="0" applyNumberFormat="1" applyFont="1" applyFill="1" applyBorder="1" applyAlignment="1">
      <alignment wrapText="1"/>
    </xf>
    <xf numFmtId="183" fontId="2" fillId="58" borderId="40" xfId="0" applyNumberFormat="1" applyFont="1" applyFill="1" applyBorder="1" applyAlignment="1">
      <alignment horizontal="right" wrapText="1"/>
    </xf>
    <xf numFmtId="4" fontId="2" fillId="58" borderId="40" xfId="0" applyNumberFormat="1" applyFont="1" applyFill="1" applyBorder="1" applyAlignment="1">
      <alignment wrapText="1"/>
    </xf>
    <xf numFmtId="4" fontId="2" fillId="58" borderId="40" xfId="0" applyNumberFormat="1" applyFont="1" applyFill="1" applyBorder="1" applyAlignment="1">
      <alignment vertical="center" wrapText="1"/>
    </xf>
    <xf numFmtId="4" fontId="2" fillId="58" borderId="40" xfId="0" applyNumberFormat="1" applyFont="1" applyFill="1" applyBorder="1" applyAlignment="1">
      <alignment horizontal="right" vertical="center" wrapText="1"/>
    </xf>
    <xf numFmtId="4" fontId="2" fillId="54" borderId="40" xfId="0" applyNumberFormat="1" applyFont="1" applyFill="1" applyBorder="1" applyAlignment="1">
      <alignment wrapText="1"/>
    </xf>
    <xf numFmtId="4" fontId="2" fillId="58" borderId="40" xfId="0" applyNumberFormat="1" applyFont="1" applyFill="1" applyBorder="1" applyAlignment="1">
      <alignment horizontal="left" vertical="center" wrapText="1"/>
    </xf>
    <xf numFmtId="4" fontId="5" fillId="54" borderId="40" xfId="0" applyNumberFormat="1" applyFont="1" applyFill="1" applyBorder="1" applyAlignment="1" applyProtection="1">
      <alignment horizontal="right" vertical="center" wrapText="1"/>
    </xf>
    <xf numFmtId="4" fontId="5" fillId="55" borderId="40" xfId="0" applyNumberFormat="1" applyFont="1" applyFill="1" applyBorder="1" applyAlignment="1" applyProtection="1">
      <alignment horizontal="right" vertical="center" wrapText="1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4" fontId="5" fillId="0" borderId="4" xfId="0" applyNumberFormat="1" applyFont="1" applyFill="1" applyBorder="1" applyAlignment="1" applyProtection="1">
      <alignment horizontal="center" vertical="center" wrapText="1"/>
    </xf>
    <xf numFmtId="4" fontId="5" fillId="0" borderId="6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0" fontId="4" fillId="0" borderId="16" xfId="71" applyFont="1" applyFill="1" applyBorder="1" applyAlignment="1">
      <alignment horizontal="center"/>
    </xf>
    <xf numFmtId="0" fontId="4" fillId="0" borderId="44" xfId="71" applyFont="1" applyFill="1" applyBorder="1" applyAlignment="1">
      <alignment horizontal="center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2" fontId="4" fillId="0" borderId="40" xfId="199" applyNumberFormat="1" applyFont="1" applyFill="1" applyBorder="1" applyAlignment="1">
      <alignment horizontal="center" vertical="center" wrapText="1"/>
    </xf>
    <xf numFmtId="4" fontId="5" fillId="55" borderId="6" xfId="0" applyNumberFormat="1" applyFont="1" applyFill="1" applyBorder="1" applyAlignment="1" applyProtection="1">
      <alignment horizontal="right" vertical="center" wrapText="1"/>
    </xf>
    <xf numFmtId="4" fontId="2" fillId="55" borderId="1" xfId="0" applyNumberFormat="1" applyFont="1" applyFill="1" applyBorder="1" applyAlignment="1">
      <alignment horizontal="left" vertical="center" wrapText="1"/>
    </xf>
    <xf numFmtId="4" fontId="2" fillId="55" borderId="1" xfId="0" applyNumberFormat="1" applyFont="1" applyFill="1" applyBorder="1" applyAlignment="1">
      <alignment horizontal="right" vertical="center" wrapText="1"/>
    </xf>
    <xf numFmtId="4" fontId="2" fillId="55" borderId="1" xfId="0" applyNumberFormat="1" applyFont="1" applyFill="1" applyBorder="1" applyAlignment="1">
      <alignment vertical="center" wrapText="1"/>
    </xf>
    <xf numFmtId="4" fontId="2" fillId="55" borderId="1" xfId="0" applyNumberFormat="1" applyFont="1" applyFill="1" applyBorder="1" applyAlignment="1">
      <alignment wrapText="1"/>
    </xf>
    <xf numFmtId="4" fontId="5" fillId="55" borderId="3" xfId="0" applyNumberFormat="1" applyFont="1" applyFill="1" applyBorder="1" applyAlignment="1" applyProtection="1">
      <alignment horizontal="right" vertical="center" wrapText="1"/>
    </xf>
    <xf numFmtId="4" fontId="2" fillId="55" borderId="40" xfId="0" applyNumberFormat="1" applyFont="1" applyFill="1" applyBorder="1" applyAlignment="1">
      <alignment horizontal="right" vertical="center" wrapText="1"/>
    </xf>
    <xf numFmtId="4" fontId="5" fillId="0" borderId="85" xfId="0" applyNumberFormat="1" applyFont="1" applyFill="1" applyBorder="1" applyAlignment="1" applyProtection="1">
      <alignment horizontal="right" vertical="center" wrapText="1"/>
    </xf>
    <xf numFmtId="0" fontId="3" fillId="0" borderId="40" xfId="0" applyNumberFormat="1" applyFont="1" applyFill="1" applyBorder="1" applyAlignment="1" applyProtection="1">
      <alignment horizontal="left" vertical="center" wrapText="1"/>
    </xf>
    <xf numFmtId="4" fontId="5" fillId="55" borderId="40" xfId="0" applyNumberFormat="1" applyFont="1" applyFill="1" applyBorder="1" applyAlignment="1" applyProtection="1">
      <alignment horizontal="center" vertical="center" wrapText="1"/>
    </xf>
    <xf numFmtId="0" fontId="5" fillId="55" borderId="40" xfId="0" applyNumberFormat="1" applyFont="1" applyFill="1" applyBorder="1" applyAlignment="1" applyProtection="1">
      <alignment horizontal="center" vertical="center" wrapText="1"/>
    </xf>
    <xf numFmtId="4" fontId="5" fillId="55" borderId="40" xfId="0" applyNumberFormat="1" applyFont="1" applyFill="1" applyBorder="1" applyAlignment="1" applyProtection="1">
      <alignment horizontal="left" vertical="center" wrapText="1"/>
    </xf>
    <xf numFmtId="4" fontId="2" fillId="55" borderId="40" xfId="0" applyNumberFormat="1" applyFont="1" applyFill="1" applyBorder="1" applyAlignment="1">
      <alignment horizontal="left" vertical="center" wrapText="1"/>
    </xf>
    <xf numFmtId="4" fontId="3" fillId="2" borderId="40" xfId="0" applyNumberFormat="1" applyFont="1" applyFill="1" applyBorder="1" applyAlignment="1" applyProtection="1">
      <alignment horizontal="center" vertical="center" wrapText="1"/>
    </xf>
    <xf numFmtId="4" fontId="2" fillId="91" borderId="0" xfId="0" applyNumberFormat="1" applyFont="1" applyFill="1" applyAlignment="1">
      <alignment horizontal="right" vertical="center" wrapText="1"/>
    </xf>
    <xf numFmtId="4" fontId="2" fillId="91" borderId="0" xfId="0" applyNumberFormat="1" applyFont="1" applyFill="1" applyAlignment="1">
      <alignment wrapText="1"/>
    </xf>
    <xf numFmtId="4" fontId="3" fillId="91" borderId="40" xfId="0" applyNumberFormat="1" applyFont="1" applyFill="1" applyBorder="1" applyAlignment="1" applyProtection="1">
      <alignment horizontal="center" vertical="center" wrapText="1"/>
      <protection locked="0"/>
    </xf>
    <xf numFmtId="4" fontId="3" fillId="91" borderId="2" xfId="0" applyNumberFormat="1" applyFont="1" applyFill="1" applyBorder="1" applyAlignment="1" applyProtection="1">
      <alignment horizontal="center" vertical="center" wrapText="1"/>
    </xf>
    <xf numFmtId="4" fontId="3" fillId="91" borderId="6" xfId="0" applyNumberFormat="1" applyFont="1" applyFill="1" applyBorder="1" applyAlignment="1" applyProtection="1">
      <alignment horizontal="center" vertical="center" wrapText="1"/>
    </xf>
    <xf numFmtId="4" fontId="3" fillId="91" borderId="1" xfId="0" applyNumberFormat="1" applyFont="1" applyFill="1" applyBorder="1" applyAlignment="1" applyProtection="1">
      <alignment horizontal="center" vertical="top" wrapText="1"/>
    </xf>
    <xf numFmtId="4" fontId="3" fillId="91" borderId="40" xfId="0" applyNumberFormat="1" applyFont="1" applyFill="1" applyBorder="1" applyAlignment="1" applyProtection="1">
      <alignment horizontal="center" vertical="center" wrapText="1"/>
    </xf>
    <xf numFmtId="4" fontId="3" fillId="91" borderId="40" xfId="0" applyNumberFormat="1" applyFont="1" applyFill="1" applyBorder="1" applyAlignment="1" applyProtection="1">
      <alignment horizontal="center" vertical="top" wrapText="1"/>
    </xf>
    <xf numFmtId="4" fontId="5" fillId="91" borderId="2" xfId="0" applyNumberFormat="1" applyFont="1" applyFill="1" applyBorder="1" applyAlignment="1" applyProtection="1">
      <alignment horizontal="right" vertical="center" wrapText="1"/>
    </xf>
    <xf numFmtId="4" fontId="5" fillId="91" borderId="4" xfId="0" applyNumberFormat="1" applyFont="1" applyFill="1" applyBorder="1" applyAlignment="1" applyProtection="1">
      <alignment horizontal="right" vertical="center" wrapText="1"/>
    </xf>
    <xf numFmtId="4" fontId="3" fillId="91" borderId="4" xfId="0" applyNumberFormat="1" applyFont="1" applyFill="1" applyBorder="1" applyAlignment="1" applyProtection="1">
      <alignment horizontal="center" vertical="center" wrapText="1"/>
    </xf>
    <xf numFmtId="4" fontId="5" fillId="91" borderId="40" xfId="0" applyNumberFormat="1" applyFont="1" applyFill="1" applyBorder="1" applyAlignment="1" applyProtection="1">
      <alignment horizontal="right" vertical="center" wrapText="1"/>
    </xf>
    <xf numFmtId="4" fontId="3" fillId="91" borderId="21" xfId="0" applyNumberFormat="1" applyFont="1" applyFill="1" applyBorder="1" applyAlignment="1" applyProtection="1">
      <alignment horizontal="center" vertical="top" wrapText="1"/>
    </xf>
    <xf numFmtId="4" fontId="5" fillId="91" borderId="2" xfId="0" applyNumberFormat="1" applyFont="1" applyFill="1" applyBorder="1" applyAlignment="1" applyProtection="1">
      <alignment horizontal="right" vertical="top" wrapText="1"/>
    </xf>
    <xf numFmtId="4" fontId="3" fillId="91" borderId="48" xfId="0" applyNumberFormat="1" applyFont="1" applyFill="1" applyBorder="1" applyAlignment="1" applyProtection="1">
      <alignment vertical="top" wrapText="1"/>
    </xf>
    <xf numFmtId="4" fontId="3" fillId="91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91" borderId="1" xfId="0" applyNumberFormat="1" applyFont="1" applyFill="1" applyBorder="1" applyAlignment="1" applyProtection="1">
      <alignment vertical="top" wrapText="1"/>
    </xf>
    <xf numFmtId="2" fontId="4" fillId="91" borderId="40" xfId="199" applyNumberFormat="1" applyFont="1" applyFill="1" applyBorder="1" applyAlignment="1">
      <alignment horizontal="center" vertical="center" wrapText="1"/>
    </xf>
    <xf numFmtId="2" fontId="6" fillId="91" borderId="40" xfId="71" applyNumberFormat="1" applyFont="1" applyFill="1" applyBorder="1" applyAlignment="1">
      <alignment horizontal="right" vertical="center"/>
    </xf>
    <xf numFmtId="0" fontId="4" fillId="91" borderId="44" xfId="71" applyFont="1" applyFill="1" applyBorder="1" applyAlignment="1">
      <alignment horizontal="center"/>
    </xf>
    <xf numFmtId="0" fontId="4" fillId="91" borderId="1" xfId="71" applyFont="1" applyFill="1" applyBorder="1" applyAlignment="1">
      <alignment horizontal="center"/>
    </xf>
    <xf numFmtId="4" fontId="3" fillId="91" borderId="1" xfId="0" applyNumberFormat="1" applyFont="1" applyFill="1" applyBorder="1" applyAlignment="1" applyProtection="1">
      <alignment horizontal="center" vertical="center" wrapText="1"/>
    </xf>
    <xf numFmtId="4" fontId="5" fillId="91" borderId="2" xfId="202" applyNumberFormat="1" applyFont="1" applyFill="1" applyBorder="1" applyAlignment="1" applyProtection="1">
      <alignment horizontal="right" vertical="center" wrapText="1"/>
    </xf>
    <xf numFmtId="0" fontId="6" fillId="91" borderId="40" xfId="71" applyFont="1" applyFill="1" applyBorder="1" applyAlignment="1">
      <alignment horizontal="right" vertical="center"/>
    </xf>
    <xf numFmtId="0" fontId="4" fillId="91" borderId="16" xfId="71" applyFont="1" applyFill="1" applyBorder="1" applyAlignment="1"/>
    <xf numFmtId="0" fontId="2" fillId="91" borderId="1" xfId="199" applyFont="1" applyFill="1" applyAlignment="1">
      <alignment horizontal="right"/>
    </xf>
    <xf numFmtId="43" fontId="6" fillId="91" borderId="40" xfId="201" applyFont="1" applyFill="1" applyBorder="1" applyAlignment="1">
      <alignment horizontal="right" vertical="center"/>
    </xf>
    <xf numFmtId="173" fontId="6" fillId="91" borderId="40" xfId="195" applyFont="1" applyFill="1" applyBorder="1" applyAlignment="1">
      <alignment horizontal="right" vertical="center"/>
    </xf>
    <xf numFmtId="0" fontId="4" fillId="91" borderId="16" xfId="71" applyFont="1" applyFill="1" applyBorder="1" applyAlignment="1">
      <alignment horizontal="center"/>
    </xf>
    <xf numFmtId="4" fontId="4" fillId="91" borderId="21" xfId="70" applyNumberFormat="1" applyFont="1" applyFill="1" applyBorder="1" applyAlignment="1">
      <alignment horizontal="right" vertical="center" wrapText="1"/>
    </xf>
    <xf numFmtId="4" fontId="5" fillId="91" borderId="2" xfId="0" applyNumberFormat="1" applyFont="1" applyFill="1" applyBorder="1" applyAlignment="1" applyProtection="1">
      <alignment horizontal="center" vertical="center" wrapText="1"/>
    </xf>
    <xf numFmtId="173" fontId="6" fillId="91" borderId="40" xfId="195" applyFont="1" applyFill="1" applyBorder="1" applyAlignment="1">
      <alignment horizontal="center" vertical="center" wrapText="1"/>
    </xf>
    <xf numFmtId="4" fontId="3" fillId="91" borderId="40" xfId="203" applyNumberFormat="1" applyFont="1" applyFill="1" applyBorder="1" applyAlignment="1" applyProtection="1">
      <alignment horizontal="center" vertical="center" wrapText="1"/>
      <protection locked="0"/>
    </xf>
    <xf numFmtId="4" fontId="5" fillId="91" borderId="2" xfId="203" applyNumberFormat="1" applyFont="1" applyFill="1" applyBorder="1" applyAlignment="1" applyProtection="1">
      <alignment horizontal="right" vertical="center" wrapText="1"/>
    </xf>
    <xf numFmtId="4" fontId="3" fillId="91" borderId="48" xfId="203" applyNumberFormat="1" applyFont="1" applyFill="1" applyBorder="1" applyAlignment="1" applyProtection="1">
      <alignment vertical="top" wrapText="1"/>
    </xf>
    <xf numFmtId="4" fontId="3" fillId="91" borderId="40" xfId="202" applyNumberFormat="1" applyFont="1" applyFill="1" applyBorder="1" applyAlignment="1" applyProtection="1">
      <alignment horizontal="center" vertical="center" wrapText="1"/>
      <protection locked="0"/>
    </xf>
    <xf numFmtId="4" fontId="3" fillId="91" borderId="40" xfId="202" applyNumberFormat="1" applyFont="1" applyFill="1" applyBorder="1" applyAlignment="1" applyProtection="1">
      <alignment horizontal="center" vertical="center" wrapText="1"/>
    </xf>
    <xf numFmtId="4" fontId="3" fillId="91" borderId="2" xfId="202" applyNumberFormat="1" applyFont="1" applyFill="1" applyBorder="1" applyAlignment="1" applyProtection="1">
      <alignment horizontal="center" vertical="center" wrapText="1"/>
    </xf>
    <xf numFmtId="4" fontId="3" fillId="91" borderId="48" xfId="202" applyNumberFormat="1" applyFont="1" applyFill="1" applyBorder="1" applyAlignment="1" applyProtection="1">
      <alignment vertical="top" wrapText="1"/>
    </xf>
    <xf numFmtId="4" fontId="2" fillId="91" borderId="1" xfId="202" applyNumberFormat="1" applyFont="1" applyFill="1" applyBorder="1" applyAlignment="1" applyProtection="1">
      <alignment wrapText="1"/>
      <protection locked="0"/>
    </xf>
    <xf numFmtId="4" fontId="5" fillId="0" borderId="4" xfId="0" applyNumberFormat="1" applyFont="1" applyFill="1" applyBorder="1" applyAlignment="1" applyProtection="1">
      <alignment vertical="center" wrapText="1"/>
    </xf>
    <xf numFmtId="4" fontId="5" fillId="54" borderId="2" xfId="0" applyNumberFormat="1" applyFont="1" applyFill="1" applyBorder="1" applyAlignment="1" applyProtection="1">
      <alignment horizontal="justify" vertical="center" wrapText="1"/>
    </xf>
    <xf numFmtId="180" fontId="5" fillId="54" borderId="2" xfId="0" applyNumberFormat="1" applyFont="1" applyFill="1" applyBorder="1" applyAlignment="1" applyProtection="1">
      <alignment horizontal="right" vertical="center" wrapText="1"/>
    </xf>
    <xf numFmtId="181" fontId="5" fillId="54" borderId="2" xfId="0" applyNumberFormat="1" applyFont="1" applyFill="1" applyBorder="1" applyAlignment="1" applyProtection="1">
      <alignment horizontal="right" vertical="center" wrapText="1"/>
    </xf>
    <xf numFmtId="179" fontId="5" fillId="54" borderId="2" xfId="0" applyNumberFormat="1" applyFont="1" applyFill="1" applyBorder="1" applyAlignment="1" applyProtection="1">
      <alignment horizontal="right" vertical="center" wrapText="1"/>
    </xf>
    <xf numFmtId="0" fontId="5" fillId="54" borderId="2" xfId="0" applyNumberFormat="1" applyFont="1" applyFill="1" applyBorder="1" applyAlignment="1" applyProtection="1">
      <alignment horizontal="right" vertical="center" wrapText="1"/>
    </xf>
    <xf numFmtId="4" fontId="5" fillId="54" borderId="3" xfId="0" applyNumberFormat="1" applyFont="1" applyFill="1" applyBorder="1" applyAlignment="1" applyProtection="1">
      <alignment horizontal="right" vertical="center" wrapText="1"/>
    </xf>
    <xf numFmtId="4" fontId="5" fillId="54" borderId="40" xfId="0" applyNumberFormat="1" applyFont="1" applyFill="1" applyBorder="1" applyAlignment="1" applyProtection="1">
      <alignment horizontal="justify" vertical="center" wrapText="1"/>
    </xf>
    <xf numFmtId="4" fontId="5" fillId="54" borderId="40" xfId="0" applyNumberFormat="1" applyFont="1" applyFill="1" applyBorder="1" applyAlignment="1" applyProtection="1">
      <alignment horizontal="center" vertical="center" wrapText="1"/>
    </xf>
    <xf numFmtId="0" fontId="5" fillId="54" borderId="40" xfId="0" applyNumberFormat="1" applyFont="1" applyFill="1" applyBorder="1" applyAlignment="1" applyProtection="1">
      <alignment horizontal="right" vertical="center" wrapText="1"/>
    </xf>
    <xf numFmtId="0" fontId="5" fillId="54" borderId="2" xfId="0" applyNumberFormat="1" applyFont="1" applyFill="1" applyBorder="1" applyAlignment="1" applyProtection="1">
      <alignment horizontal="center" vertical="top" wrapText="1"/>
    </xf>
    <xf numFmtId="4" fontId="5" fillId="54" borderId="2" xfId="0" applyNumberFormat="1" applyFont="1" applyFill="1" applyBorder="1" applyAlignment="1" applyProtection="1">
      <alignment horizontal="justify" vertical="top" wrapText="1"/>
    </xf>
    <xf numFmtId="4" fontId="5" fillId="54" borderId="2" xfId="0" applyNumberFormat="1" applyFont="1" applyFill="1" applyBorder="1" applyAlignment="1" applyProtection="1">
      <alignment horizontal="center" vertical="top" wrapText="1"/>
    </xf>
    <xf numFmtId="4" fontId="5" fillId="54" borderId="2" xfId="0" applyNumberFormat="1" applyFont="1" applyFill="1" applyBorder="1" applyAlignment="1" applyProtection="1">
      <alignment horizontal="right" vertical="top" wrapText="1"/>
    </xf>
    <xf numFmtId="0" fontId="2" fillId="54" borderId="40" xfId="199" applyFont="1" applyFill="1" applyBorder="1" applyAlignment="1">
      <alignment horizontal="center" vertical="center"/>
    </xf>
    <xf numFmtId="0" fontId="6" fillId="54" borderId="40" xfId="71" applyFont="1" applyFill="1" applyBorder="1" applyAlignment="1">
      <alignment horizontal="left" vertical="center" wrapText="1"/>
    </xf>
    <xf numFmtId="0" fontId="6" fillId="54" borderId="40" xfId="71" applyFont="1" applyFill="1" applyBorder="1" applyAlignment="1">
      <alignment horizontal="center" vertical="center"/>
    </xf>
    <xf numFmtId="180" fontId="6" fillId="54" borderId="40" xfId="71" quotePrefix="1" applyNumberFormat="1" applyFont="1" applyFill="1" applyBorder="1" applyAlignment="1">
      <alignment horizontal="center" vertical="center"/>
    </xf>
    <xf numFmtId="2" fontId="5" fillId="54" borderId="2" xfId="0" applyNumberFormat="1" applyFont="1" applyFill="1" applyBorder="1" applyAlignment="1" applyProtection="1">
      <alignment horizontal="right" vertical="center" wrapText="1"/>
    </xf>
    <xf numFmtId="4" fontId="5" fillId="54" borderId="2" xfId="202" applyNumberFormat="1" applyFont="1" applyFill="1" applyBorder="1" applyAlignment="1" applyProtection="1">
      <alignment horizontal="center" vertical="center" wrapText="1"/>
    </xf>
    <xf numFmtId="4" fontId="5" fillId="54" borderId="2" xfId="202" applyNumberFormat="1" applyFont="1" applyFill="1" applyBorder="1" applyAlignment="1" applyProtection="1">
      <alignment horizontal="right" vertical="center" wrapText="1"/>
    </xf>
    <xf numFmtId="0" fontId="5" fillId="54" borderId="2" xfId="202" applyNumberFormat="1" applyFont="1" applyFill="1" applyBorder="1" applyAlignment="1" applyProtection="1">
      <alignment horizontal="center" vertical="center" wrapText="1"/>
    </xf>
    <xf numFmtId="4" fontId="5" fillId="54" borderId="2" xfId="202" applyNumberFormat="1" applyFont="1" applyFill="1" applyBorder="1" applyAlignment="1" applyProtection="1">
      <alignment horizontal="justify" vertical="center" wrapText="1"/>
    </xf>
    <xf numFmtId="4" fontId="3" fillId="0" borderId="47" xfId="202" applyNumberFormat="1" applyFont="1" applyFill="1" applyBorder="1" applyAlignment="1" applyProtection="1">
      <alignment vertical="top" wrapText="1"/>
    </xf>
    <xf numFmtId="0" fontId="4" fillId="0" borderId="16" xfId="71" applyFont="1" applyFill="1" applyBorder="1" applyAlignment="1">
      <alignment horizontal="center"/>
    </xf>
    <xf numFmtId="0" fontId="4" fillId="0" borderId="44" xfId="71" applyFont="1" applyFill="1" applyBorder="1" applyAlignment="1">
      <alignment horizontal="center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2" fontId="4" fillId="0" borderId="40" xfId="199" applyNumberFormat="1" applyFont="1" applyFill="1" applyBorder="1" applyAlignment="1">
      <alignment horizontal="center" vertical="center" wrapText="1"/>
    </xf>
    <xf numFmtId="4" fontId="3" fillId="55" borderId="40" xfId="0" applyNumberFormat="1" applyFont="1" applyFill="1" applyBorder="1" applyAlignment="1" applyProtection="1">
      <alignment horizontal="center" vertical="center" wrapText="1"/>
    </xf>
    <xf numFmtId="4" fontId="3" fillId="55" borderId="40" xfId="0" applyNumberFormat="1" applyFont="1" applyFill="1" applyBorder="1" applyAlignment="1" applyProtection="1">
      <alignment horizontal="center" vertical="center" wrapText="1"/>
      <protection locked="0"/>
    </xf>
    <xf numFmtId="4" fontId="3" fillId="55" borderId="2" xfId="0" applyNumberFormat="1" applyFont="1" applyFill="1" applyBorder="1" applyAlignment="1" applyProtection="1">
      <alignment horizontal="center" vertical="center" wrapText="1"/>
    </xf>
    <xf numFmtId="4" fontId="3" fillId="55" borderId="6" xfId="0" applyNumberFormat="1" applyFont="1" applyFill="1" applyBorder="1" applyAlignment="1" applyProtection="1">
      <alignment horizontal="center" vertical="center" wrapText="1"/>
    </xf>
    <xf numFmtId="4" fontId="5" fillId="55" borderId="2" xfId="0" applyNumberFormat="1" applyFont="1" applyFill="1" applyBorder="1" applyAlignment="1" applyProtection="1">
      <alignment horizontal="justify" vertical="center" wrapText="1"/>
    </xf>
    <xf numFmtId="4" fontId="3" fillId="55" borderId="2" xfId="0" applyNumberFormat="1" applyFont="1" applyFill="1" applyBorder="1" applyAlignment="1" applyProtection="1">
      <alignment horizontal="right" vertical="top" wrapText="1"/>
    </xf>
    <xf numFmtId="4" fontId="3" fillId="55" borderId="2" xfId="0" applyNumberFormat="1" applyFont="1" applyFill="1" applyBorder="1" applyAlignment="1" applyProtection="1">
      <alignment horizontal="right" vertical="center" wrapText="1"/>
    </xf>
    <xf numFmtId="4" fontId="3" fillId="55" borderId="89" xfId="0" applyNumberFormat="1" applyFont="1" applyFill="1" applyBorder="1" applyAlignment="1" applyProtection="1">
      <alignment vertical="top" wrapText="1"/>
    </xf>
    <xf numFmtId="4" fontId="2" fillId="55" borderId="0" xfId="0" applyNumberFormat="1" applyFont="1" applyFill="1" applyBorder="1" applyAlignment="1" applyProtection="1">
      <alignment wrapText="1"/>
      <protection locked="0"/>
    </xf>
    <xf numFmtId="4" fontId="3" fillId="55" borderId="22" xfId="0" applyNumberFormat="1" applyFont="1" applyFill="1" applyBorder="1" applyAlignment="1" applyProtection="1">
      <alignment vertical="top" wrapText="1"/>
    </xf>
    <xf numFmtId="4" fontId="3" fillId="55" borderId="16" xfId="0" applyNumberFormat="1" applyFont="1" applyFill="1" applyBorder="1" applyAlignment="1" applyProtection="1">
      <alignment vertical="top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4" fontId="2" fillId="0" borderId="2" xfId="0" applyNumberFormat="1" applyFont="1" applyFill="1" applyBorder="1" applyAlignment="1" applyProtection="1">
      <alignment horizontal="justify" vertical="center" wrapText="1"/>
    </xf>
    <xf numFmtId="4" fontId="2" fillId="0" borderId="2" xfId="0" applyNumberFormat="1" applyFont="1" applyFill="1" applyBorder="1" applyAlignment="1" applyProtection="1">
      <alignment horizontal="center" vertical="center" wrapText="1"/>
    </xf>
    <xf numFmtId="4" fontId="2" fillId="0" borderId="2" xfId="0" applyNumberFormat="1" applyFont="1" applyFill="1" applyBorder="1" applyAlignment="1" applyProtection="1">
      <alignment horizontal="right" vertical="center" wrapText="1"/>
    </xf>
    <xf numFmtId="0" fontId="4" fillId="0" borderId="16" xfId="71" applyFont="1" applyFill="1" applyBorder="1" applyAlignment="1">
      <alignment horizontal="center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0" fontId="4" fillId="0" borderId="44" xfId="71" applyFont="1" applyFill="1" applyBorder="1" applyAlignment="1">
      <alignment horizontal="center"/>
    </xf>
    <xf numFmtId="2" fontId="4" fillId="0" borderId="40" xfId="199" applyNumberFormat="1" applyFont="1" applyFill="1" applyBorder="1" applyAlignment="1">
      <alignment horizontal="center" vertical="center" wrapText="1"/>
    </xf>
    <xf numFmtId="0" fontId="2" fillId="55" borderId="2" xfId="0" applyNumberFormat="1" applyFont="1" applyFill="1" applyBorder="1" applyAlignment="1" applyProtection="1">
      <alignment horizontal="center" vertical="center" wrapText="1"/>
    </xf>
    <xf numFmtId="4" fontId="2" fillId="55" borderId="2" xfId="0" applyNumberFormat="1" applyFont="1" applyFill="1" applyBorder="1" applyAlignment="1" applyProtection="1">
      <alignment horizontal="justify" vertical="center" wrapText="1"/>
    </xf>
    <xf numFmtId="4" fontId="2" fillId="55" borderId="2" xfId="0" applyNumberFormat="1" applyFont="1" applyFill="1" applyBorder="1" applyAlignment="1" applyProtection="1">
      <alignment horizontal="center" vertical="center" wrapText="1"/>
    </xf>
    <xf numFmtId="4" fontId="2" fillId="55" borderId="2" xfId="0" applyNumberFormat="1" applyFont="1" applyFill="1" applyBorder="1" applyAlignment="1" applyProtection="1">
      <alignment horizontal="right" vertical="center" wrapText="1"/>
    </xf>
    <xf numFmtId="4" fontId="2" fillId="55" borderId="4" xfId="0" applyNumberFormat="1" applyFont="1" applyFill="1" applyBorder="1" applyAlignment="1" applyProtection="1">
      <alignment horizontal="right" vertical="center" wrapText="1"/>
    </xf>
    <xf numFmtId="4" fontId="42" fillId="55" borderId="3" xfId="0" applyNumberFormat="1" applyFont="1" applyFill="1" applyBorder="1" applyAlignment="1" applyProtection="1">
      <alignment horizontal="right" vertical="top" wrapText="1"/>
    </xf>
    <xf numFmtId="4" fontId="42" fillId="55" borderId="40" xfId="0" applyNumberFormat="1" applyFont="1" applyFill="1" applyBorder="1" applyAlignment="1" applyProtection="1">
      <alignment horizontal="center" vertical="top" wrapText="1"/>
    </xf>
    <xf numFmtId="0" fontId="5" fillId="55" borderId="2" xfId="0" applyNumberFormat="1" applyFont="1" applyFill="1" applyBorder="1" applyAlignment="1" applyProtection="1">
      <alignment horizontal="right" vertical="center" wrapText="1"/>
    </xf>
    <xf numFmtId="4" fontId="3" fillId="55" borderId="40" xfId="0" applyNumberFormat="1" applyFont="1" applyFill="1" applyBorder="1" applyAlignment="1" applyProtection="1">
      <alignment horizontal="center" vertical="top" wrapText="1"/>
    </xf>
    <xf numFmtId="0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0" xfId="0" applyNumberFormat="1" applyFont="1" applyFill="1" applyBorder="1" applyAlignment="1" applyProtection="1">
      <alignment horizontal="right" vertical="top" wrapText="1"/>
    </xf>
    <xf numFmtId="2" fontId="5" fillId="55" borderId="2" xfId="0" applyNumberFormat="1" applyFont="1" applyFill="1" applyBorder="1" applyAlignment="1" applyProtection="1">
      <alignment horizontal="right" vertical="center" wrapText="1"/>
    </xf>
    <xf numFmtId="4" fontId="5" fillId="90" borderId="40" xfId="0" applyNumberFormat="1" applyFont="1" applyFill="1" applyBorder="1" applyAlignment="1" applyProtection="1">
      <alignment horizontal="right" vertical="center" wrapText="1"/>
    </xf>
    <xf numFmtId="4" fontId="5" fillId="55" borderId="40" xfId="0" applyNumberFormat="1" applyFont="1" applyFill="1" applyBorder="1" applyAlignment="1" applyProtection="1">
      <alignment horizontal="justify" vertical="center" wrapText="1"/>
    </xf>
    <xf numFmtId="0" fontId="5" fillId="55" borderId="40" xfId="0" applyNumberFormat="1" applyFont="1" applyFill="1" applyBorder="1" applyAlignment="1" applyProtection="1">
      <alignment horizontal="right" vertical="center" wrapText="1"/>
    </xf>
    <xf numFmtId="4" fontId="2" fillId="0" borderId="40" xfId="0" applyNumberFormat="1" applyFont="1" applyFill="1" applyBorder="1" applyAlignment="1" applyProtection="1">
      <alignment horizontal="right" vertical="center" wrapText="1"/>
    </xf>
    <xf numFmtId="4" fontId="2" fillId="55" borderId="40" xfId="0" applyNumberFormat="1" applyFont="1" applyFill="1" applyBorder="1" applyAlignment="1" applyProtection="1">
      <alignment horizontal="right" vertical="center" wrapText="1"/>
    </xf>
    <xf numFmtId="4" fontId="2" fillId="5" borderId="0" xfId="0" applyNumberFormat="1" applyFont="1" applyFill="1" applyBorder="1" applyAlignment="1" applyProtection="1">
      <alignment horizontal="center" wrapText="1"/>
      <protection locked="0"/>
    </xf>
    <xf numFmtId="4" fontId="2" fillId="0" borderId="0" xfId="0" applyNumberFormat="1" applyFont="1" applyFill="1" applyBorder="1" applyAlignment="1" applyProtection="1">
      <alignment horizontal="center" wrapText="1"/>
      <protection locked="0"/>
    </xf>
    <xf numFmtId="4" fontId="2" fillId="0" borderId="1" xfId="202" applyNumberFormat="1" applyFont="1" applyFill="1" applyBorder="1" applyAlignment="1" applyProtection="1">
      <alignment horizontal="center" wrapText="1"/>
      <protection locked="0"/>
    </xf>
    <xf numFmtId="4" fontId="3" fillId="90" borderId="2" xfId="0" applyNumberFormat="1" applyFont="1" applyFill="1" applyBorder="1" applyAlignment="1" applyProtection="1">
      <alignment horizontal="center" vertical="center" wrapText="1"/>
    </xf>
    <xf numFmtId="4" fontId="3" fillId="90" borderId="6" xfId="0" applyNumberFormat="1" applyFont="1" applyFill="1" applyBorder="1" applyAlignment="1" applyProtection="1">
      <alignment horizontal="center" vertical="center" wrapText="1"/>
    </xf>
    <xf numFmtId="4" fontId="3" fillId="55" borderId="48" xfId="0" applyNumberFormat="1" applyFont="1" applyFill="1" applyBorder="1" applyAlignment="1" applyProtection="1">
      <alignment vertical="top" wrapText="1"/>
    </xf>
    <xf numFmtId="180" fontId="5" fillId="55" borderId="2" xfId="0" applyNumberFormat="1" applyFont="1" applyFill="1" applyBorder="1" applyAlignment="1" applyProtection="1">
      <alignment horizontal="right" vertical="center" wrapText="1"/>
    </xf>
    <xf numFmtId="0" fontId="4" fillId="0" borderId="16" xfId="71" applyFont="1" applyFill="1" applyBorder="1" applyAlignment="1">
      <alignment horizontal="center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0" fontId="4" fillId="0" borderId="44" xfId="71" applyFont="1" applyFill="1" applyBorder="1" applyAlignment="1">
      <alignment horizontal="center"/>
    </xf>
    <xf numFmtId="2" fontId="4" fillId="0" borderId="40" xfId="199" applyNumberFormat="1" applyFont="1" applyFill="1" applyBorder="1" applyAlignment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4" fontId="5" fillId="0" borderId="4" xfId="0" applyNumberFormat="1" applyFont="1" applyFill="1" applyBorder="1" applyAlignment="1" applyProtection="1">
      <alignment horizontal="center" vertical="center" wrapText="1"/>
    </xf>
    <xf numFmtId="4" fontId="3" fillId="0" borderId="48" xfId="0" applyNumberFormat="1" applyFont="1" applyFill="1" applyBorder="1" applyAlignment="1" applyProtection="1">
      <alignment horizontal="center" vertical="top" wrapText="1"/>
    </xf>
    <xf numFmtId="0" fontId="4" fillId="0" borderId="16" xfId="71" applyFont="1" applyFill="1" applyBorder="1" applyAlignment="1">
      <alignment horizontal="center"/>
    </xf>
    <xf numFmtId="4" fontId="3" fillId="55" borderId="48" xfId="0" applyNumberFormat="1" applyFont="1" applyFill="1" applyBorder="1" applyAlignment="1" applyProtection="1">
      <alignment horizontal="center" vertical="top" wrapText="1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8" xfId="202" applyNumberFormat="1" applyFont="1" applyFill="1" applyBorder="1" applyAlignment="1" applyProtection="1">
      <alignment horizontal="center" vertical="top" wrapText="1"/>
    </xf>
    <xf numFmtId="4" fontId="5" fillId="0" borderId="4" xfId="203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Alignment="1">
      <alignment horizontal="center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0" fontId="4" fillId="0" borderId="44" xfId="71" applyFont="1" applyFill="1" applyBorder="1" applyAlignment="1">
      <alignment horizontal="center"/>
    </xf>
    <xf numFmtId="2" fontId="4" fillId="0" borderId="40" xfId="199" applyNumberFormat="1" applyFont="1" applyFill="1" applyBorder="1" applyAlignment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4" fontId="3" fillId="0" borderId="3" xfId="0" applyNumberFormat="1" applyFont="1" applyFill="1" applyBorder="1" applyAlignment="1" applyProtection="1">
      <alignment horizontal="center" vertical="center" wrapText="1"/>
    </xf>
    <xf numFmtId="4" fontId="3" fillId="0" borderId="9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2" fillId="57" borderId="0" xfId="0" applyNumberFormat="1" applyFont="1" applyFill="1" applyAlignment="1">
      <alignment horizontal="center" vertical="center" wrapText="1"/>
    </xf>
    <xf numFmtId="0" fontId="5" fillId="55" borderId="2" xfId="202" applyNumberFormat="1" applyFont="1" applyFill="1" applyBorder="1" applyAlignment="1" applyProtection="1">
      <alignment horizontal="center" vertical="center" wrapText="1"/>
    </xf>
    <xf numFmtId="4" fontId="5" fillId="0" borderId="40" xfId="203" applyNumberFormat="1" applyFont="1" applyFill="1" applyBorder="1" applyAlignment="1" applyProtection="1">
      <alignment vertical="center" wrapText="1"/>
    </xf>
    <xf numFmtId="0" fontId="5" fillId="90" borderId="2" xfId="0" applyNumberFormat="1" applyFont="1" applyFill="1" applyBorder="1" applyAlignment="1" applyProtection="1">
      <alignment horizontal="center" vertical="center" wrapText="1"/>
    </xf>
    <xf numFmtId="4" fontId="5" fillId="90" borderId="2" xfId="0" applyNumberFormat="1" applyFont="1" applyFill="1" applyBorder="1" applyAlignment="1" applyProtection="1">
      <alignment horizontal="justify" vertical="center" wrapText="1"/>
    </xf>
    <xf numFmtId="4" fontId="5" fillId="90" borderId="2" xfId="0" applyNumberFormat="1" applyFont="1" applyFill="1" applyBorder="1" applyAlignment="1" applyProtection="1">
      <alignment horizontal="center" vertical="center" wrapText="1"/>
    </xf>
    <xf numFmtId="180" fontId="5" fillId="90" borderId="2" xfId="0" applyNumberFormat="1" applyFont="1" applyFill="1" applyBorder="1" applyAlignment="1" applyProtection="1">
      <alignment horizontal="right" vertical="center" wrapText="1"/>
    </xf>
    <xf numFmtId="4" fontId="5" fillId="90" borderId="2" xfId="0" applyNumberFormat="1" applyFont="1" applyFill="1" applyBorder="1" applyAlignment="1" applyProtection="1">
      <alignment horizontal="right" vertical="center" wrapText="1"/>
    </xf>
    <xf numFmtId="181" fontId="5" fillId="90" borderId="2" xfId="0" applyNumberFormat="1" applyFont="1" applyFill="1" applyBorder="1" applyAlignment="1" applyProtection="1">
      <alignment horizontal="right" vertical="center" wrapText="1"/>
    </xf>
    <xf numFmtId="0" fontId="5" fillId="90" borderId="2" xfId="0" applyNumberFormat="1" applyFont="1" applyFill="1" applyBorder="1" applyAlignment="1" applyProtection="1">
      <alignment horizontal="right" vertical="center" wrapText="1"/>
    </xf>
    <xf numFmtId="0" fontId="5" fillId="90" borderId="40" xfId="0" applyNumberFormat="1" applyFont="1" applyFill="1" applyBorder="1" applyAlignment="1" applyProtection="1">
      <alignment horizontal="center" vertical="center" wrapText="1"/>
    </xf>
    <xf numFmtId="4" fontId="5" fillId="90" borderId="40" xfId="0" applyNumberFormat="1" applyFont="1" applyFill="1" applyBorder="1" applyAlignment="1" applyProtection="1">
      <alignment horizontal="justify" vertical="center" wrapText="1"/>
    </xf>
    <xf numFmtId="4" fontId="5" fillId="90" borderId="40" xfId="0" applyNumberFormat="1" applyFont="1" applyFill="1" applyBorder="1" applyAlignment="1" applyProtection="1">
      <alignment horizontal="center" vertical="center" wrapText="1"/>
    </xf>
    <xf numFmtId="0" fontId="5" fillId="90" borderId="40" xfId="0" applyNumberFormat="1" applyFont="1" applyFill="1" applyBorder="1" applyAlignment="1" applyProtection="1">
      <alignment horizontal="right" vertical="center" wrapText="1"/>
    </xf>
    <xf numFmtId="4" fontId="2" fillId="90" borderId="2" xfId="0" applyNumberFormat="1" applyFont="1" applyFill="1" applyBorder="1" applyAlignment="1" applyProtection="1">
      <alignment horizontal="center" vertical="center" wrapText="1"/>
    </xf>
    <xf numFmtId="0" fontId="5" fillId="90" borderId="2" xfId="0" applyNumberFormat="1" applyFont="1" applyFill="1" applyBorder="1" applyAlignment="1" applyProtection="1">
      <alignment horizontal="center" vertical="top" wrapText="1"/>
    </xf>
    <xf numFmtId="4" fontId="5" fillId="90" borderId="2" xfId="0" applyNumberFormat="1" applyFont="1" applyFill="1" applyBorder="1" applyAlignment="1" applyProtection="1">
      <alignment horizontal="justify" vertical="top" wrapText="1"/>
    </xf>
    <xf numFmtId="4" fontId="5" fillId="90" borderId="2" xfId="0" applyNumberFormat="1" applyFont="1" applyFill="1" applyBorder="1" applyAlignment="1" applyProtection="1">
      <alignment horizontal="center" vertical="top" wrapText="1"/>
    </xf>
    <xf numFmtId="4" fontId="5" fillId="90" borderId="2" xfId="0" applyNumberFormat="1" applyFont="1" applyFill="1" applyBorder="1" applyAlignment="1" applyProtection="1">
      <alignment horizontal="right" vertical="top" wrapText="1"/>
    </xf>
    <xf numFmtId="4" fontId="5" fillId="0" borderId="4" xfId="0" applyNumberFormat="1" applyFont="1" applyFill="1" applyBorder="1" applyAlignment="1" applyProtection="1">
      <alignment horizontal="center" vertical="center" wrapText="1"/>
    </xf>
    <xf numFmtId="4" fontId="5" fillId="0" borderId="6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46" xfId="202" applyNumberFormat="1" applyFont="1" applyFill="1" applyBorder="1" applyAlignment="1" applyProtection="1">
      <alignment horizontal="center" vertical="top" wrapText="1"/>
    </xf>
    <xf numFmtId="4" fontId="2" fillId="0" borderId="0" xfId="0" applyNumberFormat="1" applyFont="1" applyAlignment="1">
      <alignment horizontal="center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6" xfId="0" applyNumberFormat="1" applyFont="1" applyFill="1" applyBorder="1" applyAlignment="1" applyProtection="1">
      <alignment horizontal="left" vertical="center" wrapText="1"/>
      <protection locked="0"/>
    </xf>
    <xf numFmtId="4" fontId="5" fillId="54" borderId="3" xfId="0" applyNumberFormat="1" applyFont="1" applyFill="1" applyBorder="1" applyAlignment="1" applyProtection="1">
      <alignment horizontal="center" vertical="center" wrapText="1"/>
    </xf>
    <xf numFmtId="4" fontId="5" fillId="54" borderId="9" xfId="0" applyNumberFormat="1" applyFont="1" applyFill="1" applyBorder="1" applyAlignment="1" applyProtection="1">
      <alignment horizontal="center" vertical="center" wrapText="1"/>
    </xf>
    <xf numFmtId="4" fontId="5" fillId="0" borderId="5" xfId="0" applyNumberFormat="1" applyFont="1" applyFill="1" applyBorder="1" applyAlignment="1" applyProtection="1">
      <alignment horizontal="center" vertical="center" wrapText="1"/>
    </xf>
    <xf numFmtId="4" fontId="5" fillId="0" borderId="49" xfId="0" applyNumberFormat="1" applyFont="1" applyFill="1" applyBorder="1" applyAlignment="1" applyProtection="1">
      <alignment horizontal="center" vertical="center" wrapText="1"/>
    </xf>
    <xf numFmtId="2" fontId="5" fillId="0" borderId="4" xfId="0" applyNumberFormat="1" applyFont="1" applyFill="1" applyBorder="1" applyAlignment="1" applyProtection="1">
      <alignment horizontal="right" vertical="center" wrapText="1"/>
    </xf>
    <xf numFmtId="4" fontId="2" fillId="0" borderId="1" xfId="0" applyNumberFormat="1" applyFont="1" applyBorder="1" applyAlignment="1">
      <alignment horizontal="right" vertical="center" wrapText="1"/>
    </xf>
    <xf numFmtId="4" fontId="5" fillId="54" borderId="7" xfId="0" applyNumberFormat="1" applyFont="1" applyFill="1" applyBorder="1" applyAlignment="1" applyProtection="1">
      <alignment horizontal="center" vertical="center" wrapText="1"/>
    </xf>
    <xf numFmtId="4" fontId="5" fillId="54" borderId="6" xfId="0" applyNumberFormat="1" applyFont="1" applyFill="1" applyBorder="1" applyAlignment="1" applyProtection="1">
      <alignment horizontal="center" vertical="center" wrapText="1"/>
    </xf>
    <xf numFmtId="4" fontId="5" fillId="54" borderId="90" xfId="0" applyNumberFormat="1" applyFont="1" applyFill="1" applyBorder="1" applyAlignment="1" applyProtection="1">
      <alignment horizontal="center" vertical="center" wrapText="1"/>
    </xf>
    <xf numFmtId="2" fontId="5" fillId="54" borderId="6" xfId="0" applyNumberFormat="1" applyFont="1" applyFill="1" applyBorder="1" applyAlignment="1" applyProtection="1">
      <alignment horizontal="right" vertical="center" wrapText="1"/>
    </xf>
    <xf numFmtId="4" fontId="2" fillId="91" borderId="1" xfId="0" applyNumberFormat="1" applyFont="1" applyFill="1" applyBorder="1" applyAlignment="1">
      <alignment wrapText="1"/>
    </xf>
    <xf numFmtId="4" fontId="2" fillId="0" borderId="1" xfId="0" applyNumberFormat="1" applyFont="1" applyBorder="1" applyAlignment="1">
      <alignment horizontal="center" wrapText="1"/>
    </xf>
    <xf numFmtId="2" fontId="5" fillId="0" borderId="40" xfId="0" applyNumberFormat="1" applyFont="1" applyFill="1" applyBorder="1" applyAlignment="1" applyProtection="1">
      <alignment horizontal="right" vertical="center" wrapText="1"/>
    </xf>
    <xf numFmtId="2" fontId="5" fillId="0" borderId="1" xfId="0" applyNumberFormat="1" applyFont="1" applyFill="1" applyBorder="1" applyAlignment="1" applyProtection="1">
      <alignment horizontal="right" vertical="center" wrapText="1"/>
    </xf>
    <xf numFmtId="0" fontId="0" fillId="0" borderId="1" xfId="0" applyBorder="1"/>
    <xf numFmtId="0" fontId="5" fillId="54" borderId="4" xfId="0" applyNumberFormat="1" applyFont="1" applyFill="1" applyBorder="1" applyAlignment="1" applyProtection="1">
      <alignment horizontal="center" vertical="center" wrapText="1"/>
    </xf>
    <xf numFmtId="4" fontId="5" fillId="54" borderId="4" xfId="0" applyNumberFormat="1" applyFont="1" applyFill="1" applyBorder="1" applyAlignment="1" applyProtection="1">
      <alignment horizontal="justify" vertical="center" wrapText="1"/>
    </xf>
    <xf numFmtId="4" fontId="5" fillId="54" borderId="4" xfId="0" applyNumberFormat="1" applyFont="1" applyFill="1" applyBorder="1" applyAlignment="1" applyProtection="1">
      <alignment horizontal="center" vertical="center" wrapText="1"/>
    </xf>
    <xf numFmtId="0" fontId="5" fillId="54" borderId="4" xfId="0" applyNumberFormat="1" applyFont="1" applyFill="1" applyBorder="1" applyAlignment="1" applyProtection="1">
      <alignment horizontal="right" vertical="center" wrapText="1"/>
    </xf>
    <xf numFmtId="4" fontId="5" fillId="54" borderId="4" xfId="0" applyNumberFormat="1" applyFont="1" applyFill="1" applyBorder="1" applyAlignment="1" applyProtection="1">
      <alignment horizontal="right" vertical="center" wrapText="1"/>
    </xf>
    <xf numFmtId="0" fontId="5" fillId="54" borderId="45" xfId="0" applyNumberFormat="1" applyFont="1" applyFill="1" applyBorder="1" applyAlignment="1" applyProtection="1">
      <alignment horizontal="center" vertical="center" wrapText="1"/>
    </xf>
    <xf numFmtId="4" fontId="5" fillId="54" borderId="45" xfId="0" applyNumberFormat="1" applyFont="1" applyFill="1" applyBorder="1" applyAlignment="1" applyProtection="1">
      <alignment horizontal="justify" vertical="center" wrapText="1"/>
    </xf>
    <xf numFmtId="4" fontId="5" fillId="54" borderId="45" xfId="0" applyNumberFormat="1" applyFont="1" applyFill="1" applyBorder="1" applyAlignment="1" applyProtection="1">
      <alignment horizontal="center" vertical="center" wrapText="1"/>
    </xf>
    <xf numFmtId="0" fontId="5" fillId="54" borderId="45" xfId="0" applyNumberFormat="1" applyFont="1" applyFill="1" applyBorder="1" applyAlignment="1" applyProtection="1">
      <alignment horizontal="right" vertical="center" wrapText="1"/>
    </xf>
    <xf numFmtId="4" fontId="5" fillId="54" borderId="45" xfId="0" applyNumberFormat="1" applyFont="1" applyFill="1" applyBorder="1" applyAlignment="1" applyProtection="1">
      <alignment horizontal="right" vertical="center" wrapText="1"/>
    </xf>
    <xf numFmtId="4" fontId="5" fillId="0" borderId="45" xfId="0" applyNumberFormat="1" applyFont="1" applyFill="1" applyBorder="1" applyAlignment="1" applyProtection="1">
      <alignment horizontal="right" vertical="center" wrapText="1"/>
    </xf>
    <xf numFmtId="4" fontId="3" fillId="0" borderId="45" xfId="0" applyNumberFormat="1" applyFont="1" applyFill="1" applyBorder="1" applyAlignment="1" applyProtection="1">
      <alignment horizontal="right" vertical="top" wrapText="1"/>
    </xf>
    <xf numFmtId="4" fontId="2" fillId="91" borderId="40" xfId="0" applyNumberFormat="1" applyFont="1" applyFill="1" applyBorder="1" applyAlignment="1">
      <alignment wrapText="1"/>
    </xf>
    <xf numFmtId="4" fontId="2" fillId="0" borderId="40" xfId="0" applyNumberFormat="1" applyFont="1" applyBorder="1" applyAlignment="1">
      <alignment horizont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186" fontId="5" fillId="54" borderId="4" xfId="0" applyNumberFormat="1" applyFont="1" applyFill="1" applyBorder="1" applyAlignment="1" applyProtection="1">
      <alignment horizontal="center" vertical="center" wrapText="1"/>
    </xf>
    <xf numFmtId="0" fontId="2" fillId="90" borderId="40" xfId="199" applyFont="1" applyFill="1" applyBorder="1" applyAlignment="1">
      <alignment horizontal="center" vertical="center"/>
    </xf>
    <xf numFmtId="0" fontId="6" fillId="90" borderId="40" xfId="71" applyFont="1" applyFill="1" applyBorder="1" applyAlignment="1">
      <alignment horizontal="left" vertical="center" wrapText="1"/>
    </xf>
    <xf numFmtId="180" fontId="6" fillId="90" borderId="40" xfId="71" quotePrefix="1" applyNumberFormat="1" applyFont="1" applyFill="1" applyBorder="1" applyAlignment="1">
      <alignment horizontal="center" vertical="center"/>
    </xf>
    <xf numFmtId="2" fontId="5" fillId="90" borderId="2" xfId="0" applyNumberFormat="1" applyFont="1" applyFill="1" applyBorder="1" applyAlignment="1" applyProtection="1">
      <alignment horizontal="right" vertical="center" wrapText="1"/>
    </xf>
    <xf numFmtId="4" fontId="5" fillId="0" borderId="3" xfId="203" applyNumberFormat="1" applyFont="1" applyFill="1" applyBorder="1" applyAlignment="1" applyProtection="1">
      <alignment horizontal="right" vertical="center" wrapText="1"/>
    </xf>
    <xf numFmtId="4" fontId="5" fillId="0" borderId="4" xfId="203" applyNumberFormat="1" applyFont="1" applyFill="1" applyBorder="1" applyAlignment="1" applyProtection="1">
      <alignment horizontal="right" vertical="center" wrapText="1"/>
    </xf>
    <xf numFmtId="4" fontId="2" fillId="54" borderId="0" xfId="0" applyNumberFormat="1" applyFont="1" applyFill="1" applyAlignment="1">
      <alignment horizontal="center" vertical="center" wrapText="1"/>
    </xf>
    <xf numFmtId="4" fontId="2" fillId="55" borderId="0" xfId="0" applyNumberFormat="1" applyFont="1" applyFill="1" applyAlignment="1">
      <alignment horizontal="center" vertical="center" wrapText="1"/>
    </xf>
    <xf numFmtId="4" fontId="2" fillId="90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 wrapText="1"/>
    </xf>
    <xf numFmtId="10" fontId="2" fillId="58" borderId="0" xfId="212" applyNumberFormat="1" applyFont="1" applyFill="1" applyAlignment="1">
      <alignment horizontal="center" vertical="center" wrapText="1"/>
    </xf>
    <xf numFmtId="4" fontId="2" fillId="0" borderId="41" xfId="0" applyNumberFormat="1" applyFont="1" applyFill="1" applyBorder="1" applyAlignment="1">
      <alignment wrapText="1"/>
    </xf>
    <xf numFmtId="4" fontId="3" fillId="0" borderId="3" xfId="0" applyNumberFormat="1" applyFont="1" applyFill="1" applyBorder="1" applyAlignment="1" applyProtection="1">
      <alignment horizontal="right" vertical="center" wrapText="1"/>
    </xf>
    <xf numFmtId="4" fontId="2" fillId="57" borderId="40" xfId="0" applyNumberFormat="1" applyFont="1" applyFill="1" applyBorder="1" applyAlignment="1">
      <alignment wrapText="1"/>
    </xf>
    <xf numFmtId="4" fontId="2" fillId="58" borderId="40" xfId="0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wrapText="1"/>
    </xf>
    <xf numFmtId="187" fontId="2" fillId="58" borderId="0" xfId="0" applyNumberFormat="1" applyFont="1" applyFill="1" applyAlignment="1">
      <alignment horizontal="center" vertical="center" wrapText="1"/>
    </xf>
    <xf numFmtId="44" fontId="2" fillId="58" borderId="0" xfId="0" applyNumberFormat="1" applyFont="1" applyFill="1" applyAlignment="1">
      <alignment horizontal="center" vertical="center" wrapText="1"/>
    </xf>
    <xf numFmtId="187" fontId="2" fillId="0" borderId="0" xfId="0" applyNumberFormat="1" applyFont="1" applyAlignment="1">
      <alignment wrapText="1"/>
    </xf>
    <xf numFmtId="187" fontId="2" fillId="58" borderId="0" xfId="0" applyNumberFormat="1" applyFont="1" applyFill="1" applyAlignment="1">
      <alignment wrapText="1"/>
    </xf>
    <xf numFmtId="187" fontId="2" fillId="0" borderId="0" xfId="0" applyNumberFormat="1" applyFont="1" applyFill="1" applyAlignment="1">
      <alignment wrapText="1"/>
    </xf>
    <xf numFmtId="4" fontId="5" fillId="18" borderId="2" xfId="0" applyNumberFormat="1" applyFont="1" applyFill="1" applyBorder="1" applyAlignment="1" applyProtection="1">
      <alignment horizontal="right" vertical="center" wrapText="1"/>
    </xf>
    <xf numFmtId="4" fontId="6" fillId="55" borderId="2" xfId="0" applyNumberFormat="1" applyFont="1" applyFill="1" applyBorder="1" applyAlignment="1" applyProtection="1">
      <alignment horizontal="left" vertical="center" wrapText="1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4" fontId="3" fillId="0" borderId="3" xfId="0" applyNumberFormat="1" applyFont="1" applyFill="1" applyBorder="1" applyAlignment="1" applyProtection="1">
      <alignment horizontal="center" vertical="center" wrapText="1"/>
    </xf>
    <xf numFmtId="4" fontId="3" fillId="0" borderId="9" xfId="0" applyNumberFormat="1" applyFont="1" applyFill="1" applyBorder="1" applyAlignment="1" applyProtection="1">
      <alignment horizontal="center" vertical="center" wrapText="1"/>
    </xf>
    <xf numFmtId="4" fontId="5" fillId="0" borderId="1" xfId="0" applyNumberFormat="1" applyFont="1" applyFill="1" applyBorder="1" applyAlignment="1" applyProtection="1">
      <alignment horizontal="left" vertical="top" wrapText="1"/>
    </xf>
    <xf numFmtId="4" fontId="5" fillId="0" borderId="1" xfId="0" applyNumberFormat="1" applyFont="1" applyFill="1" applyBorder="1" applyAlignment="1" applyProtection="1">
      <alignment horizontal="left" vertical="top" wrapText="1"/>
      <protection locked="0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5" fillId="0" borderId="4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Alignment="1">
      <alignment horizontal="center" wrapText="1"/>
    </xf>
    <xf numFmtId="4" fontId="3" fillId="0" borderId="6" xfId="0" applyNumberFormat="1" applyFont="1" applyFill="1" applyBorder="1" applyAlignment="1" applyProtection="1">
      <alignment horizontal="left" vertical="center" wrapText="1"/>
    </xf>
    <xf numFmtId="4" fontId="3" fillId="0" borderId="6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2" fillId="90" borderId="1" xfId="0" applyNumberFormat="1" applyFont="1" applyFill="1" applyBorder="1" applyAlignment="1">
      <alignment horizontal="left" vertical="center" wrapText="1"/>
    </xf>
    <xf numFmtId="4" fontId="2" fillId="90" borderId="1" xfId="0" applyNumberFormat="1" applyFont="1" applyFill="1" applyBorder="1" applyAlignment="1">
      <alignment horizontal="right" vertical="center" wrapText="1"/>
    </xf>
    <xf numFmtId="4" fontId="2" fillId="90" borderId="1" xfId="0" applyNumberFormat="1" applyFont="1" applyFill="1" applyBorder="1" applyAlignment="1">
      <alignment wrapText="1"/>
    </xf>
    <xf numFmtId="4" fontId="2" fillId="0" borderId="45" xfId="0" applyNumberFormat="1" applyFont="1" applyFill="1" applyBorder="1" applyAlignment="1">
      <alignment vertical="center" wrapText="1"/>
    </xf>
    <xf numFmtId="4" fontId="2" fillId="0" borderId="21" xfId="0" applyNumberFormat="1" applyFont="1" applyFill="1" applyBorder="1" applyAlignment="1">
      <alignment wrapText="1"/>
    </xf>
    <xf numFmtId="4" fontId="2" fillId="0" borderId="40" xfId="0" applyNumberFormat="1" applyFont="1" applyFill="1" applyBorder="1" applyAlignment="1">
      <alignment horizontal="right" wrapText="1"/>
    </xf>
    <xf numFmtId="4" fontId="3" fillId="0" borderId="85" xfId="0" applyNumberFormat="1" applyFont="1" applyFill="1" applyBorder="1" applyAlignment="1" applyProtection="1">
      <alignment horizontal="left" vertical="center" wrapText="1"/>
    </xf>
    <xf numFmtId="4" fontId="3" fillId="0" borderId="85" xfId="0" applyNumberFormat="1" applyFont="1" applyFill="1" applyBorder="1" applyAlignment="1" applyProtection="1">
      <alignment horizontal="left" vertical="center" wrapText="1"/>
      <protection locked="0"/>
    </xf>
    <xf numFmtId="4" fontId="3" fillId="0" borderId="85" xfId="0" applyNumberFormat="1" applyFont="1" applyFill="1" applyBorder="1" applyAlignment="1" applyProtection="1">
      <alignment horizontal="right" vertical="center" wrapText="1"/>
    </xf>
    <xf numFmtId="4" fontId="2" fillId="0" borderId="83" xfId="0" applyNumberFormat="1" applyFont="1" applyFill="1" applyBorder="1" applyAlignment="1">
      <alignment wrapText="1"/>
    </xf>
    <xf numFmtId="4" fontId="2" fillId="0" borderId="21" xfId="0" applyNumberFormat="1" applyFont="1" applyFill="1" applyBorder="1" applyAlignment="1">
      <alignment vertical="center" wrapText="1"/>
    </xf>
    <xf numFmtId="4" fontId="2" fillId="0" borderId="40" xfId="0" applyNumberFormat="1" applyFont="1" applyBorder="1" applyAlignment="1">
      <alignment horizontal="right" wrapText="1"/>
    </xf>
    <xf numFmtId="4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right" vertical="center" wrapText="1"/>
    </xf>
    <xf numFmtId="4" fontId="3" fillId="0" borderId="21" xfId="0" applyNumberFormat="1" applyFont="1" applyFill="1" applyBorder="1" applyAlignment="1" applyProtection="1">
      <alignment horizontal="right" vertical="center" wrapText="1"/>
    </xf>
    <xf numFmtId="4" fontId="2" fillId="0" borderId="40" xfId="0" applyNumberFormat="1" applyFont="1" applyBorder="1" applyAlignment="1">
      <alignment horizontal="left" wrapText="1"/>
    </xf>
    <xf numFmtId="4" fontId="2" fillId="55" borderId="21" xfId="0" applyNumberFormat="1" applyFont="1" applyFill="1" applyBorder="1" applyAlignment="1">
      <alignment vertical="center" wrapText="1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3" fillId="0" borderId="2" xfId="0" applyNumberFormat="1" applyFont="1" applyFill="1" applyBorder="1" applyAlignment="1" applyProtection="1">
      <alignment horizontal="lef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5" fillId="0" borderId="4" xfId="0" applyNumberFormat="1" applyFont="1" applyFill="1" applyBorder="1" applyAlignment="1" applyProtection="1">
      <alignment horizontal="center" vertical="center" wrapText="1"/>
    </xf>
    <xf numFmtId="4" fontId="5" fillId="0" borderId="85" xfId="0" applyNumberFormat="1" applyFont="1" applyFill="1" applyBorder="1" applyAlignment="1" applyProtection="1">
      <alignment horizontal="center" vertical="center" wrapText="1"/>
    </xf>
    <xf numFmtId="4" fontId="5" fillId="0" borderId="6" xfId="0" applyNumberFormat="1" applyFont="1" applyFill="1" applyBorder="1" applyAlignment="1" applyProtection="1">
      <alignment horizontal="center" vertical="center" wrapText="1"/>
    </xf>
    <xf numFmtId="4" fontId="5" fillId="55" borderId="4" xfId="0" applyNumberFormat="1" applyFont="1" applyFill="1" applyBorder="1" applyAlignment="1" applyProtection="1">
      <alignment horizontal="center" vertical="center" wrapText="1"/>
    </xf>
    <xf numFmtId="4" fontId="3" fillId="0" borderId="6" xfId="0" applyNumberFormat="1" applyFont="1" applyFill="1" applyBorder="1" applyAlignment="1" applyProtection="1">
      <alignment horizontal="left" vertical="center" wrapText="1"/>
    </xf>
    <xf numFmtId="4" fontId="3" fillId="0" borderId="6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4" fontId="5" fillId="55" borderId="4" xfId="0" applyNumberFormat="1" applyFont="1" applyFill="1" applyBorder="1" applyAlignment="1" applyProtection="1">
      <alignment horizontal="left" vertical="center" wrapText="1"/>
    </xf>
    <xf numFmtId="0" fontId="5" fillId="55" borderId="4" xfId="0" applyNumberFormat="1" applyFont="1" applyFill="1" applyBorder="1" applyAlignment="1" applyProtection="1">
      <alignment horizontal="center" vertical="center" wrapText="1"/>
    </xf>
    <xf numFmtId="4" fontId="5" fillId="55" borderId="4" xfId="0" applyNumberFormat="1" applyFont="1" applyFill="1" applyBorder="1" applyAlignment="1" applyProtection="1">
      <alignment horizontal="right" vertical="center" wrapText="1"/>
    </xf>
    <xf numFmtId="4" fontId="2" fillId="55" borderId="1" xfId="0" applyNumberFormat="1" applyFont="1" applyFill="1" applyBorder="1" applyAlignment="1">
      <alignment horizontal="right" wrapText="1"/>
    </xf>
    <xf numFmtId="4" fontId="2" fillId="0" borderId="40" xfId="0" applyNumberFormat="1" applyFont="1" applyFill="1" applyBorder="1" applyAlignment="1">
      <alignment horizontal="right" vertical="center" wrapText="1"/>
    </xf>
    <xf numFmtId="4" fontId="2" fillId="0" borderId="40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right" wrapText="1"/>
    </xf>
    <xf numFmtId="4" fontId="3" fillId="2" borderId="85" xfId="0" applyNumberFormat="1" applyFont="1" applyFill="1" applyBorder="1" applyAlignment="1" applyProtection="1">
      <alignment horizontal="center" vertical="center" wrapText="1"/>
    </xf>
    <xf numFmtId="4" fontId="2" fillId="0" borderId="41" xfId="0" applyNumberFormat="1" applyFont="1" applyBorder="1" applyAlignment="1">
      <alignment wrapText="1"/>
    </xf>
    <xf numFmtId="4" fontId="2" fillId="0" borderId="44" xfId="0" applyNumberFormat="1" applyFont="1" applyFill="1" applyBorder="1" applyAlignment="1">
      <alignment wrapText="1"/>
    </xf>
    <xf numFmtId="4" fontId="5" fillId="0" borderId="85" xfId="0" applyNumberFormat="1" applyFont="1" applyFill="1" applyBorder="1" applyAlignment="1" applyProtection="1">
      <alignment horizontal="left" vertical="center" wrapText="1"/>
    </xf>
    <xf numFmtId="0" fontId="5" fillId="0" borderId="85" xfId="0" applyNumberFormat="1" applyFont="1" applyFill="1" applyBorder="1" applyAlignment="1" applyProtection="1">
      <alignment horizontal="center" vertical="center" wrapText="1"/>
    </xf>
    <xf numFmtId="4" fontId="2" fillId="0" borderId="83" xfId="0" applyNumberFormat="1" applyFont="1" applyFill="1" applyBorder="1" applyAlignment="1">
      <alignment vertical="center" wrapText="1"/>
    </xf>
    <xf numFmtId="4" fontId="2" fillId="0" borderId="40" xfId="0" applyNumberFormat="1" applyFont="1" applyBorder="1" applyAlignment="1">
      <alignment horizontal="left" vertical="center" wrapText="1"/>
    </xf>
    <xf numFmtId="4" fontId="2" fillId="0" borderId="40" xfId="0" applyNumberFormat="1" applyFont="1" applyBorder="1" applyAlignment="1">
      <alignment horizontal="right" vertical="center" wrapText="1"/>
    </xf>
    <xf numFmtId="4" fontId="2" fillId="0" borderId="45" xfId="0" applyNumberFormat="1" applyFont="1" applyFill="1" applyBorder="1" applyAlignment="1">
      <alignment wrapText="1"/>
    </xf>
    <xf numFmtId="4" fontId="2" fillId="0" borderId="55" xfId="0" applyNumberFormat="1" applyFont="1" applyFill="1" applyBorder="1" applyAlignment="1">
      <alignment wrapText="1"/>
    </xf>
    <xf numFmtId="4" fontId="3" fillId="0" borderId="49" xfId="0" applyNumberFormat="1" applyFont="1" applyFill="1" applyBorder="1" applyAlignment="1" applyProtection="1">
      <alignment horizontal="right" vertical="center" wrapText="1"/>
    </xf>
    <xf numFmtId="4" fontId="2" fillId="0" borderId="4" xfId="0" applyNumberFormat="1" applyFont="1" applyFill="1" applyBorder="1" applyAlignment="1" applyProtection="1">
      <alignment horizontal="right" vertical="center" wrapText="1"/>
    </xf>
    <xf numFmtId="4" fontId="42" fillId="0" borderId="3" xfId="0" applyNumberFormat="1" applyFont="1" applyFill="1" applyBorder="1" applyAlignment="1" applyProtection="1">
      <alignment horizontal="right" vertical="top" wrapText="1"/>
    </xf>
    <xf numFmtId="4" fontId="42" fillId="0" borderId="40" xfId="0" applyNumberFormat="1" applyFont="1" applyFill="1" applyBorder="1" applyAlignment="1" applyProtection="1">
      <alignment horizontal="center" vertical="top" wrapText="1"/>
    </xf>
    <xf numFmtId="4" fontId="42" fillId="0" borderId="40" xfId="0" applyNumberFormat="1" applyFont="1" applyBorder="1" applyAlignment="1">
      <alignment horizontal="center" wrapText="1"/>
    </xf>
    <xf numFmtId="4" fontId="2" fillId="0" borderId="22" xfId="0" applyNumberFormat="1" applyFont="1" applyFill="1" applyBorder="1" applyAlignment="1">
      <alignment wrapText="1"/>
    </xf>
    <xf numFmtId="4" fontId="2" fillId="0" borderId="42" xfId="0" applyNumberFormat="1" applyFont="1" applyFill="1" applyBorder="1" applyAlignment="1">
      <alignment wrapText="1"/>
    </xf>
    <xf numFmtId="4" fontId="5" fillId="55" borderId="21" xfId="0" applyNumberFormat="1" applyFont="1" applyFill="1" applyBorder="1" applyAlignment="1" applyProtection="1">
      <alignment horizontal="right" vertical="center" wrapText="1"/>
    </xf>
    <xf numFmtId="4" fontId="5" fillId="0" borderId="44" xfId="0" applyNumberFormat="1" applyFont="1" applyFill="1" applyBorder="1" applyAlignment="1" applyProtection="1">
      <alignment horizontal="right" vertical="center" wrapText="1"/>
    </xf>
    <xf numFmtId="4" fontId="5" fillId="55" borderId="9" xfId="0" applyNumberFormat="1" applyFont="1" applyFill="1" applyBorder="1" applyAlignment="1" applyProtection="1">
      <alignment horizontal="right" vertical="center" wrapText="1"/>
    </xf>
    <xf numFmtId="4" fontId="5" fillId="0" borderId="9" xfId="0" applyNumberFormat="1" applyFont="1" applyFill="1" applyBorder="1" applyAlignment="1" applyProtection="1">
      <alignment horizontal="right" vertical="center" wrapText="1"/>
    </xf>
    <xf numFmtId="4" fontId="42" fillId="0" borderId="41" xfId="0" applyNumberFormat="1" applyFont="1" applyFill="1" applyBorder="1" applyAlignment="1">
      <alignment wrapText="1"/>
    </xf>
    <xf numFmtId="4" fontId="2" fillId="58" borderId="41" xfId="0" applyNumberFormat="1" applyFont="1" applyFill="1" applyBorder="1" applyAlignment="1">
      <alignment wrapText="1"/>
    </xf>
    <xf numFmtId="4" fontId="2" fillId="55" borderId="41" xfId="0" applyNumberFormat="1" applyFont="1" applyFill="1" applyBorder="1" applyAlignment="1">
      <alignment wrapText="1"/>
    </xf>
    <xf numFmtId="4" fontId="2" fillId="54" borderId="41" xfId="0" applyNumberFormat="1" applyFont="1" applyFill="1" applyBorder="1" applyAlignment="1">
      <alignment wrapText="1"/>
    </xf>
    <xf numFmtId="4" fontId="5" fillId="0" borderId="90" xfId="0" applyNumberFormat="1" applyFont="1" applyFill="1" applyBorder="1" applyAlignment="1" applyProtection="1">
      <alignment horizontal="right" vertical="center" wrapText="1"/>
    </xf>
    <xf numFmtId="4" fontId="5" fillId="55" borderId="44" xfId="0" applyNumberFormat="1" applyFont="1" applyFill="1" applyBorder="1" applyAlignment="1" applyProtection="1">
      <alignment horizontal="right" vertical="center" wrapText="1"/>
    </xf>
    <xf numFmtId="4" fontId="5" fillId="55" borderId="90" xfId="0" applyNumberFormat="1" applyFont="1" applyFill="1" applyBorder="1" applyAlignment="1" applyProtection="1">
      <alignment horizontal="right" vertical="center" wrapText="1"/>
    </xf>
    <xf numFmtId="4" fontId="2" fillId="55" borderId="41" xfId="0" applyNumberFormat="1" applyFont="1" applyFill="1" applyBorder="1" applyAlignment="1">
      <alignment vertical="center" wrapText="1"/>
    </xf>
    <xf numFmtId="4" fontId="73" fillId="55" borderId="0" xfId="0" applyNumberFormat="1" applyFont="1" applyFill="1" applyAlignment="1">
      <alignment horizontal="right" vertical="center" wrapText="1"/>
    </xf>
    <xf numFmtId="10" fontId="42" fillId="0" borderId="40" xfId="212" applyNumberFormat="1" applyFont="1" applyFill="1" applyBorder="1" applyAlignment="1">
      <alignment wrapText="1"/>
    </xf>
    <xf numFmtId="44" fontId="2" fillId="0" borderId="0" xfId="212" applyNumberFormat="1" applyFont="1" applyAlignment="1">
      <alignment wrapText="1"/>
    </xf>
    <xf numFmtId="43" fontId="2" fillId="55" borderId="40" xfId="212" applyNumberFormat="1" applyFont="1" applyFill="1" applyBorder="1" applyAlignment="1">
      <alignment horizontal="center" vertical="center" wrapText="1"/>
    </xf>
    <xf numFmtId="4" fontId="42" fillId="0" borderId="41" xfId="0" applyNumberFormat="1" applyFont="1" applyFill="1" applyBorder="1" applyAlignment="1">
      <alignment horizontal="center" wrapText="1"/>
    </xf>
    <xf numFmtId="4" fontId="3" fillId="18" borderId="2" xfId="0" applyNumberFormat="1" applyFont="1" applyFill="1" applyBorder="1" applyAlignment="1" applyProtection="1">
      <alignment horizontal="right" vertical="center" wrapText="1"/>
    </xf>
    <xf numFmtId="4" fontId="73" fillId="90" borderId="0" xfId="0" applyNumberFormat="1" applyFont="1" applyFill="1" applyAlignment="1">
      <alignment wrapText="1"/>
    </xf>
    <xf numFmtId="4" fontId="5" fillId="9" borderId="1" xfId="0" applyNumberFormat="1" applyFont="1" applyFill="1" applyBorder="1" applyAlignment="1" applyProtection="1">
      <alignment horizontal="center" vertical="center" wrapText="1"/>
    </xf>
    <xf numFmtId="10" fontId="2" fillId="58" borderId="0" xfId="0" applyNumberFormat="1" applyFont="1" applyFill="1" applyAlignment="1">
      <alignment wrapText="1"/>
    </xf>
    <xf numFmtId="4" fontId="3" fillId="2" borderId="90" xfId="0" applyNumberFormat="1" applyFont="1" applyFill="1" applyBorder="1" applyAlignment="1" applyProtection="1">
      <alignment horizontal="center" vertical="center" wrapText="1"/>
    </xf>
    <xf numFmtId="4" fontId="3" fillId="2" borderId="6" xfId="0" applyNumberFormat="1" applyFont="1" applyFill="1" applyBorder="1" applyAlignment="1" applyProtection="1">
      <alignment horizontal="center" vertical="center" wrapText="1"/>
    </xf>
    <xf numFmtId="4" fontId="3" fillId="3" borderId="6" xfId="0" applyNumberFormat="1" applyFont="1" applyFill="1" applyBorder="1" applyAlignment="1" applyProtection="1">
      <alignment horizontal="center" vertical="center" wrapText="1"/>
      <protection locked="0"/>
    </xf>
    <xf numFmtId="4" fontId="2" fillId="0" borderId="1" xfId="0" applyNumberFormat="1" applyFont="1" applyBorder="1" applyAlignment="1">
      <alignment horizontal="center" vertical="center" wrapText="1"/>
    </xf>
    <xf numFmtId="4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6" borderId="40" xfId="0" applyNumberFormat="1" applyFont="1" applyFill="1" applyBorder="1" applyAlignment="1" applyProtection="1">
      <alignment horizontal="right" vertical="center" wrapText="1"/>
    </xf>
    <xf numFmtId="4" fontId="3" fillId="2" borderId="21" xfId="0" applyNumberFormat="1" applyFont="1" applyFill="1" applyBorder="1" applyAlignment="1" applyProtection="1">
      <alignment horizontal="center" vertical="center" wrapText="1"/>
    </xf>
    <xf numFmtId="4" fontId="42" fillId="0" borderId="40" xfId="0" applyNumberFormat="1" applyFont="1" applyFill="1" applyBorder="1" applyAlignment="1">
      <alignment horizontal="center" wrapText="1"/>
    </xf>
    <xf numFmtId="4" fontId="86" fillId="92" borderId="41" xfId="0" applyNumberFormat="1" applyFont="1" applyFill="1" applyBorder="1" applyAlignment="1">
      <alignment horizontal="center" vertical="center" wrapText="1"/>
    </xf>
    <xf numFmtId="4" fontId="86" fillId="92" borderId="43" xfId="0" applyNumberFormat="1" applyFont="1" applyFill="1" applyBorder="1" applyAlignment="1">
      <alignment horizontal="center" vertical="center" wrapText="1"/>
    </xf>
    <xf numFmtId="4" fontId="86" fillId="92" borderId="44" xfId="0" applyNumberFormat="1" applyFont="1" applyFill="1" applyBorder="1" applyAlignment="1">
      <alignment horizontal="center" vertical="center" wrapText="1"/>
    </xf>
    <xf numFmtId="0" fontId="10" fillId="32" borderId="40" xfId="205" applyFont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right" vertical="center" wrapText="1"/>
    </xf>
    <xf numFmtId="0" fontId="85" fillId="92" borderId="40" xfId="1" applyFont="1" applyFill="1" applyBorder="1" applyAlignment="1" applyProtection="1">
      <alignment horizontal="center" vertical="center" wrapText="1"/>
      <protection locked="0"/>
    </xf>
    <xf numFmtId="0" fontId="9" fillId="32" borderId="11" xfId="1" applyFont="1" applyBorder="1" applyAlignment="1" applyProtection="1">
      <alignment horizontal="left" vertical="center" wrapText="1"/>
      <protection locked="0"/>
    </xf>
    <xf numFmtId="0" fontId="10" fillId="32" borderId="11" xfId="1" applyFont="1" applyBorder="1" applyAlignment="1" applyProtection="1">
      <alignment horizontal="left" vertical="center" wrapText="1"/>
      <protection locked="0"/>
    </xf>
    <xf numFmtId="166" fontId="10" fillId="32" borderId="41" xfId="2" applyNumberFormat="1" applyFont="1" applyBorder="1" applyAlignment="1" applyProtection="1">
      <alignment horizontal="left" vertical="center" wrapText="1"/>
      <protection locked="0"/>
    </xf>
    <xf numFmtId="166" fontId="10" fillId="32" borderId="43" xfId="2" applyNumberFormat="1" applyFont="1" applyBorder="1" applyAlignment="1" applyProtection="1">
      <alignment horizontal="left" vertical="center" wrapText="1"/>
      <protection locked="0"/>
    </xf>
    <xf numFmtId="166" fontId="10" fillId="32" borderId="44" xfId="2" applyNumberFormat="1" applyFont="1" applyBorder="1" applyAlignment="1" applyProtection="1">
      <alignment horizontal="left" vertical="center" wrapText="1"/>
      <protection locked="0"/>
    </xf>
    <xf numFmtId="4" fontId="76" fillId="0" borderId="22" xfId="0" applyNumberFormat="1" applyFont="1" applyBorder="1" applyAlignment="1">
      <alignment horizontal="center" wrapText="1"/>
    </xf>
    <xf numFmtId="0" fontId="8" fillId="32" borderId="12" xfId="1" applyFont="1" applyBorder="1" applyAlignment="1" applyProtection="1">
      <alignment horizontal="center" vertical="center" wrapText="1"/>
      <protection locked="0"/>
    </xf>
    <xf numFmtId="4" fontId="3" fillId="2" borderId="40" xfId="0" applyNumberFormat="1" applyFont="1" applyFill="1" applyBorder="1" applyAlignment="1" applyProtection="1">
      <alignment horizontal="center" vertical="center" wrapText="1"/>
    </xf>
    <xf numFmtId="4" fontId="3" fillId="3" borderId="40" xfId="0" applyNumberFormat="1" applyFont="1" applyFill="1" applyBorder="1" applyAlignment="1" applyProtection="1">
      <alignment horizontal="center" vertical="center" wrapText="1"/>
      <protection locked="0"/>
    </xf>
    <xf numFmtId="4" fontId="42" fillId="0" borderId="22" xfId="0" applyNumberFormat="1" applyFont="1" applyBorder="1" applyAlignment="1">
      <alignment horizontal="center" wrapText="1"/>
    </xf>
    <xf numFmtId="4" fontId="3" fillId="3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2" borderId="80" xfId="0" applyNumberFormat="1" applyFont="1" applyFill="1" applyBorder="1" applyAlignment="1" applyProtection="1">
      <alignment horizontal="center" vertical="center" wrapText="1"/>
    </xf>
    <xf numFmtId="4" fontId="3" fillId="0" borderId="46" xfId="0" applyNumberFormat="1" applyFont="1" applyFill="1" applyBorder="1" applyAlignment="1" applyProtection="1">
      <alignment horizontal="center" vertical="top" wrapText="1"/>
    </xf>
    <xf numFmtId="4" fontId="3" fillId="0" borderId="47" xfId="0" applyNumberFormat="1" applyFont="1" applyFill="1" applyBorder="1" applyAlignment="1" applyProtection="1">
      <alignment horizontal="center" vertical="top" wrapText="1"/>
    </xf>
    <xf numFmtId="4" fontId="3" fillId="0" borderId="89" xfId="0" applyNumberFormat="1" applyFont="1" applyFill="1" applyBorder="1" applyAlignment="1" applyProtection="1">
      <alignment horizontal="center" vertical="top" wrapText="1"/>
    </xf>
    <xf numFmtId="4" fontId="3" fillId="0" borderId="3" xfId="0" applyNumberFormat="1" applyFont="1" applyFill="1" applyBorder="1" applyAlignment="1" applyProtection="1">
      <alignment horizontal="center" vertical="center" wrapText="1"/>
    </xf>
    <xf numFmtId="4" fontId="3" fillId="0" borderId="23" xfId="0" applyNumberFormat="1" applyFont="1" applyFill="1" applyBorder="1" applyAlignment="1" applyProtection="1">
      <alignment horizontal="center" vertical="center" wrapText="1"/>
    </xf>
    <xf numFmtId="4" fontId="3" fillId="0" borderId="9" xfId="0" applyNumberFormat="1" applyFont="1" applyFill="1" applyBorder="1" applyAlignment="1" applyProtection="1">
      <alignment horizontal="center" vertical="center" wrapText="1"/>
    </xf>
    <xf numFmtId="4" fontId="3" fillId="0" borderId="46" xfId="0" applyNumberFormat="1" applyFont="1" applyFill="1" applyBorder="1" applyAlignment="1" applyProtection="1">
      <alignment horizontal="center" vertical="center" wrapText="1"/>
    </xf>
    <xf numFmtId="4" fontId="3" fillId="0" borderId="47" xfId="0" applyNumberFormat="1" applyFont="1" applyFill="1" applyBorder="1" applyAlignment="1" applyProtection="1">
      <alignment horizontal="center" vertical="center" wrapText="1"/>
    </xf>
    <xf numFmtId="4" fontId="3" fillId="0" borderId="48" xfId="0" applyNumberFormat="1" applyFont="1" applyFill="1" applyBorder="1" applyAlignment="1" applyProtection="1">
      <alignment horizontal="center" vertical="center" wrapText="1"/>
    </xf>
    <xf numFmtId="4" fontId="3" fillId="0" borderId="48" xfId="0" applyNumberFormat="1" applyFont="1" applyFill="1" applyBorder="1" applyAlignment="1" applyProtection="1">
      <alignment horizontal="center" vertical="top" wrapText="1"/>
    </xf>
    <xf numFmtId="4" fontId="5" fillId="7" borderId="1" xfId="0" applyNumberFormat="1" applyFont="1" applyFill="1" applyBorder="1" applyAlignment="1" applyProtection="1">
      <alignment horizontal="left" vertical="top" wrapText="1"/>
    </xf>
    <xf numFmtId="4" fontId="5" fillId="8" borderId="1" xfId="0" applyNumberFormat="1" applyFont="1" applyFill="1" applyBorder="1" applyAlignment="1" applyProtection="1">
      <alignment horizontal="left" vertical="top" wrapText="1"/>
      <protection locked="0"/>
    </xf>
    <xf numFmtId="4" fontId="3" fillId="0" borderId="26" xfId="0" applyNumberFormat="1" applyFont="1" applyFill="1" applyBorder="1" applyAlignment="1" applyProtection="1">
      <alignment horizontal="center" vertical="center" wrapText="1"/>
    </xf>
    <xf numFmtId="0" fontId="15" fillId="32" borderId="41" xfId="7" applyFont="1" applyBorder="1" applyAlignment="1" applyProtection="1">
      <alignment horizontal="center" vertical="center" wrapText="1"/>
      <protection locked="0"/>
    </xf>
    <xf numFmtId="0" fontId="15" fillId="32" borderId="43" xfId="7" applyFont="1" applyBorder="1" applyAlignment="1" applyProtection="1">
      <alignment horizontal="center" vertical="center" wrapText="1"/>
      <protection locked="0"/>
    </xf>
    <xf numFmtId="0" fontId="15" fillId="32" borderId="44" xfId="7" applyFont="1" applyBorder="1" applyAlignment="1" applyProtection="1">
      <alignment horizontal="center" vertical="center" wrapText="1"/>
      <protection locked="0"/>
    </xf>
    <xf numFmtId="0" fontId="9" fillId="32" borderId="11" xfId="7" applyFont="1" applyBorder="1" applyAlignment="1" applyProtection="1">
      <alignment horizontal="center" vertical="center" wrapText="1"/>
      <protection locked="0"/>
    </xf>
    <xf numFmtId="0" fontId="10" fillId="32" borderId="11" xfId="7" applyFont="1" applyBorder="1" applyAlignment="1" applyProtection="1">
      <alignment horizontal="left" vertical="center" wrapText="1"/>
      <protection locked="0"/>
    </xf>
    <xf numFmtId="0" fontId="13" fillId="32" borderId="54" xfId="7" applyFont="1" applyBorder="1" applyAlignment="1" applyProtection="1">
      <alignment horizontal="center" vertical="center" wrapText="1"/>
      <protection locked="0"/>
    </xf>
    <xf numFmtId="0" fontId="13" fillId="32" borderId="42" xfId="7" applyFont="1" applyBorder="1" applyAlignment="1" applyProtection="1">
      <alignment horizontal="center" vertical="center" wrapText="1"/>
      <protection locked="0"/>
    </xf>
    <xf numFmtId="0" fontId="13" fillId="32" borderId="55" xfId="7" applyFont="1" applyBorder="1" applyAlignment="1" applyProtection="1">
      <alignment horizontal="center" vertical="center" wrapText="1"/>
      <protection locked="0"/>
    </xf>
    <xf numFmtId="0" fontId="13" fillId="32" borderId="13" xfId="7" applyFont="1" applyBorder="1" applyAlignment="1" applyProtection="1">
      <alignment horizontal="center" vertical="center" wrapText="1"/>
      <protection locked="0"/>
    </xf>
    <xf numFmtId="0" fontId="13" fillId="32" borderId="1" xfId="7" applyFont="1" applyBorder="1" applyAlignment="1" applyProtection="1">
      <alignment horizontal="center" vertical="center" wrapText="1"/>
      <protection locked="0"/>
    </xf>
    <xf numFmtId="0" fontId="13" fillId="32" borderId="14" xfId="7" applyFont="1" applyBorder="1" applyAlignment="1" applyProtection="1">
      <alignment horizontal="center" vertical="center" wrapText="1"/>
      <protection locked="0"/>
    </xf>
    <xf numFmtId="0" fontId="13" fillId="32" borderId="15" xfId="7" applyFont="1" applyBorder="1" applyAlignment="1" applyProtection="1">
      <alignment horizontal="center" vertical="center" wrapText="1"/>
      <protection locked="0"/>
    </xf>
    <xf numFmtId="0" fontId="13" fillId="32" borderId="22" xfId="7" applyFont="1" applyBorder="1" applyAlignment="1" applyProtection="1">
      <alignment horizontal="center" vertical="center" wrapText="1"/>
      <protection locked="0"/>
    </xf>
    <xf numFmtId="0" fontId="13" fillId="32" borderId="16" xfId="7" applyFont="1" applyBorder="1" applyAlignment="1" applyProtection="1">
      <alignment horizontal="center" vertical="center" wrapText="1"/>
      <protection locked="0"/>
    </xf>
    <xf numFmtId="4" fontId="3" fillId="0" borderId="46" xfId="202" applyNumberFormat="1" applyFont="1" applyFill="1" applyBorder="1" applyAlignment="1" applyProtection="1">
      <alignment horizontal="center" vertical="top" wrapText="1"/>
    </xf>
    <xf numFmtId="4" fontId="3" fillId="0" borderId="47" xfId="202" applyNumberFormat="1" applyFont="1" applyFill="1" applyBorder="1" applyAlignment="1" applyProtection="1">
      <alignment horizontal="center" vertical="top" wrapText="1"/>
    </xf>
    <xf numFmtId="4" fontId="3" fillId="0" borderId="48" xfId="202" applyNumberFormat="1" applyFont="1" applyFill="1" applyBorder="1" applyAlignment="1" applyProtection="1">
      <alignment horizontal="center" vertical="top" wrapText="1"/>
    </xf>
    <xf numFmtId="4" fontId="3" fillId="0" borderId="46" xfId="202" applyNumberFormat="1" applyFont="1" applyFill="1" applyBorder="1" applyAlignment="1" applyProtection="1">
      <alignment horizontal="center" vertical="center" wrapText="1"/>
    </xf>
    <xf numFmtId="4" fontId="3" fillId="0" borderId="47" xfId="202" applyNumberFormat="1" applyFont="1" applyFill="1" applyBorder="1" applyAlignment="1" applyProtection="1">
      <alignment horizontal="center" vertical="center" wrapText="1"/>
    </xf>
    <xf numFmtId="4" fontId="3" fillId="0" borderId="89" xfId="202" applyNumberFormat="1" applyFont="1" applyFill="1" applyBorder="1" applyAlignment="1" applyProtection="1">
      <alignment horizontal="center" vertical="center" wrapText="1"/>
    </xf>
    <xf numFmtId="4" fontId="3" fillId="0" borderId="46" xfId="203" applyNumberFormat="1" applyFont="1" applyFill="1" applyBorder="1" applyAlignment="1" applyProtection="1">
      <alignment horizontal="center" vertical="top" wrapText="1"/>
    </xf>
    <xf numFmtId="4" fontId="3" fillId="0" borderId="47" xfId="203" applyNumberFormat="1" applyFont="1" applyFill="1" applyBorder="1" applyAlignment="1" applyProtection="1">
      <alignment horizontal="center" vertical="top" wrapText="1"/>
    </xf>
    <xf numFmtId="4" fontId="3" fillId="0" borderId="48" xfId="203" applyNumberFormat="1" applyFont="1" applyFill="1" applyBorder="1" applyAlignment="1" applyProtection="1">
      <alignment horizontal="center" vertical="top" wrapText="1"/>
    </xf>
    <xf numFmtId="2" fontId="4" fillId="0" borderId="41" xfId="199" applyNumberFormat="1" applyFont="1" applyFill="1" applyBorder="1" applyAlignment="1">
      <alignment horizontal="center" vertical="center" wrapText="1"/>
    </xf>
    <xf numFmtId="2" fontId="4" fillId="0" borderId="43" xfId="199" applyNumberFormat="1" applyFont="1" applyFill="1" applyBorder="1" applyAlignment="1">
      <alignment horizontal="center" vertical="center" wrapText="1"/>
    </xf>
    <xf numFmtId="2" fontId="4" fillId="0" borderId="44" xfId="199" applyNumberFormat="1" applyFont="1" applyFill="1" applyBorder="1" applyAlignment="1">
      <alignment horizontal="center" vertical="center" wrapText="1"/>
    </xf>
    <xf numFmtId="0" fontId="4" fillId="0" borderId="15" xfId="71" applyFont="1" applyFill="1" applyBorder="1" applyAlignment="1">
      <alignment horizontal="center"/>
    </xf>
    <xf numFmtId="0" fontId="4" fillId="0" borderId="22" xfId="71" applyFont="1" applyFill="1" applyBorder="1" applyAlignment="1">
      <alignment horizontal="center"/>
    </xf>
    <xf numFmtId="0" fontId="4" fillId="0" borderId="16" xfId="71" applyFont="1" applyFill="1" applyBorder="1" applyAlignment="1">
      <alignment horizontal="center"/>
    </xf>
    <xf numFmtId="4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4" fontId="5" fillId="0" borderId="85" xfId="0" applyNumberFormat="1" applyFont="1" applyFill="1" applyBorder="1" applyAlignment="1" applyProtection="1">
      <alignment horizontal="center" vertical="center" wrapText="1"/>
    </xf>
    <xf numFmtId="4" fontId="5" fillId="0" borderId="6" xfId="0" applyNumberFormat="1" applyFont="1" applyFill="1" applyBorder="1" applyAlignment="1" applyProtection="1">
      <alignment horizontal="center" vertical="center" wrapText="1"/>
    </xf>
    <xf numFmtId="181" fontId="5" fillId="0" borderId="4" xfId="0" applyNumberFormat="1" applyFont="1" applyFill="1" applyBorder="1" applyAlignment="1" applyProtection="1">
      <alignment horizontal="center" vertical="center" wrapText="1"/>
    </xf>
    <xf numFmtId="181" fontId="5" fillId="0" borderId="85" xfId="0" applyNumberFormat="1" applyFont="1" applyFill="1" applyBorder="1" applyAlignment="1" applyProtection="1">
      <alignment horizontal="center" vertical="center" wrapText="1"/>
    </xf>
    <xf numFmtId="181" fontId="5" fillId="0" borderId="6" xfId="0" applyNumberFormat="1" applyFont="1" applyFill="1" applyBorder="1" applyAlignment="1" applyProtection="1">
      <alignment horizontal="center" vertical="center" wrapText="1"/>
    </xf>
    <xf numFmtId="4" fontId="5" fillId="0" borderId="1" xfId="0" applyNumberFormat="1" applyFont="1" applyFill="1" applyBorder="1" applyAlignment="1" applyProtection="1">
      <alignment horizontal="left" vertical="top" wrapText="1"/>
    </xf>
    <xf numFmtId="4" fontId="5" fillId="0" borderId="1" xfId="0" applyNumberFormat="1" applyFont="1" applyFill="1" applyBorder="1" applyAlignment="1" applyProtection="1">
      <alignment horizontal="left" vertical="top" wrapText="1"/>
      <protection locked="0"/>
    </xf>
    <xf numFmtId="4" fontId="3" fillId="0" borderId="15" xfId="0" applyNumberFormat="1" applyFont="1" applyFill="1" applyBorder="1" applyAlignment="1" applyProtection="1">
      <alignment horizontal="center" vertical="top" wrapText="1"/>
    </xf>
    <xf numFmtId="4" fontId="3" fillId="0" borderId="22" xfId="0" applyNumberFormat="1" applyFont="1" applyFill="1" applyBorder="1" applyAlignment="1" applyProtection="1">
      <alignment horizontal="center" vertical="top" wrapText="1"/>
    </xf>
    <xf numFmtId="4" fontId="3" fillId="0" borderId="84" xfId="0" applyNumberFormat="1" applyFont="1" applyFill="1" applyBorder="1" applyAlignment="1" applyProtection="1">
      <alignment horizontal="center" vertical="top" wrapText="1"/>
    </xf>
    <xf numFmtId="4" fontId="5" fillId="0" borderId="4" xfId="202" applyNumberFormat="1" applyFont="1" applyFill="1" applyBorder="1" applyAlignment="1" applyProtection="1">
      <alignment horizontal="center" vertical="center" wrapText="1"/>
    </xf>
    <xf numFmtId="4" fontId="5" fillId="0" borderId="86" xfId="202" applyNumberFormat="1" applyFont="1" applyFill="1" applyBorder="1" applyAlignment="1" applyProtection="1">
      <alignment horizontal="center" vertical="center" wrapText="1"/>
    </xf>
    <xf numFmtId="2" fontId="4" fillId="0" borderId="50" xfId="199" applyNumberFormat="1" applyFont="1" applyFill="1" applyBorder="1" applyAlignment="1">
      <alignment horizontal="center" vertical="center" wrapText="1"/>
    </xf>
    <xf numFmtId="2" fontId="4" fillId="0" borderId="51" xfId="199" applyNumberFormat="1" applyFont="1" applyFill="1" applyBorder="1" applyAlignment="1">
      <alignment horizontal="center" vertical="center" wrapText="1"/>
    </xf>
    <xf numFmtId="2" fontId="4" fillId="0" borderId="52" xfId="199" applyNumberFormat="1" applyFont="1" applyFill="1" applyBorder="1" applyAlignment="1">
      <alignment horizontal="center" vertical="center" wrapText="1"/>
    </xf>
    <xf numFmtId="4" fontId="3" fillId="0" borderId="3" xfId="202" applyNumberFormat="1" applyFont="1" applyFill="1" applyBorder="1" applyAlignment="1" applyProtection="1">
      <alignment horizontal="center" vertical="center" wrapText="1"/>
    </xf>
    <xf numFmtId="4" fontId="3" fillId="0" borderId="9" xfId="202" applyNumberFormat="1" applyFont="1" applyFill="1" applyBorder="1" applyAlignment="1" applyProtection="1">
      <alignment horizontal="center" vertical="center" wrapText="1"/>
      <protection locked="0"/>
    </xf>
    <xf numFmtId="4" fontId="3" fillId="0" borderId="2" xfId="202" applyNumberFormat="1" applyFont="1" applyFill="1" applyBorder="1" applyAlignment="1" applyProtection="1">
      <alignment horizontal="left" vertical="center" wrapText="1"/>
    </xf>
    <xf numFmtId="4" fontId="3" fillId="0" borderId="2" xfId="202" applyNumberFormat="1" applyFont="1" applyFill="1" applyBorder="1" applyAlignment="1" applyProtection="1">
      <alignment horizontal="left" vertical="center" wrapText="1"/>
      <protection locked="0"/>
    </xf>
    <xf numFmtId="4" fontId="3" fillId="0" borderId="23" xfId="202" applyNumberFormat="1" applyFont="1" applyFill="1" applyBorder="1" applyAlignment="1" applyProtection="1">
      <alignment horizontal="center" vertical="center" wrapText="1"/>
    </xf>
    <xf numFmtId="4" fontId="3" fillId="0" borderId="9" xfId="202" applyNumberFormat="1" applyFont="1" applyFill="1" applyBorder="1" applyAlignment="1" applyProtection="1">
      <alignment horizontal="center" vertical="center" wrapText="1"/>
    </xf>
    <xf numFmtId="4" fontId="5" fillId="0" borderId="1" xfId="202" applyNumberFormat="1" applyFont="1" applyFill="1" applyBorder="1" applyAlignment="1" applyProtection="1">
      <alignment horizontal="left" vertical="top" wrapText="1"/>
    </xf>
    <xf numFmtId="4" fontId="5" fillId="0" borderId="1" xfId="202" applyNumberFormat="1" applyFont="1" applyFill="1" applyBorder="1" applyAlignment="1" applyProtection="1">
      <alignment horizontal="left" vertical="top" wrapText="1"/>
      <protection locked="0"/>
    </xf>
    <xf numFmtId="0" fontId="4" fillId="0" borderId="40" xfId="7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</xf>
    <xf numFmtId="4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" fontId="3" fillId="0" borderId="40" xfId="0" applyNumberFormat="1" applyFont="1" applyFill="1" applyBorder="1" applyAlignment="1" applyProtection="1">
      <alignment horizontal="center" vertical="top" wrapText="1"/>
    </xf>
    <xf numFmtId="4" fontId="5" fillId="55" borderId="4" xfId="0" applyNumberFormat="1" applyFont="1" applyFill="1" applyBorder="1" applyAlignment="1" applyProtection="1">
      <alignment horizontal="center" vertical="center" wrapText="1"/>
    </xf>
    <xf numFmtId="4" fontId="5" fillId="55" borderId="85" xfId="0" applyNumberFormat="1" applyFont="1" applyFill="1" applyBorder="1" applyAlignment="1" applyProtection="1">
      <alignment horizontal="center" vertical="center" wrapText="1"/>
    </xf>
    <xf numFmtId="4" fontId="5" fillId="55" borderId="86" xfId="0" applyNumberFormat="1" applyFont="1" applyFill="1" applyBorder="1" applyAlignment="1" applyProtection="1">
      <alignment horizontal="center" vertical="center" wrapText="1"/>
    </xf>
    <xf numFmtId="2" fontId="6" fillId="0" borderId="87" xfId="199" applyNumberFormat="1" applyFont="1" applyFill="1" applyBorder="1" applyAlignment="1">
      <alignment horizontal="right" vertical="center"/>
    </xf>
    <xf numFmtId="2" fontId="6" fillId="0" borderId="88" xfId="199" applyNumberFormat="1" applyFont="1" applyFill="1" applyBorder="1" applyAlignment="1">
      <alignment horizontal="right" vertical="center"/>
    </xf>
    <xf numFmtId="4" fontId="5" fillId="0" borderId="4" xfId="0" applyNumberFormat="1" applyFont="1" applyFill="1" applyBorder="1" applyAlignment="1" applyProtection="1">
      <alignment horizontal="center" vertical="center" wrapText="1"/>
    </xf>
    <xf numFmtId="4" fontId="5" fillId="0" borderId="86" xfId="0" applyNumberFormat="1" applyFont="1" applyFill="1" applyBorder="1" applyAlignment="1" applyProtection="1">
      <alignment horizontal="center" vertical="center" wrapText="1"/>
    </xf>
    <xf numFmtId="4" fontId="3" fillId="55" borderId="3" xfId="0" applyNumberFormat="1" applyFont="1" applyFill="1" applyBorder="1" applyAlignment="1" applyProtection="1">
      <alignment horizontal="center" vertical="center" wrapText="1"/>
    </xf>
    <xf numFmtId="4" fontId="3" fillId="55" borderId="9" xfId="0" applyNumberFormat="1" applyFont="1" applyFill="1" applyBorder="1" applyAlignment="1" applyProtection="1">
      <alignment horizontal="center" vertical="center" wrapText="1"/>
      <protection locked="0"/>
    </xf>
    <xf numFmtId="4" fontId="3" fillId="55" borderId="23" xfId="0" applyNumberFormat="1" applyFont="1" applyFill="1" applyBorder="1" applyAlignment="1" applyProtection="1">
      <alignment horizontal="center" vertical="center" wrapText="1"/>
    </xf>
    <xf numFmtId="4" fontId="3" fillId="55" borderId="26" xfId="0" applyNumberFormat="1" applyFont="1" applyFill="1" applyBorder="1" applyAlignment="1" applyProtection="1">
      <alignment horizontal="center" vertical="center" wrapText="1"/>
    </xf>
    <xf numFmtId="4" fontId="5" fillId="0" borderId="51" xfId="0" applyNumberFormat="1" applyFont="1" applyFill="1" applyBorder="1" applyAlignment="1" applyProtection="1">
      <alignment horizontal="left" vertical="top" wrapText="1"/>
    </xf>
    <xf numFmtId="4" fontId="3" fillId="0" borderId="1" xfId="0" applyNumberFormat="1" applyFont="1" applyFill="1" applyBorder="1" applyAlignment="1" applyProtection="1">
      <alignment horizontal="center" vertical="center" wrapText="1"/>
    </xf>
    <xf numFmtId="4" fontId="3" fillId="55" borderId="15" xfId="0" applyNumberFormat="1" applyFont="1" applyFill="1" applyBorder="1" applyAlignment="1" applyProtection="1">
      <alignment horizontal="center" vertical="top" wrapText="1"/>
    </xf>
    <xf numFmtId="4" fontId="3" fillId="55" borderId="22" xfId="0" applyNumberFormat="1" applyFont="1" applyFill="1" applyBorder="1" applyAlignment="1" applyProtection="1">
      <alignment horizontal="center" vertical="top" wrapText="1"/>
    </xf>
    <xf numFmtId="4" fontId="3" fillId="55" borderId="46" xfId="0" applyNumberFormat="1" applyFont="1" applyFill="1" applyBorder="1" applyAlignment="1" applyProtection="1">
      <alignment horizontal="center" vertical="top" wrapText="1"/>
    </xf>
    <xf numFmtId="4" fontId="3" fillId="55" borderId="47" xfId="0" applyNumberFormat="1" applyFont="1" applyFill="1" applyBorder="1" applyAlignment="1" applyProtection="1">
      <alignment horizontal="center" vertical="top" wrapText="1"/>
    </xf>
    <xf numFmtId="4" fontId="3" fillId="55" borderId="48" xfId="0" applyNumberFormat="1" applyFont="1" applyFill="1" applyBorder="1" applyAlignment="1" applyProtection="1">
      <alignment horizontal="center" vertical="top" wrapText="1"/>
    </xf>
    <xf numFmtId="4" fontId="5" fillId="90" borderId="92" xfId="0" applyNumberFormat="1" applyFont="1" applyFill="1" applyBorder="1" applyAlignment="1" applyProtection="1">
      <alignment horizontal="center" vertical="center" wrapText="1"/>
    </xf>
    <xf numFmtId="4" fontId="5" fillId="90" borderId="91" xfId="0" applyNumberFormat="1" applyFont="1" applyFill="1" applyBorder="1" applyAlignment="1" applyProtection="1">
      <alignment horizontal="center" vertical="center" wrapText="1"/>
    </xf>
    <xf numFmtId="4" fontId="5" fillId="90" borderId="93" xfId="0" applyNumberFormat="1" applyFont="1" applyFill="1" applyBorder="1" applyAlignment="1" applyProtection="1">
      <alignment horizontal="center" vertical="center" wrapText="1"/>
    </xf>
    <xf numFmtId="4" fontId="5" fillId="90" borderId="94" xfId="0" applyNumberFormat="1" applyFont="1" applyFill="1" applyBorder="1" applyAlignment="1" applyProtection="1">
      <alignment horizontal="center" vertical="center" wrapText="1"/>
    </xf>
    <xf numFmtId="4" fontId="5" fillId="90" borderId="95" xfId="0" applyNumberFormat="1" applyFont="1" applyFill="1" applyBorder="1" applyAlignment="1" applyProtection="1">
      <alignment horizontal="center" vertical="center" wrapText="1"/>
    </xf>
    <xf numFmtId="4" fontId="5" fillId="90" borderId="96" xfId="0" applyNumberFormat="1" applyFont="1" applyFill="1" applyBorder="1" applyAlignment="1" applyProtection="1">
      <alignment horizontal="center" vertical="center" wrapText="1"/>
    </xf>
    <xf numFmtId="4" fontId="5" fillId="0" borderId="92" xfId="0" applyNumberFormat="1" applyFont="1" applyFill="1" applyBorder="1" applyAlignment="1" applyProtection="1">
      <alignment horizontal="center" vertical="center" wrapText="1"/>
    </xf>
    <xf numFmtId="4" fontId="5" fillId="0" borderId="91" xfId="0" applyNumberFormat="1" applyFont="1" applyFill="1" applyBorder="1" applyAlignment="1" applyProtection="1">
      <alignment horizontal="center" vertical="center" wrapText="1"/>
    </xf>
    <xf numFmtId="4" fontId="5" fillId="0" borderId="93" xfId="0" applyNumberFormat="1" applyFont="1" applyFill="1" applyBorder="1" applyAlignment="1" applyProtection="1">
      <alignment horizontal="center" vertical="center" wrapText="1"/>
    </xf>
    <xf numFmtId="4" fontId="5" fillId="0" borderId="94" xfId="0" applyNumberFormat="1" applyFont="1" applyFill="1" applyBorder="1" applyAlignment="1" applyProtection="1">
      <alignment horizontal="center" vertical="center" wrapText="1"/>
    </xf>
    <xf numFmtId="4" fontId="5" fillId="0" borderId="95" xfId="0" applyNumberFormat="1" applyFont="1" applyFill="1" applyBorder="1" applyAlignment="1" applyProtection="1">
      <alignment horizontal="center" vertical="center" wrapText="1"/>
    </xf>
    <xf numFmtId="4" fontId="5" fillId="0" borderId="96" xfId="0" applyNumberFormat="1" applyFont="1" applyFill="1" applyBorder="1" applyAlignment="1" applyProtection="1">
      <alignment horizontal="center" vertical="center" wrapText="1"/>
    </xf>
    <xf numFmtId="4" fontId="3" fillId="0" borderId="40" xfId="0" applyNumberFormat="1" applyFont="1" applyFill="1" applyBorder="1" applyAlignment="1" applyProtection="1">
      <alignment horizontal="center" vertical="center" wrapText="1"/>
    </xf>
    <xf numFmtId="4" fontId="5" fillId="0" borderId="91" xfId="203" applyNumberFormat="1" applyFont="1" applyFill="1" applyBorder="1" applyAlignment="1" applyProtection="1">
      <alignment horizontal="center" vertical="center" wrapText="1"/>
    </xf>
    <xf numFmtId="4" fontId="5" fillId="0" borderId="24" xfId="203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Alignment="1">
      <alignment horizontal="center" vertical="center" wrapText="1"/>
    </xf>
    <xf numFmtId="4" fontId="5" fillId="18" borderId="2" xfId="0" applyNumberFormat="1" applyFont="1" applyFill="1" applyBorder="1" applyAlignment="1" applyProtection="1">
      <alignment horizontal="right" vertical="center" wrapText="1"/>
    </xf>
    <xf numFmtId="4" fontId="5" fillId="19" borderId="2" xfId="0" applyNumberFormat="1" applyFont="1" applyFill="1" applyBorder="1" applyAlignment="1" applyProtection="1">
      <alignment horizontal="right" vertical="center" wrapText="1"/>
      <protection locked="0"/>
    </xf>
    <xf numFmtId="4" fontId="5" fillId="10" borderId="2" xfId="0" applyNumberFormat="1" applyFont="1" applyFill="1" applyBorder="1" applyAlignment="1" applyProtection="1">
      <alignment horizontal="left" vertical="center" wrapText="1"/>
    </xf>
    <xf numFmtId="4" fontId="5" fillId="15" borderId="2" xfId="0" applyNumberFormat="1" applyFont="1" applyFill="1" applyBorder="1" applyAlignment="1" applyProtection="1">
      <alignment horizontal="left" vertical="center" wrapText="1"/>
      <protection locked="0"/>
    </xf>
    <xf numFmtId="4" fontId="5" fillId="11" borderId="2" xfId="0" applyNumberFormat="1" applyFont="1" applyFill="1" applyBorder="1" applyAlignment="1" applyProtection="1">
      <alignment horizontal="left" vertical="center" wrapText="1"/>
    </xf>
    <xf numFmtId="4" fontId="5" fillId="16" borderId="2" xfId="0" applyNumberFormat="1" applyFont="1" applyFill="1" applyBorder="1" applyAlignment="1" applyProtection="1">
      <alignment horizontal="left" vertical="center" wrapText="1"/>
      <protection locked="0"/>
    </xf>
    <xf numFmtId="4" fontId="5" fillId="12" borderId="2" xfId="0" applyNumberFormat="1" applyFont="1" applyFill="1" applyBorder="1" applyAlignment="1" applyProtection="1">
      <alignment horizontal="right" vertical="center" wrapText="1"/>
    </xf>
    <xf numFmtId="4" fontId="5" fillId="17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18" borderId="2" xfId="0" applyNumberFormat="1" applyFont="1" applyFill="1" applyBorder="1" applyAlignment="1" applyProtection="1">
      <alignment horizontal="right" vertical="center" wrapText="1"/>
    </xf>
    <xf numFmtId="4" fontId="3" fillId="19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27" borderId="9" xfId="0" applyNumberFormat="1" applyFont="1" applyFill="1" applyBorder="1" applyAlignment="1" applyProtection="1">
      <alignment horizontal="right" vertical="center" wrapText="1"/>
    </xf>
    <xf numFmtId="4" fontId="3" fillId="31" borderId="9" xfId="0" applyNumberFormat="1" applyFont="1" applyFill="1" applyBorder="1" applyAlignment="1" applyProtection="1">
      <alignment horizontal="right" vertical="center" wrapText="1"/>
      <protection locked="0"/>
    </xf>
    <xf numFmtId="0" fontId="8" fillId="32" borderId="3" xfId="9" applyFont="1" applyBorder="1" applyAlignment="1" applyProtection="1">
      <alignment horizontal="center" vertical="center" wrapText="1"/>
      <protection locked="0"/>
    </xf>
    <xf numFmtId="0" fontId="8" fillId="32" borderId="23" xfId="9" applyFont="1" applyBorder="1" applyAlignment="1" applyProtection="1">
      <alignment horizontal="center" vertical="center" wrapText="1"/>
      <protection locked="0"/>
    </xf>
    <xf numFmtId="0" fontId="8" fillId="32" borderId="8" xfId="9" applyFont="1" applyBorder="1" applyAlignment="1" applyProtection="1">
      <alignment horizontal="center" vertical="center" wrapText="1"/>
      <protection locked="0"/>
    </xf>
    <xf numFmtId="0" fontId="8" fillId="32" borderId="49" xfId="9" applyFont="1" applyBorder="1" applyAlignment="1" applyProtection="1">
      <alignment horizontal="center" vertical="center" wrapText="1"/>
      <protection locked="0"/>
    </xf>
    <xf numFmtId="0" fontId="9" fillId="32" borderId="24" xfId="9" applyFont="1" applyBorder="1" applyAlignment="1" applyProtection="1">
      <alignment horizontal="left" vertical="center" wrapText="1"/>
      <protection locked="0"/>
    </xf>
    <xf numFmtId="0" fontId="9" fillId="32" borderId="21" xfId="9" applyFont="1" applyBorder="1" applyAlignment="1" applyProtection="1">
      <alignment horizontal="left" vertical="center" wrapText="1"/>
      <protection locked="0"/>
    </xf>
    <xf numFmtId="0" fontId="9" fillId="32" borderId="25" xfId="9" applyFont="1" applyBorder="1" applyAlignment="1" applyProtection="1">
      <alignment horizontal="left" vertical="center" wrapText="1"/>
      <protection locked="0"/>
    </xf>
    <xf numFmtId="0" fontId="9" fillId="32" borderId="11" xfId="9" applyFont="1" applyBorder="1" applyAlignment="1" applyProtection="1">
      <alignment horizontal="left" vertical="center" wrapText="1"/>
      <protection locked="0"/>
    </xf>
    <xf numFmtId="0" fontId="10" fillId="32" borderId="15" xfId="9" applyFont="1" applyBorder="1" applyAlignment="1" applyProtection="1">
      <alignment horizontal="left" vertical="center" wrapText="1"/>
      <protection locked="0"/>
    </xf>
    <xf numFmtId="0" fontId="10" fillId="32" borderId="22" xfId="9" applyFont="1" applyBorder="1" applyAlignment="1" applyProtection="1">
      <alignment horizontal="left" vertical="center" wrapText="1"/>
      <protection locked="0"/>
    </xf>
    <xf numFmtId="0" fontId="10" fillId="32" borderId="16" xfId="9" applyFont="1" applyBorder="1" applyAlignment="1" applyProtection="1">
      <alignment horizontal="left" vertical="center" wrapText="1"/>
      <protection locked="0"/>
    </xf>
    <xf numFmtId="0" fontId="10" fillId="32" borderId="17" xfId="9" applyFont="1" applyBorder="1" applyAlignment="1" applyProtection="1">
      <alignment horizontal="left" vertical="center" wrapText="1"/>
      <protection locked="0"/>
    </xf>
    <xf numFmtId="0" fontId="10" fillId="32" borderId="18" xfId="9" applyFont="1" applyBorder="1" applyAlignment="1" applyProtection="1">
      <alignment horizontal="left" vertical="center" wrapText="1"/>
      <protection locked="0"/>
    </xf>
    <xf numFmtId="0" fontId="10" fillId="32" borderId="19" xfId="9" applyFont="1" applyBorder="1" applyAlignment="1" applyProtection="1">
      <alignment horizontal="left" vertical="center" wrapText="1"/>
      <protection locked="0"/>
    </xf>
    <xf numFmtId="0" fontId="9" fillId="32" borderId="54" xfId="10" applyFont="1" applyBorder="1" applyAlignment="1" applyProtection="1">
      <alignment horizontal="center" vertical="top" wrapText="1"/>
      <protection locked="0"/>
    </xf>
    <xf numFmtId="0" fontId="9" fillId="32" borderId="20" xfId="10" applyFont="1" applyBorder="1" applyAlignment="1" applyProtection="1">
      <alignment horizontal="center" vertical="top" wrapText="1"/>
      <protection locked="0"/>
    </xf>
    <xf numFmtId="0" fontId="9" fillId="32" borderId="55" xfId="10" applyFont="1" applyBorder="1" applyAlignment="1" applyProtection="1">
      <alignment horizontal="center" vertical="top" wrapText="1"/>
      <protection locked="0"/>
    </xf>
    <xf numFmtId="0" fontId="9" fillId="32" borderId="13" xfId="10" applyFont="1" applyBorder="1" applyAlignment="1" applyProtection="1">
      <alignment horizontal="center" vertical="top" wrapText="1"/>
      <protection locked="0"/>
    </xf>
    <xf numFmtId="0" fontId="9" fillId="32" borderId="1" xfId="10" applyFont="1" applyBorder="1" applyAlignment="1" applyProtection="1">
      <alignment horizontal="center" vertical="top" wrapText="1"/>
      <protection locked="0"/>
    </xf>
    <xf numFmtId="0" fontId="9" fillId="32" borderId="14" xfId="10" applyFont="1" applyBorder="1" applyAlignment="1" applyProtection="1">
      <alignment horizontal="center" vertical="top" wrapText="1"/>
      <protection locked="0"/>
    </xf>
    <xf numFmtId="0" fontId="9" fillId="32" borderId="15" xfId="10" applyFont="1" applyBorder="1" applyAlignment="1" applyProtection="1">
      <alignment horizontal="center" vertical="top" wrapText="1"/>
      <protection locked="0"/>
    </xf>
    <xf numFmtId="0" fontId="9" fillId="32" borderId="22" xfId="10" applyFont="1" applyBorder="1" applyAlignment="1" applyProtection="1">
      <alignment horizontal="center" vertical="top" wrapText="1"/>
      <protection locked="0"/>
    </xf>
    <xf numFmtId="0" fontId="9" fillId="32" borderId="16" xfId="10" applyFont="1" applyBorder="1" applyAlignment="1" applyProtection="1">
      <alignment horizontal="center" vertical="top" wrapText="1"/>
      <protection locked="0"/>
    </xf>
    <xf numFmtId="4" fontId="42" fillId="0" borderId="0" xfId="0" applyNumberFormat="1" applyFont="1" applyAlignment="1">
      <alignment horizontal="center" wrapText="1"/>
    </xf>
    <xf numFmtId="4" fontId="42" fillId="0" borderId="42" xfId="0" applyNumberFormat="1" applyFont="1" applyBorder="1" applyAlignment="1">
      <alignment horizontal="left" wrapText="1"/>
    </xf>
    <xf numFmtId="0" fontId="66" fillId="32" borderId="64" xfId="294" applyFont="1" applyBorder="1" applyAlignment="1">
      <alignment horizontal="left" vertical="top" wrapText="1"/>
    </xf>
    <xf numFmtId="0" fontId="66" fillId="32" borderId="11" xfId="294" applyFont="1" applyBorder="1" applyAlignment="1">
      <alignment horizontal="left" vertical="top" wrapText="1"/>
    </xf>
    <xf numFmtId="10" fontId="67" fillId="32" borderId="11" xfId="85" applyNumberFormat="1" applyFont="1" applyFill="1" applyBorder="1" applyAlignment="1">
      <alignment horizontal="center" vertical="top" wrapText="1"/>
    </xf>
    <xf numFmtId="10" fontId="67" fillId="32" borderId="65" xfId="85" applyNumberFormat="1" applyFont="1" applyFill="1" applyBorder="1" applyAlignment="1">
      <alignment horizontal="center" vertical="top" wrapText="1"/>
    </xf>
    <xf numFmtId="185" fontId="63" fillId="32" borderId="66" xfId="71" applyNumberFormat="1" applyFont="1" applyFill="1" applyBorder="1" applyAlignment="1">
      <alignment horizontal="center" vertical="center" wrapText="1"/>
    </xf>
    <xf numFmtId="185" fontId="63" fillId="32" borderId="67" xfId="71" applyNumberFormat="1" applyFont="1" applyFill="1" applyBorder="1" applyAlignment="1">
      <alignment horizontal="center" vertical="center" wrapText="1"/>
    </xf>
    <xf numFmtId="185" fontId="63" fillId="32" borderId="68" xfId="71" applyNumberFormat="1" applyFont="1" applyFill="1" applyBorder="1" applyAlignment="1">
      <alignment horizontal="center" vertical="center" wrapText="1"/>
    </xf>
    <xf numFmtId="0" fontId="65" fillId="92" borderId="69" xfId="294" applyFont="1" applyFill="1" applyBorder="1" applyAlignment="1">
      <alignment horizontal="center" vertical="center"/>
    </xf>
    <xf numFmtId="0" fontId="65" fillId="92" borderId="70" xfId="294" applyFont="1" applyFill="1" applyBorder="1" applyAlignment="1">
      <alignment horizontal="center" vertical="center"/>
    </xf>
    <xf numFmtId="0" fontId="65" fillId="92" borderId="71" xfId="294" applyFont="1" applyFill="1" applyBorder="1" applyAlignment="1">
      <alignment horizontal="center" vertical="center" wrapText="1"/>
    </xf>
    <xf numFmtId="0" fontId="65" fillId="92" borderId="72" xfId="294" applyFont="1" applyFill="1" applyBorder="1" applyAlignment="1">
      <alignment horizontal="center" vertical="center" wrapText="1"/>
    </xf>
    <xf numFmtId="0" fontId="65" fillId="92" borderId="73" xfId="294" applyFont="1" applyFill="1" applyBorder="1" applyAlignment="1">
      <alignment horizontal="center" vertical="center" wrapText="1"/>
    </xf>
    <xf numFmtId="10" fontId="67" fillId="32" borderId="17" xfId="85" applyNumberFormat="1" applyFont="1" applyFill="1" applyBorder="1" applyAlignment="1">
      <alignment horizontal="center" vertical="top" wrapText="1"/>
    </xf>
    <xf numFmtId="10" fontId="67" fillId="32" borderId="18" xfId="85" applyNumberFormat="1" applyFont="1" applyFill="1" applyBorder="1" applyAlignment="1">
      <alignment horizontal="center" vertical="top" wrapText="1"/>
    </xf>
    <xf numFmtId="10" fontId="67" fillId="32" borderId="74" xfId="85" applyNumberFormat="1" applyFont="1" applyFill="1" applyBorder="1" applyAlignment="1">
      <alignment horizontal="center" vertical="top" wrapText="1"/>
    </xf>
    <xf numFmtId="10" fontId="67" fillId="32" borderId="12" xfId="85" applyNumberFormat="1" applyFont="1" applyFill="1" applyBorder="1" applyAlignment="1">
      <alignment horizontal="center" vertical="top" wrapText="1"/>
    </xf>
    <xf numFmtId="10" fontId="67" fillId="32" borderId="75" xfId="85" applyNumberFormat="1" applyFont="1" applyFill="1" applyBorder="1" applyAlignment="1">
      <alignment horizontal="center" vertical="top" wrapText="1"/>
    </xf>
    <xf numFmtId="0" fontId="66" fillId="32" borderId="76" xfId="294" applyFont="1" applyBorder="1" applyAlignment="1">
      <alignment horizontal="left" vertical="top" wrapText="1"/>
    </xf>
    <xf numFmtId="0" fontId="66" fillId="32" borderId="21" xfId="294" applyFont="1" applyBorder="1" applyAlignment="1">
      <alignment horizontal="left" vertical="top" wrapText="1"/>
    </xf>
    <xf numFmtId="10" fontId="66" fillId="32" borderId="11" xfId="85" applyNumberFormat="1" applyFont="1" applyFill="1" applyBorder="1" applyAlignment="1">
      <alignment horizontal="center" vertical="top" wrapText="1"/>
    </xf>
    <xf numFmtId="10" fontId="66" fillId="32" borderId="65" xfId="85" applyNumberFormat="1" applyFont="1" applyFill="1" applyBorder="1" applyAlignment="1">
      <alignment horizontal="center" vertical="top" wrapText="1"/>
    </xf>
    <xf numFmtId="0" fontId="67" fillId="32" borderId="27" xfId="294" applyFont="1" applyBorder="1" applyAlignment="1">
      <alignment horizontal="left" vertical="top" wrapText="1"/>
    </xf>
    <xf numFmtId="0" fontId="67" fillId="32" borderId="1" xfId="294" applyFont="1" applyBorder="1" applyAlignment="1">
      <alignment horizontal="left" vertical="top" wrapText="1"/>
    </xf>
    <xf numFmtId="10" fontId="67" fillId="32" borderId="1" xfId="85" applyNumberFormat="1" applyFont="1" applyFill="1" applyBorder="1" applyAlignment="1">
      <alignment horizontal="center" vertical="top" wrapText="1"/>
    </xf>
    <xf numFmtId="10" fontId="67" fillId="32" borderId="28" xfId="85" applyNumberFormat="1" applyFont="1" applyFill="1" applyBorder="1" applyAlignment="1">
      <alignment horizontal="center" vertical="top" wrapText="1"/>
    </xf>
    <xf numFmtId="185" fontId="63" fillId="93" borderId="66" xfId="71" applyNumberFormat="1" applyFont="1" applyFill="1" applyBorder="1" applyAlignment="1">
      <alignment horizontal="center" vertical="center" wrapText="1"/>
    </xf>
    <xf numFmtId="185" fontId="63" fillId="93" borderId="67" xfId="71" applyNumberFormat="1" applyFont="1" applyFill="1" applyBorder="1" applyAlignment="1">
      <alignment horizontal="center" vertical="center" wrapText="1"/>
    </xf>
    <xf numFmtId="185" fontId="63" fillId="93" borderId="68" xfId="71" applyNumberFormat="1" applyFont="1" applyFill="1" applyBorder="1" applyAlignment="1">
      <alignment horizontal="center" vertical="center" wrapText="1"/>
    </xf>
    <xf numFmtId="0" fontId="71" fillId="91" borderId="1" xfId="71" applyFont="1" applyFill="1" applyAlignment="1">
      <alignment horizontal="right"/>
    </xf>
    <xf numFmtId="0" fontId="71" fillId="94" borderId="1" xfId="71" applyFont="1" applyFill="1" applyAlignment="1">
      <alignment horizontal="left"/>
    </xf>
    <xf numFmtId="0" fontId="60" fillId="32" borderId="27" xfId="294" applyFont="1" applyBorder="1" applyAlignment="1">
      <alignment horizontal="left" vertical="center" wrapText="1"/>
    </xf>
    <xf numFmtId="0" fontId="60" fillId="32" borderId="1" xfId="294" applyFont="1" applyBorder="1" applyAlignment="1">
      <alignment horizontal="left" vertical="center" wrapText="1"/>
    </xf>
    <xf numFmtId="0" fontId="60" fillId="32" borderId="28" xfId="294" applyFont="1" applyBorder="1" applyAlignment="1">
      <alignment horizontal="left" vertical="center" wrapText="1"/>
    </xf>
    <xf numFmtId="0" fontId="59" fillId="32" borderId="27" xfId="294" applyFont="1" applyBorder="1" applyAlignment="1">
      <alignment horizontal="left" vertical="center" wrapText="1"/>
    </xf>
    <xf numFmtId="0" fontId="59" fillId="32" borderId="1" xfId="294" applyFont="1" applyBorder="1" applyAlignment="1">
      <alignment horizontal="left" vertical="center" wrapText="1"/>
    </xf>
    <xf numFmtId="0" fontId="59" fillId="32" borderId="28" xfId="294" applyFont="1" applyBorder="1" applyAlignment="1">
      <alignment horizontal="left" vertical="center" wrapText="1"/>
    </xf>
    <xf numFmtId="0" fontId="14" fillId="91" borderId="1" xfId="71" applyFill="1" applyAlignment="1">
      <alignment horizontal="left"/>
    </xf>
    <xf numFmtId="0" fontId="14" fillId="91" borderId="1" xfId="71" applyFill="1"/>
    <xf numFmtId="0" fontId="71" fillId="91" borderId="1" xfId="71" applyFont="1" applyFill="1" applyAlignment="1">
      <alignment horizontal="left"/>
    </xf>
    <xf numFmtId="0" fontId="59" fillId="32" borderId="77" xfId="294" applyFont="1" applyBorder="1" applyAlignment="1">
      <alignment horizontal="left" vertical="center" wrapText="1"/>
    </xf>
    <xf numFmtId="0" fontId="59" fillId="32" borderId="78" xfId="294" applyFont="1" applyBorder="1" applyAlignment="1">
      <alignment horizontal="left" vertical="center" wrapText="1"/>
    </xf>
    <xf numFmtId="0" fontId="59" fillId="32" borderId="79" xfId="294" applyFont="1" applyBorder="1" applyAlignment="1">
      <alignment horizontal="left" vertical="center" wrapText="1"/>
    </xf>
    <xf numFmtId="0" fontId="71" fillId="96" borderId="3" xfId="70" applyFont="1" applyFill="1" applyBorder="1" applyAlignment="1">
      <alignment horizontal="center" vertical="top" wrapText="1"/>
    </xf>
    <xf numFmtId="0" fontId="71" fillId="96" borderId="23" xfId="70" applyFont="1" applyFill="1" applyBorder="1" applyAlignment="1">
      <alignment horizontal="center" vertical="top" wrapText="1"/>
    </xf>
    <xf numFmtId="0" fontId="71" fillId="96" borderId="9" xfId="70" applyFont="1" applyFill="1" applyBorder="1" applyAlignment="1">
      <alignment horizontal="center" vertical="top" wrapText="1"/>
    </xf>
    <xf numFmtId="0" fontId="79" fillId="32" borderId="1" xfId="70" applyFont="1" applyFill="1" applyBorder="1" applyAlignment="1">
      <alignment horizontal="center" vertical="top" wrapText="1"/>
    </xf>
    <xf numFmtId="0" fontId="71" fillId="95" borderId="41" xfId="70" applyFont="1" applyFill="1" applyBorder="1" applyAlignment="1">
      <alignment horizontal="center" vertical="top" wrapText="1"/>
    </xf>
    <xf numFmtId="0" fontId="71" fillId="95" borderId="43" xfId="70" applyFont="1" applyFill="1" applyBorder="1" applyAlignment="1">
      <alignment horizontal="center" vertical="top" wrapText="1"/>
    </xf>
    <xf numFmtId="0" fontId="71" fillId="95" borderId="44" xfId="70" applyFont="1" applyFill="1" applyBorder="1" applyAlignment="1">
      <alignment horizontal="center" vertical="top" wrapText="1"/>
    </xf>
    <xf numFmtId="4" fontId="3" fillId="0" borderId="40" xfId="202" applyNumberFormat="1" applyFont="1" applyFill="1" applyBorder="1" applyAlignment="1" applyProtection="1">
      <alignment horizontal="center" vertical="top" wrapText="1"/>
    </xf>
    <xf numFmtId="4" fontId="3" fillId="0" borderId="26" xfId="202" applyNumberFormat="1" applyFont="1" applyFill="1" applyBorder="1" applyAlignment="1" applyProtection="1">
      <alignment horizontal="center" vertical="center" wrapText="1"/>
    </xf>
    <xf numFmtId="4" fontId="3" fillId="0" borderId="40" xfId="203" applyNumberFormat="1" applyFont="1" applyFill="1" applyBorder="1" applyAlignment="1" applyProtection="1">
      <alignment horizontal="center" vertical="top" wrapText="1"/>
    </xf>
    <xf numFmtId="4" fontId="3" fillId="0" borderId="3" xfId="203" applyNumberFormat="1" applyFont="1" applyFill="1" applyBorder="1" applyAlignment="1" applyProtection="1">
      <alignment horizontal="center" vertical="center" wrapText="1"/>
    </xf>
    <xf numFmtId="4" fontId="3" fillId="0" borderId="23" xfId="203" applyNumberFormat="1" applyFont="1" applyFill="1" applyBorder="1" applyAlignment="1" applyProtection="1">
      <alignment horizontal="center" vertical="center" wrapText="1"/>
    </xf>
    <xf numFmtId="4" fontId="3" fillId="0" borderId="9" xfId="203" applyNumberFormat="1" applyFont="1" applyFill="1" applyBorder="1" applyAlignment="1" applyProtection="1">
      <alignment horizontal="center" vertical="center" wrapText="1"/>
    </xf>
    <xf numFmtId="4" fontId="3" fillId="0" borderId="40" xfId="202" applyNumberFormat="1" applyFont="1" applyFill="1" applyBorder="1" applyAlignment="1" applyProtection="1">
      <alignment horizontal="center" vertical="center" wrapText="1"/>
    </xf>
    <xf numFmtId="2" fontId="4" fillId="0" borderId="41" xfId="203" applyNumberFormat="1" applyFont="1" applyFill="1" applyBorder="1" applyAlignment="1">
      <alignment horizontal="center" vertical="center" wrapText="1"/>
    </xf>
    <xf numFmtId="2" fontId="4" fillId="0" borderId="43" xfId="203" applyNumberFormat="1" applyFont="1" applyFill="1" applyBorder="1" applyAlignment="1">
      <alignment horizontal="center" vertical="center" wrapText="1"/>
    </xf>
    <xf numFmtId="0" fontId="4" fillId="0" borderId="41" xfId="71" applyFont="1" applyFill="1" applyBorder="1" applyAlignment="1">
      <alignment horizontal="right"/>
    </xf>
    <xf numFmtId="0" fontId="4" fillId="0" borderId="43" xfId="71" applyFont="1" applyFill="1" applyBorder="1" applyAlignment="1">
      <alignment horizontal="right"/>
    </xf>
    <xf numFmtId="0" fontId="4" fillId="0" borderId="44" xfId="71" applyFont="1" applyFill="1" applyBorder="1" applyAlignment="1">
      <alignment horizontal="right"/>
    </xf>
    <xf numFmtId="4" fontId="3" fillId="0" borderId="40" xfId="10" applyNumberFormat="1" applyFont="1" applyFill="1" applyBorder="1" applyAlignment="1" applyProtection="1">
      <alignment horizontal="center" vertical="top" wrapText="1"/>
    </xf>
    <xf numFmtId="0" fontId="4" fillId="0" borderId="41" xfId="0" applyFont="1" applyFill="1" applyBorder="1" applyAlignment="1" applyProtection="1">
      <alignment horizontal="center" vertical="center" wrapText="1"/>
    </xf>
    <xf numFmtId="0" fontId="4" fillId="0" borderId="43" xfId="0" applyFont="1" applyFill="1" applyBorder="1" applyAlignment="1" applyProtection="1">
      <alignment horizontal="center" vertical="center" wrapText="1"/>
    </xf>
    <xf numFmtId="0" fontId="4" fillId="0" borderId="44" xfId="0" applyFont="1" applyFill="1" applyBorder="1" applyAlignment="1" applyProtection="1">
      <alignment horizontal="center" vertical="center" wrapText="1"/>
    </xf>
    <xf numFmtId="0" fontId="4" fillId="0" borderId="41" xfId="71" applyFont="1" applyFill="1" applyBorder="1" applyAlignment="1">
      <alignment horizontal="center"/>
    </xf>
    <xf numFmtId="0" fontId="4" fillId="0" borderId="43" xfId="71" applyFont="1" applyFill="1" applyBorder="1" applyAlignment="1">
      <alignment horizontal="center"/>
    </xf>
    <xf numFmtId="0" fontId="4" fillId="0" borderId="44" xfId="71" applyFont="1" applyFill="1" applyBorder="1" applyAlignment="1">
      <alignment horizontal="center"/>
    </xf>
    <xf numFmtId="2" fontId="4" fillId="0" borderId="40" xfId="199" applyNumberFormat="1" applyFont="1" applyFill="1" applyBorder="1" applyAlignment="1">
      <alignment horizontal="center" vertical="center" wrapText="1"/>
    </xf>
    <xf numFmtId="2" fontId="4" fillId="0" borderId="41" xfId="10" applyNumberFormat="1" applyFont="1" applyFill="1" applyBorder="1" applyAlignment="1">
      <alignment horizontal="center" vertical="center" wrapText="1"/>
    </xf>
    <xf numFmtId="2" fontId="4" fillId="0" borderId="43" xfId="10" applyNumberFormat="1" applyFont="1" applyFill="1" applyBorder="1" applyAlignment="1">
      <alignment horizontal="center" vertical="center" wrapText="1"/>
    </xf>
    <xf numFmtId="2" fontId="4" fillId="0" borderId="44" xfId="1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 applyProtection="1">
      <alignment horizontal="left" vertical="top" wrapText="1"/>
    </xf>
    <xf numFmtId="4" fontId="3" fillId="0" borderId="3" xfId="0" applyNumberFormat="1" applyFont="1" applyFill="1" applyBorder="1" applyAlignment="1" applyProtection="1">
      <alignment horizontal="left" vertical="center" wrapText="1"/>
    </xf>
    <xf numFmtId="4" fontId="3" fillId="0" borderId="9" xfId="0" applyNumberFormat="1" applyFont="1" applyFill="1" applyBorder="1" applyAlignment="1" applyProtection="1">
      <alignment horizontal="left" vertical="center" wrapText="1"/>
    </xf>
    <xf numFmtId="0" fontId="9" fillId="32" borderId="11" xfId="7" applyFont="1" applyBorder="1" applyAlignment="1" applyProtection="1">
      <alignment horizontal="left" vertical="center" wrapText="1"/>
      <protection locked="0"/>
    </xf>
    <xf numFmtId="4" fontId="3" fillId="0" borderId="6" xfId="0" applyNumberFormat="1" applyFont="1" applyFill="1" applyBorder="1" applyAlignment="1" applyProtection="1">
      <alignment horizontal="left" vertical="center" wrapText="1"/>
    </xf>
    <xf numFmtId="4" fontId="3" fillId="0" borderId="6" xfId="0" applyNumberFormat="1" applyFont="1" applyFill="1" applyBorder="1" applyAlignment="1" applyProtection="1">
      <alignment horizontal="left" vertical="center" wrapText="1"/>
      <protection locked="0"/>
    </xf>
    <xf numFmtId="4" fontId="3" fillId="0" borderId="8" xfId="0" applyNumberFormat="1" applyFont="1" applyFill="1" applyBorder="1" applyAlignment="1" applyProtection="1">
      <alignment horizontal="center" vertical="center" wrapText="1"/>
    </xf>
  </cellXfs>
  <cellStyles count="303">
    <cellStyle name="20% - Accent1 2" xfId="214" xr:uid="{00000000-0005-0000-0000-000000000000}"/>
    <cellStyle name="20% - Accent1 3" xfId="215" xr:uid="{00000000-0005-0000-0000-000001000000}"/>
    <cellStyle name="20% - Accent2 2" xfId="216" xr:uid="{00000000-0005-0000-0000-000002000000}"/>
    <cellStyle name="20% - Accent2 3" xfId="217" xr:uid="{00000000-0005-0000-0000-000003000000}"/>
    <cellStyle name="20% - Accent3 2" xfId="218" xr:uid="{00000000-0005-0000-0000-000004000000}"/>
    <cellStyle name="20% - Accent3 3" xfId="219" xr:uid="{00000000-0005-0000-0000-000005000000}"/>
    <cellStyle name="20% - Accent4 2" xfId="220" xr:uid="{00000000-0005-0000-0000-000006000000}"/>
    <cellStyle name="20% - Accent4 3" xfId="221" xr:uid="{00000000-0005-0000-0000-000007000000}"/>
    <cellStyle name="20% - Accent5 2" xfId="222" xr:uid="{00000000-0005-0000-0000-000008000000}"/>
    <cellStyle name="20% - Accent5 3" xfId="223" xr:uid="{00000000-0005-0000-0000-000009000000}"/>
    <cellStyle name="20% - Accent6 2" xfId="224" xr:uid="{00000000-0005-0000-0000-00000A000000}"/>
    <cellStyle name="20% - Accent6 3" xfId="225" xr:uid="{00000000-0005-0000-0000-00000B000000}"/>
    <cellStyle name="20% - Ênfase1 2" xfId="17" xr:uid="{00000000-0005-0000-0000-00000C000000}"/>
    <cellStyle name="20% - Ênfase2 2" xfId="18" xr:uid="{00000000-0005-0000-0000-00000D000000}"/>
    <cellStyle name="20% - Ênfase3 2" xfId="19" xr:uid="{00000000-0005-0000-0000-00000E000000}"/>
    <cellStyle name="20% - Ênfase4 2" xfId="20" xr:uid="{00000000-0005-0000-0000-00000F000000}"/>
    <cellStyle name="20% - Ênfase5 2" xfId="21" xr:uid="{00000000-0005-0000-0000-000010000000}"/>
    <cellStyle name="20% - Ênfase6 2" xfId="22" xr:uid="{00000000-0005-0000-0000-000011000000}"/>
    <cellStyle name="40% - Accent1 2" xfId="226" xr:uid="{00000000-0005-0000-0000-000012000000}"/>
    <cellStyle name="40% - Accent1 3" xfId="227" xr:uid="{00000000-0005-0000-0000-000013000000}"/>
    <cellStyle name="40% - Accent2 2" xfId="228" xr:uid="{00000000-0005-0000-0000-000014000000}"/>
    <cellStyle name="40% - Accent2 3" xfId="229" xr:uid="{00000000-0005-0000-0000-000015000000}"/>
    <cellStyle name="40% - Accent3 2" xfId="230" xr:uid="{00000000-0005-0000-0000-000016000000}"/>
    <cellStyle name="40% - Accent3 3" xfId="231" xr:uid="{00000000-0005-0000-0000-000017000000}"/>
    <cellStyle name="40% - Accent4 2" xfId="232" xr:uid="{00000000-0005-0000-0000-000018000000}"/>
    <cellStyle name="40% - Accent4 3" xfId="233" xr:uid="{00000000-0005-0000-0000-000019000000}"/>
    <cellStyle name="40% - Accent5 2" xfId="234" xr:uid="{00000000-0005-0000-0000-00001A000000}"/>
    <cellStyle name="40% - Accent5 3" xfId="235" xr:uid="{00000000-0005-0000-0000-00001B000000}"/>
    <cellStyle name="40% - Accent6 2" xfId="236" xr:uid="{00000000-0005-0000-0000-00001C000000}"/>
    <cellStyle name="40% - Accent6 3" xfId="237" xr:uid="{00000000-0005-0000-0000-00001D000000}"/>
    <cellStyle name="40% - Ênfase1 2" xfId="23" xr:uid="{00000000-0005-0000-0000-00001E000000}"/>
    <cellStyle name="40% - Ênfase2 2" xfId="24" xr:uid="{00000000-0005-0000-0000-00001F000000}"/>
    <cellStyle name="40% - Ênfase3 2" xfId="25" xr:uid="{00000000-0005-0000-0000-000020000000}"/>
    <cellStyle name="40% - Ênfase4 2" xfId="26" xr:uid="{00000000-0005-0000-0000-000021000000}"/>
    <cellStyle name="40% - Ênfase5 2" xfId="27" xr:uid="{00000000-0005-0000-0000-000022000000}"/>
    <cellStyle name="40% - Ênfase6 2" xfId="28" xr:uid="{00000000-0005-0000-0000-000023000000}"/>
    <cellStyle name="60% - Accent1 2" xfId="238" xr:uid="{00000000-0005-0000-0000-000024000000}"/>
    <cellStyle name="60% - Accent1 3" xfId="239" xr:uid="{00000000-0005-0000-0000-000025000000}"/>
    <cellStyle name="60% - Accent2 2" xfId="240" xr:uid="{00000000-0005-0000-0000-000026000000}"/>
    <cellStyle name="60% - Accent2 3" xfId="241" xr:uid="{00000000-0005-0000-0000-000027000000}"/>
    <cellStyle name="60% - Accent3 2" xfId="242" xr:uid="{00000000-0005-0000-0000-000028000000}"/>
    <cellStyle name="60% - Accent3 3" xfId="243" xr:uid="{00000000-0005-0000-0000-000029000000}"/>
    <cellStyle name="60% - Accent4 2" xfId="244" xr:uid="{00000000-0005-0000-0000-00002A000000}"/>
    <cellStyle name="60% - Accent4 3" xfId="245" xr:uid="{00000000-0005-0000-0000-00002B000000}"/>
    <cellStyle name="60% - Accent5 2" xfId="246" xr:uid="{00000000-0005-0000-0000-00002C000000}"/>
    <cellStyle name="60% - Accent5 3" xfId="247" xr:uid="{00000000-0005-0000-0000-00002D000000}"/>
    <cellStyle name="60% - Accent6 2" xfId="248" xr:uid="{00000000-0005-0000-0000-00002E000000}"/>
    <cellStyle name="60% - Accent6 3" xfId="249" xr:uid="{00000000-0005-0000-0000-00002F000000}"/>
    <cellStyle name="60% - Ênfase1 2" xfId="29" xr:uid="{00000000-0005-0000-0000-000030000000}"/>
    <cellStyle name="60% - Ênfase2 2" xfId="30" xr:uid="{00000000-0005-0000-0000-000031000000}"/>
    <cellStyle name="60% - Ênfase3 2" xfId="31" xr:uid="{00000000-0005-0000-0000-000032000000}"/>
    <cellStyle name="60% - Ênfase4 2" xfId="32" xr:uid="{00000000-0005-0000-0000-000033000000}"/>
    <cellStyle name="60% - Ênfase5 2" xfId="33" xr:uid="{00000000-0005-0000-0000-000034000000}"/>
    <cellStyle name="60% - Ênfase6 2" xfId="34" xr:uid="{00000000-0005-0000-0000-000035000000}"/>
    <cellStyle name="Accent1 2" xfId="250" xr:uid="{00000000-0005-0000-0000-000036000000}"/>
    <cellStyle name="Accent1 3" xfId="251" xr:uid="{00000000-0005-0000-0000-000037000000}"/>
    <cellStyle name="Accent2 2" xfId="252" xr:uid="{00000000-0005-0000-0000-000038000000}"/>
    <cellStyle name="Accent2 3" xfId="253" xr:uid="{00000000-0005-0000-0000-000039000000}"/>
    <cellStyle name="Accent3 2" xfId="254" xr:uid="{00000000-0005-0000-0000-00003A000000}"/>
    <cellStyle name="Accent3 3" xfId="255" xr:uid="{00000000-0005-0000-0000-00003B000000}"/>
    <cellStyle name="Accent4 2" xfId="256" xr:uid="{00000000-0005-0000-0000-00003C000000}"/>
    <cellStyle name="Accent4 3" xfId="257" xr:uid="{00000000-0005-0000-0000-00003D000000}"/>
    <cellStyle name="Accent5 2" xfId="258" xr:uid="{00000000-0005-0000-0000-00003E000000}"/>
    <cellStyle name="Accent5 3" xfId="259" xr:uid="{00000000-0005-0000-0000-00003F000000}"/>
    <cellStyle name="Accent6 2" xfId="260" xr:uid="{00000000-0005-0000-0000-000040000000}"/>
    <cellStyle name="Accent6 3" xfId="261" xr:uid="{00000000-0005-0000-0000-000041000000}"/>
    <cellStyle name="Bad 1" xfId="35" xr:uid="{00000000-0005-0000-0000-000042000000}"/>
    <cellStyle name="Bad 2" xfId="262" xr:uid="{00000000-0005-0000-0000-000043000000}"/>
    <cellStyle name="Bad 3" xfId="263" xr:uid="{00000000-0005-0000-0000-000044000000}"/>
    <cellStyle name="Bom 2" xfId="36" xr:uid="{00000000-0005-0000-0000-000045000000}"/>
    <cellStyle name="Calculation 2" xfId="264" xr:uid="{00000000-0005-0000-0000-000046000000}"/>
    <cellStyle name="Calculation 3" xfId="265" xr:uid="{00000000-0005-0000-0000-000047000000}"/>
    <cellStyle name="Cálculo 2" xfId="37" xr:uid="{00000000-0005-0000-0000-000048000000}"/>
    <cellStyle name="Célula de Verificação 2" xfId="38" xr:uid="{00000000-0005-0000-0000-000049000000}"/>
    <cellStyle name="Célula Vinculada 2" xfId="39" xr:uid="{00000000-0005-0000-0000-00004A000000}"/>
    <cellStyle name="Check Cell 2" xfId="266" xr:uid="{00000000-0005-0000-0000-00004B000000}"/>
    <cellStyle name="Check Cell 3" xfId="267" xr:uid="{00000000-0005-0000-0000-00004C000000}"/>
    <cellStyle name="Comma 2" xfId="201" xr:uid="{00000000-0005-0000-0000-00004D000000}"/>
    <cellStyle name="Comma 2 2" xfId="207" xr:uid="{00000000-0005-0000-0000-00004E000000}"/>
    <cellStyle name="Comma 2 3" xfId="295" xr:uid="{00000000-0005-0000-0000-00004F000000}"/>
    <cellStyle name="Currency 2" xfId="40" xr:uid="{00000000-0005-0000-0000-000050000000}"/>
    <cellStyle name="Currency 2 2" xfId="208" xr:uid="{00000000-0005-0000-0000-000051000000}"/>
    <cellStyle name="Ênfase1 2" xfId="41" xr:uid="{00000000-0005-0000-0000-000052000000}"/>
    <cellStyle name="Ênfase2 2" xfId="42" xr:uid="{00000000-0005-0000-0000-000053000000}"/>
    <cellStyle name="Ênfase3 2" xfId="43" xr:uid="{00000000-0005-0000-0000-000054000000}"/>
    <cellStyle name="Ênfase4 2" xfId="44" xr:uid="{00000000-0005-0000-0000-000055000000}"/>
    <cellStyle name="Ênfase5 2" xfId="45" xr:uid="{00000000-0005-0000-0000-000056000000}"/>
    <cellStyle name="Ênfase6 2" xfId="46" xr:uid="{00000000-0005-0000-0000-000057000000}"/>
    <cellStyle name="Entrada 2" xfId="47" xr:uid="{00000000-0005-0000-0000-000058000000}"/>
    <cellStyle name="Euro" xfId="48" xr:uid="{00000000-0005-0000-0000-000059000000}"/>
    <cellStyle name="Excel Built-in Normal" xfId="49" xr:uid="{00000000-0005-0000-0000-00005A000000}"/>
    <cellStyle name="Explanatory Text 2" xfId="268" xr:uid="{00000000-0005-0000-0000-00005B000000}"/>
    <cellStyle name="Explanatory Text 3" xfId="269" xr:uid="{00000000-0005-0000-0000-00005C000000}"/>
    <cellStyle name="Good 1" xfId="50" xr:uid="{00000000-0005-0000-0000-00005D000000}"/>
    <cellStyle name="Good 2" xfId="270" xr:uid="{00000000-0005-0000-0000-00005E000000}"/>
    <cellStyle name="Good 3" xfId="271" xr:uid="{00000000-0005-0000-0000-00005F000000}"/>
    <cellStyle name="Heading 1 1" xfId="51" xr:uid="{00000000-0005-0000-0000-000060000000}"/>
    <cellStyle name="Heading 1 2" xfId="272" xr:uid="{00000000-0005-0000-0000-000061000000}"/>
    <cellStyle name="Heading 1 3" xfId="273" xr:uid="{00000000-0005-0000-0000-000062000000}"/>
    <cellStyle name="Heading 2 1" xfId="52" xr:uid="{00000000-0005-0000-0000-000063000000}"/>
    <cellStyle name="Heading 2 2" xfId="274" xr:uid="{00000000-0005-0000-0000-000064000000}"/>
    <cellStyle name="Heading 2 3" xfId="275" xr:uid="{00000000-0005-0000-0000-000065000000}"/>
    <cellStyle name="Heading 3 2" xfId="276" xr:uid="{00000000-0005-0000-0000-000066000000}"/>
    <cellStyle name="Heading 3 3" xfId="277" xr:uid="{00000000-0005-0000-0000-000067000000}"/>
    <cellStyle name="Heading 4 2" xfId="278" xr:uid="{00000000-0005-0000-0000-000068000000}"/>
    <cellStyle name="Heading 4 3" xfId="279" xr:uid="{00000000-0005-0000-0000-000069000000}"/>
    <cellStyle name="Hiperlink 2" xfId="53" xr:uid="{00000000-0005-0000-0000-00006A000000}"/>
    <cellStyle name="Incorreto 2" xfId="54" xr:uid="{00000000-0005-0000-0000-00006B000000}"/>
    <cellStyle name="Input 2" xfId="280" xr:uid="{00000000-0005-0000-0000-00006C000000}"/>
    <cellStyle name="Input 3" xfId="281" xr:uid="{00000000-0005-0000-0000-00006D000000}"/>
    <cellStyle name="Linked Cell 2" xfId="282" xr:uid="{00000000-0005-0000-0000-00006E000000}"/>
    <cellStyle name="Linked Cell 3" xfId="283" xr:uid="{00000000-0005-0000-0000-00006F000000}"/>
    <cellStyle name="Moeda 10" xfId="55" xr:uid="{00000000-0005-0000-0000-000070000000}"/>
    <cellStyle name="Moeda 2" xfId="56" xr:uid="{00000000-0005-0000-0000-000071000000}"/>
    <cellStyle name="Moeda 2 2" xfId="57" xr:uid="{00000000-0005-0000-0000-000072000000}"/>
    <cellStyle name="Moeda 2 3" xfId="58" xr:uid="{00000000-0005-0000-0000-000073000000}"/>
    <cellStyle name="Moeda 3" xfId="59" xr:uid="{00000000-0005-0000-0000-000074000000}"/>
    <cellStyle name="Moeda 4" xfId="60" xr:uid="{00000000-0005-0000-0000-000075000000}"/>
    <cellStyle name="Moeda 5" xfId="61" xr:uid="{00000000-0005-0000-0000-000076000000}"/>
    <cellStyle name="Moeda 6" xfId="62" xr:uid="{00000000-0005-0000-0000-000077000000}"/>
    <cellStyle name="Moeda 7" xfId="63" xr:uid="{00000000-0005-0000-0000-000078000000}"/>
    <cellStyle name="Moeda 8" xfId="64" xr:uid="{00000000-0005-0000-0000-000079000000}"/>
    <cellStyle name="Moeda 9" xfId="65" xr:uid="{00000000-0005-0000-0000-00007A000000}"/>
    <cellStyle name="Neutra 2" xfId="66" xr:uid="{00000000-0005-0000-0000-00007B000000}"/>
    <cellStyle name="Neutral 1" xfId="67" xr:uid="{00000000-0005-0000-0000-00007C000000}"/>
    <cellStyle name="Neutral 2" xfId="284" xr:uid="{00000000-0005-0000-0000-00007D000000}"/>
    <cellStyle name="Neutral 3" xfId="285" xr:uid="{00000000-0005-0000-0000-00007E000000}"/>
    <cellStyle name="Normal" xfId="0" builtinId="0"/>
    <cellStyle name="Normal 10" xfId="10" xr:uid="{00000000-0005-0000-0000-000080000000}"/>
    <cellStyle name="Normal 10 2" xfId="68" xr:uid="{00000000-0005-0000-0000-000081000000}"/>
    <cellStyle name="Normal 10 3" xfId="203" xr:uid="{00000000-0005-0000-0000-000082000000}"/>
    <cellStyle name="Normal 10 4" xfId="296" xr:uid="{00000000-0005-0000-0000-000083000000}"/>
    <cellStyle name="Normal 11" xfId="12" xr:uid="{00000000-0005-0000-0000-000084000000}"/>
    <cellStyle name="Normal 11 2" xfId="200" xr:uid="{00000000-0005-0000-0000-000085000000}"/>
    <cellStyle name="Normal 12" xfId="13" xr:uid="{00000000-0005-0000-0000-000086000000}"/>
    <cellStyle name="Normal 13" xfId="14" xr:uid="{00000000-0005-0000-0000-000087000000}"/>
    <cellStyle name="Normal 14" xfId="16" xr:uid="{00000000-0005-0000-0000-000088000000}"/>
    <cellStyle name="Normal 15" xfId="15" xr:uid="{00000000-0005-0000-0000-000089000000}"/>
    <cellStyle name="Normal 16" xfId="69" xr:uid="{00000000-0005-0000-0000-00008A000000}"/>
    <cellStyle name="Normal 17" xfId="199" xr:uid="{00000000-0005-0000-0000-00008B000000}"/>
    <cellStyle name="Normal 17 2" xfId="209" xr:uid="{00000000-0005-0000-0000-00008C000000}"/>
    <cellStyle name="Normal 18" xfId="204" xr:uid="{00000000-0005-0000-0000-00008D000000}"/>
    <cellStyle name="Normal 19" xfId="213" xr:uid="{00000000-0005-0000-0000-00008E000000}"/>
    <cellStyle name="Normal 2" xfId="9" xr:uid="{00000000-0005-0000-0000-00008F000000}"/>
    <cellStyle name="Normal 2 2" xfId="70" xr:uid="{00000000-0005-0000-0000-000090000000}"/>
    <cellStyle name="Normal 2 2 2" xfId="71" xr:uid="{00000000-0005-0000-0000-000091000000}"/>
    <cellStyle name="Normal 2 2 2 2" xfId="72" xr:uid="{00000000-0005-0000-0000-000092000000}"/>
    <cellStyle name="Normal 2 2 2 4" xfId="297" xr:uid="{00000000-0005-0000-0000-000093000000}"/>
    <cellStyle name="Normal 2 2 3" xfId="73" xr:uid="{00000000-0005-0000-0000-000094000000}"/>
    <cellStyle name="Normal 2 2 4" xfId="74" xr:uid="{00000000-0005-0000-0000-000095000000}"/>
    <cellStyle name="Normal 2 2_COMPOSIÇÕES" xfId="75" xr:uid="{00000000-0005-0000-0000-000096000000}"/>
    <cellStyle name="Normal 2 3" xfId="76" xr:uid="{00000000-0005-0000-0000-000097000000}"/>
    <cellStyle name="Normal 2 5" xfId="77" xr:uid="{00000000-0005-0000-0000-000098000000}"/>
    <cellStyle name="Normal 2_COMPOSIÇÕES" xfId="78" xr:uid="{00000000-0005-0000-0000-000099000000}"/>
    <cellStyle name="Normal 20" xfId="294" xr:uid="{00000000-0005-0000-0000-00009A000000}"/>
    <cellStyle name="Normal 21" xfId="299" xr:uid="{00000000-0005-0000-0000-00009B000000}"/>
    <cellStyle name="Normal 22" xfId="300" xr:uid="{00000000-0005-0000-0000-00009C000000}"/>
    <cellStyle name="Normal 23" xfId="301" xr:uid="{00000000-0005-0000-0000-00009D000000}"/>
    <cellStyle name="Normal 24" xfId="302" xr:uid="{00000000-0005-0000-0000-00009E000000}"/>
    <cellStyle name="Normal 3" xfId="1" xr:uid="{00000000-0005-0000-0000-00009F000000}"/>
    <cellStyle name="Normal 3 2" xfId="79" xr:uid="{00000000-0005-0000-0000-0000A0000000}"/>
    <cellStyle name="Normal 3 3" xfId="80" xr:uid="{00000000-0005-0000-0000-0000A1000000}"/>
    <cellStyle name="Normal 3 4" xfId="205" xr:uid="{00000000-0005-0000-0000-0000A2000000}"/>
    <cellStyle name="Normal 3_COMPOSIÇÕES" xfId="81" xr:uid="{00000000-0005-0000-0000-0000A3000000}"/>
    <cellStyle name="Normal 4" xfId="3" xr:uid="{00000000-0005-0000-0000-0000A4000000}"/>
    <cellStyle name="Normal 4 2 3 2" xfId="82" xr:uid="{00000000-0005-0000-0000-0000A5000000}"/>
    <cellStyle name="Normal 5" xfId="4" xr:uid="{00000000-0005-0000-0000-0000A6000000}"/>
    <cellStyle name="Normal 6" xfId="6" xr:uid="{00000000-0005-0000-0000-0000A7000000}"/>
    <cellStyle name="Normal 7" xfId="5" xr:uid="{00000000-0005-0000-0000-0000A8000000}"/>
    <cellStyle name="Normal 8" xfId="7" xr:uid="{00000000-0005-0000-0000-0000A9000000}"/>
    <cellStyle name="Normal 8 2" xfId="202" xr:uid="{00000000-0005-0000-0000-0000AA000000}"/>
    <cellStyle name="Normal 9" xfId="8" xr:uid="{00000000-0005-0000-0000-0000AB000000}"/>
    <cellStyle name="Nota 2" xfId="83" xr:uid="{00000000-0005-0000-0000-0000AC000000}"/>
    <cellStyle name="Note 1" xfId="84" xr:uid="{00000000-0005-0000-0000-0000AD000000}"/>
    <cellStyle name="Note 2" xfId="286" xr:uid="{00000000-0005-0000-0000-0000AE000000}"/>
    <cellStyle name="Note 3" xfId="287" xr:uid="{00000000-0005-0000-0000-0000AF000000}"/>
    <cellStyle name="Output 2" xfId="288" xr:uid="{00000000-0005-0000-0000-0000B0000000}"/>
    <cellStyle name="Output 3" xfId="289" xr:uid="{00000000-0005-0000-0000-0000B1000000}"/>
    <cellStyle name="Percent 2" xfId="85" xr:uid="{00000000-0005-0000-0000-0000B2000000}"/>
    <cellStyle name="Porcentagem" xfId="212" builtinId="5"/>
    <cellStyle name="Porcentagem 2" xfId="86" xr:uid="{00000000-0005-0000-0000-0000B4000000}"/>
    <cellStyle name="Porcentagem 2 2" xfId="87" xr:uid="{00000000-0005-0000-0000-0000B5000000}"/>
    <cellStyle name="Porcentagem 2 2 2" xfId="88" xr:uid="{00000000-0005-0000-0000-0000B6000000}"/>
    <cellStyle name="Porcentagem 2 3" xfId="89" xr:uid="{00000000-0005-0000-0000-0000B7000000}"/>
    <cellStyle name="Porcentagem 2 4" xfId="90" xr:uid="{00000000-0005-0000-0000-0000B8000000}"/>
    <cellStyle name="Porcentagem 2_COMPOSIÇÕES" xfId="91" xr:uid="{00000000-0005-0000-0000-0000B9000000}"/>
    <cellStyle name="Porcentagem 3" xfId="92" xr:uid="{00000000-0005-0000-0000-0000BA000000}"/>
    <cellStyle name="Porcentagem 3 2" xfId="93" xr:uid="{00000000-0005-0000-0000-0000BB000000}"/>
    <cellStyle name="Porcentagem 3 3" xfId="94" xr:uid="{00000000-0005-0000-0000-0000BC000000}"/>
    <cellStyle name="Porcentagem 4" xfId="95" xr:uid="{00000000-0005-0000-0000-0000BD000000}"/>
    <cellStyle name="Porcentagem 4 2" xfId="96" xr:uid="{00000000-0005-0000-0000-0000BE000000}"/>
    <cellStyle name="Porcentagem 5" xfId="97" xr:uid="{00000000-0005-0000-0000-0000BF000000}"/>
    <cellStyle name="Porcentagem 5 2" xfId="98" xr:uid="{00000000-0005-0000-0000-0000C0000000}"/>
    <cellStyle name="Porcentagem 6" xfId="99" xr:uid="{00000000-0005-0000-0000-0000C1000000}"/>
    <cellStyle name="Saída 2" xfId="100" xr:uid="{00000000-0005-0000-0000-0000C2000000}"/>
    <cellStyle name="Separador de milhares 10" xfId="101" xr:uid="{00000000-0005-0000-0000-0000C4000000}"/>
    <cellStyle name="Separador de milhares 10 2" xfId="102" xr:uid="{00000000-0005-0000-0000-0000C5000000}"/>
    <cellStyle name="Separador de milhares 11" xfId="103" xr:uid="{00000000-0005-0000-0000-0000C6000000}"/>
    <cellStyle name="Separador de milhares 11 2" xfId="104" xr:uid="{00000000-0005-0000-0000-0000C7000000}"/>
    <cellStyle name="Separador de milhares 12" xfId="105" xr:uid="{00000000-0005-0000-0000-0000C8000000}"/>
    <cellStyle name="Separador de milhares 13" xfId="106" xr:uid="{00000000-0005-0000-0000-0000C9000000}"/>
    <cellStyle name="Separador de milhares 14" xfId="107" xr:uid="{00000000-0005-0000-0000-0000CA000000}"/>
    <cellStyle name="Separador de milhares 15" xfId="108" xr:uid="{00000000-0005-0000-0000-0000CB000000}"/>
    <cellStyle name="Separador de milhares 16" xfId="109" xr:uid="{00000000-0005-0000-0000-0000CC000000}"/>
    <cellStyle name="Separador de milhares 17" xfId="110" xr:uid="{00000000-0005-0000-0000-0000CD000000}"/>
    <cellStyle name="Separador de milhares 18" xfId="111" xr:uid="{00000000-0005-0000-0000-0000CE000000}"/>
    <cellStyle name="Separador de milhares 19" xfId="112" xr:uid="{00000000-0005-0000-0000-0000CF000000}"/>
    <cellStyle name="Separador de milhares 2" xfId="113" xr:uid="{00000000-0005-0000-0000-0000D0000000}"/>
    <cellStyle name="Separador de milhares 2 2" xfId="114" xr:uid="{00000000-0005-0000-0000-0000D1000000}"/>
    <cellStyle name="Separador de milhares 2 2 2" xfId="115" xr:uid="{00000000-0005-0000-0000-0000D2000000}"/>
    <cellStyle name="Separador de milhares 2 3" xfId="116" xr:uid="{00000000-0005-0000-0000-0000D3000000}"/>
    <cellStyle name="Separador de milhares 2_COMPOSIÇÕES" xfId="117" xr:uid="{00000000-0005-0000-0000-0000D4000000}"/>
    <cellStyle name="Separador de milhares 20" xfId="118" xr:uid="{00000000-0005-0000-0000-0000D5000000}"/>
    <cellStyle name="Separador de milhares 21" xfId="119" xr:uid="{00000000-0005-0000-0000-0000D6000000}"/>
    <cellStyle name="Separador de milhares 22" xfId="120" xr:uid="{00000000-0005-0000-0000-0000D7000000}"/>
    <cellStyle name="Separador de milhares 23" xfId="121" xr:uid="{00000000-0005-0000-0000-0000D8000000}"/>
    <cellStyle name="Separador de milhares 24" xfId="122" xr:uid="{00000000-0005-0000-0000-0000D9000000}"/>
    <cellStyle name="Separador de milhares 25" xfId="123" xr:uid="{00000000-0005-0000-0000-0000DA000000}"/>
    <cellStyle name="Separador de milhares 26" xfId="124" xr:uid="{00000000-0005-0000-0000-0000DB000000}"/>
    <cellStyle name="Separador de milhares 27" xfId="125" xr:uid="{00000000-0005-0000-0000-0000DC000000}"/>
    <cellStyle name="Separador de milhares 28" xfId="126" xr:uid="{00000000-0005-0000-0000-0000DD000000}"/>
    <cellStyle name="Separador de milhares 29" xfId="127" xr:uid="{00000000-0005-0000-0000-0000DE000000}"/>
    <cellStyle name="Separador de milhares 3" xfId="128" xr:uid="{00000000-0005-0000-0000-0000DF000000}"/>
    <cellStyle name="Separador de milhares 3 2" xfId="129" xr:uid="{00000000-0005-0000-0000-0000E0000000}"/>
    <cellStyle name="Separador de milhares 3 3" xfId="130" xr:uid="{00000000-0005-0000-0000-0000E1000000}"/>
    <cellStyle name="Separador de milhares 3_ok orç" xfId="131" xr:uid="{00000000-0005-0000-0000-0000E2000000}"/>
    <cellStyle name="Separador de milhares 30" xfId="132" xr:uid="{00000000-0005-0000-0000-0000E3000000}"/>
    <cellStyle name="Separador de milhares 31" xfId="133" xr:uid="{00000000-0005-0000-0000-0000E4000000}"/>
    <cellStyle name="Separador de milhares 32" xfId="134" xr:uid="{00000000-0005-0000-0000-0000E5000000}"/>
    <cellStyle name="Separador de milhares 33" xfId="135" xr:uid="{00000000-0005-0000-0000-0000E6000000}"/>
    <cellStyle name="Separador de milhares 34" xfId="136" xr:uid="{00000000-0005-0000-0000-0000E7000000}"/>
    <cellStyle name="Separador de milhares 35" xfId="137" xr:uid="{00000000-0005-0000-0000-0000E8000000}"/>
    <cellStyle name="Separador de milhares 36" xfId="138" xr:uid="{00000000-0005-0000-0000-0000E9000000}"/>
    <cellStyle name="Separador de milhares 37" xfId="139" xr:uid="{00000000-0005-0000-0000-0000EA000000}"/>
    <cellStyle name="Separador de milhares 38" xfId="140" xr:uid="{00000000-0005-0000-0000-0000EB000000}"/>
    <cellStyle name="Separador de milhares 39" xfId="141" xr:uid="{00000000-0005-0000-0000-0000EC000000}"/>
    <cellStyle name="Separador de milhares 4" xfId="142" xr:uid="{00000000-0005-0000-0000-0000ED000000}"/>
    <cellStyle name="Separador de milhares 40" xfId="143" xr:uid="{00000000-0005-0000-0000-0000EE000000}"/>
    <cellStyle name="Separador de milhares 41" xfId="144" xr:uid="{00000000-0005-0000-0000-0000EF000000}"/>
    <cellStyle name="Separador de milhares 42" xfId="145" xr:uid="{00000000-0005-0000-0000-0000F0000000}"/>
    <cellStyle name="Separador de milhares 43" xfId="146" xr:uid="{00000000-0005-0000-0000-0000F1000000}"/>
    <cellStyle name="Separador de milhares 44" xfId="147" xr:uid="{00000000-0005-0000-0000-0000F2000000}"/>
    <cellStyle name="Separador de milhares 45" xfId="148" xr:uid="{00000000-0005-0000-0000-0000F3000000}"/>
    <cellStyle name="Separador de milhares 46" xfId="149" xr:uid="{00000000-0005-0000-0000-0000F4000000}"/>
    <cellStyle name="Separador de milhares 47" xfId="150" xr:uid="{00000000-0005-0000-0000-0000F5000000}"/>
    <cellStyle name="Separador de milhares 48" xfId="151" xr:uid="{00000000-0005-0000-0000-0000F6000000}"/>
    <cellStyle name="Separador de milhares 49" xfId="152" xr:uid="{00000000-0005-0000-0000-0000F7000000}"/>
    <cellStyle name="Separador de milhares 5" xfId="153" xr:uid="{00000000-0005-0000-0000-0000F8000000}"/>
    <cellStyle name="Separador de milhares 5 2" xfId="154" xr:uid="{00000000-0005-0000-0000-0000F9000000}"/>
    <cellStyle name="Separador de milhares 5 3" xfId="155" xr:uid="{00000000-0005-0000-0000-0000FA000000}"/>
    <cellStyle name="Separador de milhares 5 4" xfId="156" xr:uid="{00000000-0005-0000-0000-0000FB000000}"/>
    <cellStyle name="Separador de milhares 6" xfId="157" xr:uid="{00000000-0005-0000-0000-0000FC000000}"/>
    <cellStyle name="Separador de milhares 7" xfId="158" xr:uid="{00000000-0005-0000-0000-0000FD000000}"/>
    <cellStyle name="Separador de milhares 8" xfId="159" xr:uid="{00000000-0005-0000-0000-0000FE000000}"/>
    <cellStyle name="Separador de milhares 9" xfId="160" xr:uid="{00000000-0005-0000-0000-0000FF000000}"/>
    <cellStyle name="TableStyleLight1" xfId="161" xr:uid="{00000000-0005-0000-0000-000000010000}"/>
    <cellStyle name="TableStyleLight1 2" xfId="162" xr:uid="{00000000-0005-0000-0000-000001010000}"/>
    <cellStyle name="Texto de Aviso 2" xfId="163" xr:uid="{00000000-0005-0000-0000-000002010000}"/>
    <cellStyle name="Texto Explicativo 2" xfId="164" xr:uid="{00000000-0005-0000-0000-000003010000}"/>
    <cellStyle name="Title 2" xfId="290" xr:uid="{00000000-0005-0000-0000-000004010000}"/>
    <cellStyle name="Title 3" xfId="291" xr:uid="{00000000-0005-0000-0000-000005010000}"/>
    <cellStyle name="Título 1 1" xfId="165" xr:uid="{00000000-0005-0000-0000-000006010000}"/>
    <cellStyle name="Título 1 1 1" xfId="166" xr:uid="{00000000-0005-0000-0000-000007010000}"/>
    <cellStyle name="Título 1 1 1 1" xfId="167" xr:uid="{00000000-0005-0000-0000-000008010000}"/>
    <cellStyle name="Título 1 1 1 1 1" xfId="168" xr:uid="{00000000-0005-0000-0000-000009010000}"/>
    <cellStyle name="Título 1 1 1 1 1 1" xfId="169" xr:uid="{00000000-0005-0000-0000-00000A010000}"/>
    <cellStyle name="Título 1 1 1 1 1 1 1" xfId="170" xr:uid="{00000000-0005-0000-0000-00000B010000}"/>
    <cellStyle name="Título 1 1 1 1 1 1 1 1" xfId="171" xr:uid="{00000000-0005-0000-0000-00000C010000}"/>
    <cellStyle name="Título 1 1 1 1 1 1 1 1 1" xfId="172" xr:uid="{00000000-0005-0000-0000-00000D010000}"/>
    <cellStyle name="Título 1 1 1 1 1 1 1 1 1 1" xfId="173" xr:uid="{00000000-0005-0000-0000-00000E010000}"/>
    <cellStyle name="Título 1 1 1 1 1 1 1 1 1 1 1" xfId="174" xr:uid="{00000000-0005-0000-0000-00000F010000}"/>
    <cellStyle name="Título 1 1 1 1 1 1 1 1 1 1 1 1" xfId="175" xr:uid="{00000000-0005-0000-0000-000010010000}"/>
    <cellStyle name="Título 1 1 1 1 1 1 1 1 1 1 1 1 1" xfId="176" xr:uid="{00000000-0005-0000-0000-000011010000}"/>
    <cellStyle name="Título 1 1 1 1 1 1 1 1 1 1 1 1 1 1" xfId="177" xr:uid="{00000000-0005-0000-0000-000012010000}"/>
    <cellStyle name="Título 1 1 1 1 1 1 1 1 1 1 1 1 1 1 1" xfId="178" xr:uid="{00000000-0005-0000-0000-000013010000}"/>
    <cellStyle name="Título 1 1 1 1 1 1 1 1 1 1 1 1 1 1 1 1" xfId="179" xr:uid="{00000000-0005-0000-0000-000014010000}"/>
    <cellStyle name="Título 1 1 1 1 1 1 1 1 1 1 1 1 1 1 1 1 1" xfId="180" xr:uid="{00000000-0005-0000-0000-000015010000}"/>
    <cellStyle name="Título 1 1 1 1 1 1 1 1 1 1 1 1 1 1 1 1 1 1" xfId="181" xr:uid="{00000000-0005-0000-0000-000016010000}"/>
    <cellStyle name="Título 1 1 1 1 1 1 1 1 1 1 1 1 1 1 1 1 1 1 1" xfId="182" xr:uid="{00000000-0005-0000-0000-000017010000}"/>
    <cellStyle name="Título 1 1 1 1 1 1 1 1 1 1 1 1 1 1 1 1 1 1 1 1" xfId="183" xr:uid="{00000000-0005-0000-0000-000018010000}"/>
    <cellStyle name="Título 1 1_ok orç" xfId="184" xr:uid="{00000000-0005-0000-0000-000019010000}"/>
    <cellStyle name="Título 1 2" xfId="185" xr:uid="{00000000-0005-0000-0000-00001A010000}"/>
    <cellStyle name="Título 2 2" xfId="186" xr:uid="{00000000-0005-0000-0000-00001B010000}"/>
    <cellStyle name="Título 3 2" xfId="187" xr:uid="{00000000-0005-0000-0000-00001C010000}"/>
    <cellStyle name="Título 4 2" xfId="188" xr:uid="{00000000-0005-0000-0000-00001D010000}"/>
    <cellStyle name="Título 5" xfId="189" xr:uid="{00000000-0005-0000-0000-00001E010000}"/>
    <cellStyle name="Título 5 2" xfId="190" xr:uid="{00000000-0005-0000-0000-00001F010000}"/>
    <cellStyle name="Título 6" xfId="191" xr:uid="{00000000-0005-0000-0000-000020010000}"/>
    <cellStyle name="Título 7" xfId="192" xr:uid="{00000000-0005-0000-0000-000021010000}"/>
    <cellStyle name="Título 8" xfId="193" xr:uid="{00000000-0005-0000-0000-000022010000}"/>
    <cellStyle name="Total 2" xfId="194" xr:uid="{00000000-0005-0000-0000-000023010000}"/>
    <cellStyle name="Vírgula" xfId="211" builtinId="3"/>
    <cellStyle name="Vírgula 2" xfId="11" xr:uid="{00000000-0005-0000-0000-000024010000}"/>
    <cellStyle name="Vírgula 2 2" xfId="195" xr:uid="{00000000-0005-0000-0000-000025010000}"/>
    <cellStyle name="Vírgula 2 2 4" xfId="298" xr:uid="{00000000-0005-0000-0000-000026010000}"/>
    <cellStyle name="Vírgula 3" xfId="2" xr:uid="{00000000-0005-0000-0000-000027010000}"/>
    <cellStyle name="Vírgula 3 2" xfId="206" xr:uid="{00000000-0005-0000-0000-000028010000}"/>
    <cellStyle name="Vírgula 3 3" xfId="210" xr:uid="{00000000-0005-0000-0000-000029010000}"/>
    <cellStyle name="Vírgula 4" xfId="196" xr:uid="{00000000-0005-0000-0000-00002A010000}"/>
    <cellStyle name="Vírgula 5" xfId="197" xr:uid="{00000000-0005-0000-0000-00002B010000}"/>
    <cellStyle name="Vírgula 6" xfId="198" xr:uid="{00000000-0005-0000-0000-00002C010000}"/>
    <cellStyle name="Warning Text 2" xfId="292" xr:uid="{00000000-0005-0000-0000-00002D010000}"/>
    <cellStyle name="Warning Text 3" xfId="293" xr:uid="{00000000-0005-0000-0000-00002E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7489031" cy="1064081"/>
    <xdr:pic>
      <xdr:nvPicPr>
        <xdr:cNvPr id="2" name="Picture 1" descr="https://oorcamentista.com.br/wp-content/uploads/2018/02/formula-bdi.jpg">
          <a:extLst>
            <a:ext uri="{FF2B5EF4-FFF2-40B4-BE49-F238E27FC236}">
              <a16:creationId xmlns:a16="http://schemas.microsoft.com/office/drawing/2014/main" id="{392F9340-C38B-4612-BC33-A8E585CF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359"/>
        <a:stretch>
          <a:fillRect/>
        </a:stretch>
      </xdr:blipFill>
      <xdr:spPr bwMode="auto">
        <a:xfrm>
          <a:off x="381000" y="11549063"/>
          <a:ext cx="7489031" cy="1064081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NGENHARIA/DEPARTAMENTO%20DE%20ENGENHARIA/Equipe%20T&#233;cnica/ESTAGI&#193;RIOS/Ronaldo/OR&#199;AMENTO%20TJ-PICOS-2018-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ClaudioFerreira\Excel\OR96088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ente/AppData/Local/Microsoft/Windows/Temporary%20Internet%20Files/Content.IE5/RA6RDOWS/Composi&#231;&#245;es%20instala&#231;&#245;es%20EMAI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uel/Desktop/OR&#199;AMENTOS/EJUD/OR&#199;AMENTO%20EJUD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&#244;nica/AppData/Local/Microsoft/Windows/Temporary%20Internet%20Files/Content.IE5/57YLY3LQ/Or&#231;amento_Beneditinos_Atualizad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%20DE%20ENGENHARIA/Documentos/Projeto%20B&#225;sico/2017/Projeto%20B&#225;sico%20-%20Reforma%20Estrutural%20S&#227;o%20Raimundo%20Nonato/Or&#231;.%20Reforma%20Estrutural%20SRN-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ANT&#193;RIA%20E%20PLUVIAIS/SANIT&#193;RIA/DOCUME~1/ANA~1.LIM/CONFIG~1/Temp/WINDOWS/Desktop/Meus%20Patr&#245;es/RG%20CONSTRU&#199;&#213;ES/SAA/Teresina-Planilha-Or&#231;amento-Serv%20Redes%20Aba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%20DE%20ENGENHARIA/Documentos/Projeto%20B&#225;sico/2016/Projeto%20B&#225;sico%20-%20Reforma%20do%20F&#243;rum%20de%20Barras/Or&#231;amento%20Reforma%20de%20Barras%20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iel\c\Meus%20documentos\UFPI\COMPOSI&#199;&#195;O%20LOJAS%209%20CV-30%2001-07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posi&#231;&#245;es%20civil(qs%20ok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du-corre&#231;&#227;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uel/Desktop/ORC_TJPI_CORREGEDORIA_A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Orçamento"/>
      <sheetName val="Resumo"/>
      <sheetName val="Cronograma (1º)"/>
      <sheetName val="Cronograma"/>
      <sheetName val="LSO"/>
      <sheetName val="BDI"/>
      <sheetName val="IA"/>
      <sheetName val="CM"/>
      <sheetName val="Composições"/>
      <sheetName val="M_deCálculo"/>
      <sheetName val="Res_M_deCálculo"/>
      <sheetName val="DistPolos"/>
      <sheetName val="Insumos"/>
      <sheetName val="S-I-02-18"/>
      <sheetName val="S-C-02-18"/>
      <sheetName val="O-I-01-18"/>
      <sheetName val="O-C-01-18"/>
      <sheetName val="BDI (MATERIAL)"/>
    </sheetNames>
    <sheetDataSet>
      <sheetData sheetId="0">
        <row r="15">
          <cell r="B15" t="str">
            <v>PICOS</v>
          </cell>
        </row>
      </sheetData>
      <sheetData sheetId="1">
        <row r="722">
          <cell r="F722">
            <v>8608831.5500000007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H15">
            <v>46.42</v>
          </cell>
        </row>
        <row r="16">
          <cell r="H16">
            <v>15.3</v>
          </cell>
        </row>
        <row r="18">
          <cell r="H18">
            <v>13.48</v>
          </cell>
        </row>
        <row r="19">
          <cell r="H19">
            <v>10.119999999999999</v>
          </cell>
        </row>
        <row r="20">
          <cell r="H20">
            <v>16.440000000000001</v>
          </cell>
        </row>
        <row r="24">
          <cell r="H24">
            <v>7.08</v>
          </cell>
        </row>
        <row r="25">
          <cell r="H25">
            <v>11.09</v>
          </cell>
        </row>
        <row r="26">
          <cell r="H26">
            <v>4.99</v>
          </cell>
        </row>
        <row r="27">
          <cell r="H27">
            <v>4.95</v>
          </cell>
        </row>
        <row r="28">
          <cell r="H28">
            <v>6.5</v>
          </cell>
        </row>
        <row r="29">
          <cell r="H29">
            <v>8.31</v>
          </cell>
        </row>
        <row r="33">
          <cell r="H33">
            <v>4.8499999999999996</v>
          </cell>
        </row>
        <row r="44">
          <cell r="H44">
            <v>46.19</v>
          </cell>
        </row>
        <row r="45">
          <cell r="H45">
            <v>46.19</v>
          </cell>
        </row>
        <row r="46">
          <cell r="H46">
            <v>0.13</v>
          </cell>
        </row>
        <row r="48">
          <cell r="H48">
            <v>0.46</v>
          </cell>
        </row>
        <row r="51">
          <cell r="H51">
            <v>86.25</v>
          </cell>
        </row>
        <row r="52">
          <cell r="H52">
            <v>5</v>
          </cell>
        </row>
        <row r="55">
          <cell r="H55">
            <v>1.6</v>
          </cell>
        </row>
        <row r="56">
          <cell r="H56">
            <v>25.23</v>
          </cell>
        </row>
        <row r="57">
          <cell r="H57">
            <v>61.1</v>
          </cell>
        </row>
        <row r="58">
          <cell r="H58">
            <v>0.06</v>
          </cell>
        </row>
        <row r="59">
          <cell r="H59">
            <v>8.4499999999999993</v>
          </cell>
        </row>
        <row r="67">
          <cell r="H67">
            <v>15</v>
          </cell>
        </row>
        <row r="73">
          <cell r="H73">
            <v>12.94</v>
          </cell>
        </row>
        <row r="77">
          <cell r="H77">
            <v>121.14</v>
          </cell>
        </row>
        <row r="78">
          <cell r="H78">
            <v>35.14</v>
          </cell>
        </row>
        <row r="79">
          <cell r="H79">
            <v>60.09</v>
          </cell>
        </row>
        <row r="81">
          <cell r="H81">
            <v>7.82</v>
          </cell>
        </row>
        <row r="82">
          <cell r="H82">
            <v>27.25</v>
          </cell>
        </row>
        <row r="83">
          <cell r="H83" t="e">
            <v>#N/A</v>
          </cell>
        </row>
        <row r="86">
          <cell r="H86">
            <v>3.71</v>
          </cell>
        </row>
        <row r="87">
          <cell r="H87">
            <v>3.74</v>
          </cell>
        </row>
        <row r="88">
          <cell r="H88">
            <v>3.74</v>
          </cell>
        </row>
        <row r="89">
          <cell r="H89">
            <v>3.74</v>
          </cell>
        </row>
        <row r="90">
          <cell r="H90">
            <v>4.42</v>
          </cell>
        </row>
        <row r="91">
          <cell r="H91">
            <v>3.76</v>
          </cell>
        </row>
        <row r="93">
          <cell r="H93">
            <v>3.58</v>
          </cell>
        </row>
        <row r="94">
          <cell r="H94">
            <v>3.73</v>
          </cell>
        </row>
        <row r="95">
          <cell r="H95">
            <v>3.73</v>
          </cell>
        </row>
        <row r="97">
          <cell r="H97">
            <v>11.24</v>
          </cell>
        </row>
        <row r="98">
          <cell r="H98">
            <v>12.7</v>
          </cell>
        </row>
        <row r="99">
          <cell r="H99">
            <v>13</v>
          </cell>
        </row>
        <row r="100">
          <cell r="H100">
            <v>0.65</v>
          </cell>
        </row>
        <row r="101">
          <cell r="H101">
            <v>8.73</v>
          </cell>
        </row>
        <row r="103">
          <cell r="H103">
            <v>33.94</v>
          </cell>
        </row>
        <row r="104">
          <cell r="H104">
            <v>9.4700000000000006</v>
          </cell>
        </row>
        <row r="105">
          <cell r="H105">
            <v>11.97</v>
          </cell>
        </row>
        <row r="106">
          <cell r="H106">
            <v>16.149999999999999</v>
          </cell>
        </row>
        <row r="107">
          <cell r="H107">
            <v>22.41</v>
          </cell>
        </row>
        <row r="111">
          <cell r="H111">
            <v>62.7</v>
          </cell>
        </row>
        <row r="112">
          <cell r="H112">
            <v>86.35</v>
          </cell>
        </row>
        <row r="113">
          <cell r="H113">
            <v>129.29</v>
          </cell>
        </row>
        <row r="114">
          <cell r="H114">
            <v>140.21</v>
          </cell>
        </row>
        <row r="115">
          <cell r="H115">
            <v>13.17</v>
          </cell>
        </row>
        <row r="116">
          <cell r="H116">
            <v>16.86</v>
          </cell>
        </row>
        <row r="117">
          <cell r="H117">
            <v>20.83</v>
          </cell>
        </row>
        <row r="118">
          <cell r="H118">
            <v>26.04</v>
          </cell>
        </row>
        <row r="119">
          <cell r="H119">
            <v>36.26</v>
          </cell>
        </row>
        <row r="120">
          <cell r="H120">
            <v>44.63</v>
          </cell>
        </row>
        <row r="121">
          <cell r="H121">
            <v>27.38</v>
          </cell>
        </row>
        <row r="122">
          <cell r="H122">
            <v>81.16</v>
          </cell>
        </row>
        <row r="123">
          <cell r="H123">
            <v>133.91</v>
          </cell>
        </row>
        <row r="124">
          <cell r="H124">
            <v>58.09</v>
          </cell>
        </row>
        <row r="125">
          <cell r="H125">
            <v>10.52</v>
          </cell>
        </row>
        <row r="126">
          <cell r="H126">
            <v>47.43</v>
          </cell>
        </row>
        <row r="127">
          <cell r="H127">
            <v>18.16</v>
          </cell>
        </row>
        <row r="128">
          <cell r="H128">
            <v>14.6</v>
          </cell>
        </row>
        <row r="129">
          <cell r="H129">
            <v>149.9</v>
          </cell>
        </row>
        <row r="130">
          <cell r="H130">
            <v>215.86</v>
          </cell>
        </row>
        <row r="131">
          <cell r="H131">
            <v>149.07</v>
          </cell>
        </row>
        <row r="132">
          <cell r="H132">
            <v>99.38</v>
          </cell>
        </row>
        <row r="133">
          <cell r="H133">
            <v>8.26</v>
          </cell>
        </row>
        <row r="136">
          <cell r="H136">
            <v>5.28</v>
          </cell>
        </row>
        <row r="140">
          <cell r="H140">
            <v>4.47</v>
          </cell>
        </row>
        <row r="147">
          <cell r="H147">
            <v>5.56</v>
          </cell>
        </row>
        <row r="148">
          <cell r="H148">
            <v>5.34</v>
          </cell>
        </row>
        <row r="149">
          <cell r="H149">
            <v>5.18</v>
          </cell>
        </row>
        <row r="150">
          <cell r="H150">
            <v>5.65</v>
          </cell>
        </row>
        <row r="151">
          <cell r="H151">
            <v>5.43</v>
          </cell>
        </row>
        <row r="152">
          <cell r="H152">
            <v>111.18</v>
          </cell>
        </row>
        <row r="153">
          <cell r="H153">
            <v>127.7</v>
          </cell>
        </row>
        <row r="154">
          <cell r="H154">
            <v>149.9</v>
          </cell>
        </row>
        <row r="155">
          <cell r="H155">
            <v>173.5</v>
          </cell>
        </row>
        <row r="156">
          <cell r="H156">
            <v>260.25</v>
          </cell>
        </row>
        <row r="157">
          <cell r="H157">
            <v>4.4800000000000004</v>
          </cell>
        </row>
        <row r="158">
          <cell r="H158">
            <v>4.3099999999999996</v>
          </cell>
        </row>
        <row r="159">
          <cell r="H159">
            <v>4.3499999999999996</v>
          </cell>
        </row>
        <row r="160">
          <cell r="H160">
            <v>4.3099999999999996</v>
          </cell>
        </row>
        <row r="161">
          <cell r="H161">
            <v>4.29</v>
          </cell>
        </row>
        <row r="162">
          <cell r="H162">
            <v>4.3099999999999996</v>
          </cell>
        </row>
        <row r="163">
          <cell r="H163">
            <v>4.3099999999999996</v>
          </cell>
        </row>
        <row r="164">
          <cell r="H164">
            <v>4.3099999999999996</v>
          </cell>
        </row>
        <row r="165">
          <cell r="H165">
            <v>5.51</v>
          </cell>
        </row>
        <row r="166">
          <cell r="H166">
            <v>5.01</v>
          </cell>
        </row>
        <row r="167">
          <cell r="H167">
            <v>5.0599999999999996</v>
          </cell>
        </row>
        <row r="168">
          <cell r="H168">
            <v>5.0599999999999996</v>
          </cell>
        </row>
        <row r="169">
          <cell r="H169">
            <v>5.0599999999999996</v>
          </cell>
        </row>
        <row r="170">
          <cell r="H170">
            <v>5.0599999999999996</v>
          </cell>
        </row>
        <row r="171">
          <cell r="H171">
            <v>121.63</v>
          </cell>
        </row>
        <row r="172">
          <cell r="H172">
            <v>5.18</v>
          </cell>
        </row>
        <row r="173">
          <cell r="H173">
            <v>12.97</v>
          </cell>
        </row>
        <row r="174">
          <cell r="H174">
            <v>24.7</v>
          </cell>
        </row>
        <row r="177">
          <cell r="H177">
            <v>61.66</v>
          </cell>
        </row>
        <row r="178">
          <cell r="H178">
            <v>27.36</v>
          </cell>
        </row>
        <row r="179">
          <cell r="H179">
            <v>30.4</v>
          </cell>
        </row>
        <row r="181">
          <cell r="H181">
            <v>24.2</v>
          </cell>
        </row>
        <row r="182">
          <cell r="H182">
            <v>30.25</v>
          </cell>
        </row>
        <row r="184">
          <cell r="H184">
            <v>26.62</v>
          </cell>
        </row>
        <row r="185">
          <cell r="H185">
            <v>31.25</v>
          </cell>
        </row>
        <row r="187">
          <cell r="H187">
            <v>50.8</v>
          </cell>
        </row>
        <row r="195">
          <cell r="H195">
            <v>0.9</v>
          </cell>
        </row>
        <row r="196">
          <cell r="H196">
            <v>1.37</v>
          </cell>
        </row>
        <row r="197">
          <cell r="H197">
            <v>1.19</v>
          </cell>
        </row>
        <row r="199">
          <cell r="H199">
            <v>16.07</v>
          </cell>
        </row>
        <row r="200">
          <cell r="H200">
            <v>56.79</v>
          </cell>
        </row>
        <row r="201">
          <cell r="H201">
            <v>42.11</v>
          </cell>
        </row>
        <row r="202">
          <cell r="H202">
            <v>42.24</v>
          </cell>
        </row>
        <row r="203">
          <cell r="H203">
            <v>5.98</v>
          </cell>
        </row>
        <row r="209">
          <cell r="H209">
            <v>23.03</v>
          </cell>
        </row>
        <row r="210">
          <cell r="H210">
            <v>10</v>
          </cell>
        </row>
        <row r="211">
          <cell r="H211">
            <v>11</v>
          </cell>
        </row>
        <row r="213">
          <cell r="H213">
            <v>1.33</v>
          </cell>
        </row>
        <row r="214">
          <cell r="H214">
            <v>15</v>
          </cell>
        </row>
        <row r="215">
          <cell r="H215">
            <v>3130</v>
          </cell>
        </row>
        <row r="216">
          <cell r="H216">
            <v>1440</v>
          </cell>
        </row>
        <row r="217">
          <cell r="H217">
            <v>1964.62</v>
          </cell>
        </row>
        <row r="222">
          <cell r="H222">
            <v>87.56</v>
          </cell>
        </row>
        <row r="223">
          <cell r="H223">
            <v>75.05</v>
          </cell>
        </row>
        <row r="224">
          <cell r="H224">
            <v>64.900000000000006</v>
          </cell>
        </row>
        <row r="225">
          <cell r="H225">
            <v>37</v>
          </cell>
        </row>
        <row r="226">
          <cell r="H226">
            <v>243.11</v>
          </cell>
        </row>
        <row r="227">
          <cell r="H227">
            <v>5.08</v>
          </cell>
        </row>
        <row r="228">
          <cell r="H228">
            <v>30</v>
          </cell>
        </row>
        <row r="229">
          <cell r="H229">
            <v>23</v>
          </cell>
        </row>
        <row r="230">
          <cell r="H230">
            <v>24</v>
          </cell>
        </row>
        <row r="231">
          <cell r="H231">
            <v>25</v>
          </cell>
        </row>
        <row r="232">
          <cell r="H232">
            <v>23.85</v>
          </cell>
        </row>
        <row r="233">
          <cell r="H233">
            <v>4.5</v>
          </cell>
        </row>
        <row r="234">
          <cell r="H234">
            <v>45.88</v>
          </cell>
        </row>
        <row r="235">
          <cell r="H235">
            <v>50.47</v>
          </cell>
        </row>
        <row r="244">
          <cell r="H244">
            <v>284.23</v>
          </cell>
        </row>
        <row r="246">
          <cell r="H246">
            <v>154.94999999999999</v>
          </cell>
        </row>
        <row r="250">
          <cell r="H250">
            <v>436.7525615986018</v>
          </cell>
        </row>
        <row r="251">
          <cell r="H251">
            <v>436.2169546182356</v>
          </cell>
        </row>
        <row r="252">
          <cell r="H252">
            <v>219.58535533932752</v>
          </cell>
        </row>
        <row r="261">
          <cell r="H261">
            <v>28.49</v>
          </cell>
        </row>
        <row r="263">
          <cell r="H263">
            <v>52.77</v>
          </cell>
        </row>
        <row r="275">
          <cell r="H275">
            <v>22.22</v>
          </cell>
        </row>
        <row r="277">
          <cell r="H277">
            <v>20.7</v>
          </cell>
        </row>
        <row r="278">
          <cell r="H278">
            <v>41</v>
          </cell>
        </row>
        <row r="279">
          <cell r="H279">
            <v>146.5</v>
          </cell>
        </row>
        <row r="280">
          <cell r="H280">
            <v>45</v>
          </cell>
        </row>
        <row r="282">
          <cell r="H282">
            <v>36.81</v>
          </cell>
        </row>
        <row r="283">
          <cell r="H283">
            <v>19.309999999999999</v>
          </cell>
        </row>
        <row r="286">
          <cell r="H286">
            <v>198.9</v>
          </cell>
        </row>
        <row r="287">
          <cell r="H287">
            <v>8.42</v>
          </cell>
        </row>
        <row r="288">
          <cell r="H288">
            <v>5.22</v>
          </cell>
        </row>
        <row r="289">
          <cell r="H289">
            <v>19.37</v>
          </cell>
        </row>
        <row r="290">
          <cell r="H290">
            <v>16</v>
          </cell>
        </row>
        <row r="292">
          <cell r="H292">
            <v>30</v>
          </cell>
        </row>
        <row r="293">
          <cell r="H293">
            <v>2.52</v>
          </cell>
        </row>
        <row r="294">
          <cell r="H294">
            <v>7.98</v>
          </cell>
        </row>
        <row r="296">
          <cell r="H296">
            <v>1012</v>
          </cell>
        </row>
        <row r="297">
          <cell r="H297">
            <v>472.16</v>
          </cell>
        </row>
        <row r="298">
          <cell r="H298">
            <v>31</v>
          </cell>
        </row>
        <row r="301">
          <cell r="H301">
            <v>2.44</v>
          </cell>
        </row>
        <row r="302">
          <cell r="H302">
            <v>23.42</v>
          </cell>
        </row>
        <row r="303">
          <cell r="H303">
            <v>23.91</v>
          </cell>
        </row>
        <row r="304">
          <cell r="H304">
            <v>24.4</v>
          </cell>
        </row>
        <row r="305">
          <cell r="H305">
            <v>24.89</v>
          </cell>
        </row>
        <row r="306">
          <cell r="H306">
            <v>15.62</v>
          </cell>
        </row>
        <row r="307">
          <cell r="H307">
            <v>16.59</v>
          </cell>
        </row>
        <row r="308">
          <cell r="H308">
            <v>18.059999999999999</v>
          </cell>
        </row>
        <row r="309">
          <cell r="H309">
            <v>3.17</v>
          </cell>
        </row>
        <row r="310">
          <cell r="H310">
            <v>30.43</v>
          </cell>
        </row>
        <row r="311">
          <cell r="H311">
            <v>31.07</v>
          </cell>
        </row>
        <row r="312">
          <cell r="H312">
            <v>31.7</v>
          </cell>
        </row>
        <row r="313">
          <cell r="H313">
            <v>32.33</v>
          </cell>
        </row>
        <row r="314">
          <cell r="H314">
            <v>20.29</v>
          </cell>
        </row>
        <row r="315">
          <cell r="H315">
            <v>21.56</v>
          </cell>
        </row>
        <row r="316">
          <cell r="H316">
            <v>23.46</v>
          </cell>
        </row>
        <row r="321">
          <cell r="H321">
            <v>69.400000000000006</v>
          </cell>
        </row>
        <row r="322">
          <cell r="H322">
            <v>82.15</v>
          </cell>
        </row>
        <row r="323">
          <cell r="H323">
            <v>87.81</v>
          </cell>
        </row>
        <row r="327">
          <cell r="H327">
            <v>46.36</v>
          </cell>
        </row>
        <row r="328">
          <cell r="H328">
            <v>85.3</v>
          </cell>
        </row>
        <row r="330">
          <cell r="H330">
            <v>1.26</v>
          </cell>
        </row>
        <row r="331">
          <cell r="H331">
            <v>6.08</v>
          </cell>
        </row>
        <row r="334">
          <cell r="H334">
            <v>0.03</v>
          </cell>
        </row>
        <row r="338">
          <cell r="H338">
            <v>0.36</v>
          </cell>
        </row>
        <row r="339">
          <cell r="H339">
            <v>7.0000000000000007E-2</v>
          </cell>
        </row>
        <row r="340">
          <cell r="H340">
            <v>0.36</v>
          </cell>
        </row>
        <row r="341">
          <cell r="H341">
            <v>1.17</v>
          </cell>
        </row>
        <row r="342">
          <cell r="H342">
            <v>0.6</v>
          </cell>
        </row>
        <row r="343">
          <cell r="H343">
            <v>0.15</v>
          </cell>
        </row>
        <row r="344">
          <cell r="H344">
            <v>0.37</v>
          </cell>
        </row>
        <row r="345">
          <cell r="H345">
            <v>0.85</v>
          </cell>
        </row>
        <row r="348">
          <cell r="H348">
            <v>0.49</v>
          </cell>
        </row>
        <row r="349">
          <cell r="H349">
            <v>0.16</v>
          </cell>
        </row>
        <row r="351">
          <cell r="H351">
            <v>8.64</v>
          </cell>
        </row>
        <row r="352">
          <cell r="H352">
            <v>8.5</v>
          </cell>
        </row>
        <row r="353">
          <cell r="H353">
            <v>9.57</v>
          </cell>
        </row>
        <row r="354">
          <cell r="H354">
            <v>8.64</v>
          </cell>
        </row>
        <row r="355">
          <cell r="H355">
            <v>0.03</v>
          </cell>
        </row>
        <row r="356">
          <cell r="H356">
            <v>0.04</v>
          </cell>
        </row>
        <row r="357">
          <cell r="H357">
            <v>0.06</v>
          </cell>
        </row>
        <row r="358">
          <cell r="H358">
            <v>0.11</v>
          </cell>
        </row>
        <row r="361">
          <cell r="H361">
            <v>0.11</v>
          </cell>
        </row>
        <row r="362">
          <cell r="H362">
            <v>0.84</v>
          </cell>
        </row>
        <row r="365">
          <cell r="H365">
            <v>141.6</v>
          </cell>
        </row>
        <row r="366">
          <cell r="H366">
            <v>316.39</v>
          </cell>
        </row>
        <row r="368">
          <cell r="H368">
            <v>278.77999999999997</v>
          </cell>
        </row>
        <row r="369">
          <cell r="H369">
            <v>325.24</v>
          </cell>
        </row>
        <row r="370">
          <cell r="H370">
            <v>371.7</v>
          </cell>
        </row>
        <row r="371">
          <cell r="H371">
            <v>404.22</v>
          </cell>
        </row>
        <row r="372">
          <cell r="H372">
            <v>418.16</v>
          </cell>
        </row>
        <row r="373">
          <cell r="H373">
            <v>464.63</v>
          </cell>
        </row>
        <row r="378">
          <cell r="H378">
            <v>434.42</v>
          </cell>
        </row>
        <row r="379">
          <cell r="H379">
            <v>851.15</v>
          </cell>
        </row>
        <row r="380">
          <cell r="H380">
            <v>957.54</v>
          </cell>
        </row>
        <row r="381">
          <cell r="H381">
            <v>612.29999999999995</v>
          </cell>
        </row>
        <row r="382">
          <cell r="H382">
            <v>117.72</v>
          </cell>
        </row>
        <row r="386">
          <cell r="H386">
            <v>489.91</v>
          </cell>
        </row>
        <row r="387">
          <cell r="H387">
            <v>800.19</v>
          </cell>
        </row>
        <row r="388">
          <cell r="H388">
            <v>558.26</v>
          </cell>
        </row>
        <row r="389">
          <cell r="H389">
            <v>3429.39</v>
          </cell>
        </row>
        <row r="390">
          <cell r="H390">
            <v>1916.1</v>
          </cell>
        </row>
        <row r="391">
          <cell r="H391">
            <v>2874.15</v>
          </cell>
        </row>
        <row r="393">
          <cell r="H393">
            <v>5715.64</v>
          </cell>
        </row>
        <row r="394">
          <cell r="H394">
            <v>5443.47</v>
          </cell>
        </row>
        <row r="395">
          <cell r="H395">
            <v>2177.39</v>
          </cell>
        </row>
        <row r="396">
          <cell r="H396">
            <v>592.55999999999995</v>
          </cell>
        </row>
        <row r="397">
          <cell r="H397">
            <v>452.91</v>
          </cell>
        </row>
        <row r="401">
          <cell r="H401">
            <v>99.09</v>
          </cell>
        </row>
        <row r="402">
          <cell r="H402">
            <v>107.81</v>
          </cell>
        </row>
        <row r="403">
          <cell r="H403">
            <v>113.94</v>
          </cell>
        </row>
        <row r="404">
          <cell r="H404">
            <v>140.22999999999999</v>
          </cell>
        </row>
        <row r="406">
          <cell r="H406">
            <v>72.83</v>
          </cell>
        </row>
        <row r="409">
          <cell r="H409">
            <v>157.31</v>
          </cell>
        </row>
        <row r="415">
          <cell r="H415">
            <v>227.23</v>
          </cell>
        </row>
        <row r="416">
          <cell r="H416">
            <v>262.19</v>
          </cell>
        </row>
        <row r="418">
          <cell r="H418">
            <v>192.23</v>
          </cell>
        </row>
        <row r="421">
          <cell r="H421">
            <v>92.27</v>
          </cell>
        </row>
        <row r="423">
          <cell r="H423">
            <v>184.54</v>
          </cell>
        </row>
        <row r="427">
          <cell r="H427">
            <v>291.32</v>
          </cell>
        </row>
        <row r="428">
          <cell r="H428">
            <v>436.98</v>
          </cell>
        </row>
        <row r="429">
          <cell r="H429">
            <v>364.15</v>
          </cell>
        </row>
        <row r="430">
          <cell r="H430">
            <v>291.32</v>
          </cell>
        </row>
        <row r="431">
          <cell r="H431">
            <v>314.63</v>
          </cell>
        </row>
        <row r="432">
          <cell r="H432">
            <v>218.49</v>
          </cell>
        </row>
        <row r="433">
          <cell r="H433">
            <v>174.79</v>
          </cell>
        </row>
        <row r="434">
          <cell r="H434">
            <v>145.66</v>
          </cell>
        </row>
        <row r="435">
          <cell r="H435">
            <v>139.83000000000001</v>
          </cell>
        </row>
        <row r="436">
          <cell r="H436">
            <v>116.53</v>
          </cell>
        </row>
        <row r="437">
          <cell r="H437">
            <v>72.83</v>
          </cell>
        </row>
        <row r="438">
          <cell r="H438">
            <v>43.7</v>
          </cell>
        </row>
        <row r="439">
          <cell r="H439">
            <v>52.44</v>
          </cell>
        </row>
        <row r="444">
          <cell r="H444">
            <v>406.71</v>
          </cell>
        </row>
        <row r="445">
          <cell r="H445">
            <v>364.81</v>
          </cell>
        </row>
        <row r="448">
          <cell r="H448">
            <v>1006.79</v>
          </cell>
        </row>
        <row r="449">
          <cell r="H449">
            <v>823.73</v>
          </cell>
        </row>
        <row r="450">
          <cell r="H450">
            <v>1963.23</v>
          </cell>
        </row>
        <row r="451">
          <cell r="H451">
            <v>1812.21</v>
          </cell>
        </row>
        <row r="452">
          <cell r="H452">
            <v>1560.52</v>
          </cell>
        </row>
        <row r="458">
          <cell r="H458">
            <v>325.35000000000002</v>
          </cell>
        </row>
        <row r="459">
          <cell r="H459">
            <v>384.5</v>
          </cell>
        </row>
        <row r="460">
          <cell r="H460">
            <v>517.97</v>
          </cell>
        </row>
        <row r="462">
          <cell r="H462">
            <v>6875</v>
          </cell>
        </row>
        <row r="466">
          <cell r="H466">
            <v>1400</v>
          </cell>
        </row>
        <row r="467">
          <cell r="H467">
            <v>1600</v>
          </cell>
        </row>
        <row r="468">
          <cell r="H468">
            <v>2000</v>
          </cell>
        </row>
        <row r="469">
          <cell r="H469">
            <v>2400</v>
          </cell>
        </row>
        <row r="470">
          <cell r="H470">
            <v>309.89</v>
          </cell>
        </row>
        <row r="471">
          <cell r="H471">
            <v>92.97</v>
          </cell>
        </row>
        <row r="476">
          <cell r="H476">
            <v>92.7</v>
          </cell>
        </row>
        <row r="478">
          <cell r="H478">
            <v>136.9</v>
          </cell>
        </row>
        <row r="479">
          <cell r="H479">
            <v>182.54</v>
          </cell>
        </row>
        <row r="480">
          <cell r="H480">
            <v>205.36</v>
          </cell>
        </row>
        <row r="481">
          <cell r="H481">
            <v>179.69</v>
          </cell>
        </row>
        <row r="485">
          <cell r="H485">
            <v>224.6</v>
          </cell>
        </row>
        <row r="486">
          <cell r="H486">
            <v>399.3</v>
          </cell>
        </row>
        <row r="487">
          <cell r="H487">
            <v>449.22</v>
          </cell>
        </row>
        <row r="488">
          <cell r="H488">
            <v>499.13</v>
          </cell>
        </row>
        <row r="511">
          <cell r="H511">
            <v>295.83999999999997</v>
          </cell>
        </row>
        <row r="512">
          <cell r="H512">
            <v>882.84</v>
          </cell>
        </row>
        <row r="518">
          <cell r="H518">
            <v>19.54</v>
          </cell>
        </row>
        <row r="520">
          <cell r="H520">
            <v>35</v>
          </cell>
        </row>
        <row r="521">
          <cell r="H521">
            <v>52.97</v>
          </cell>
        </row>
        <row r="522">
          <cell r="H522">
            <v>28.3</v>
          </cell>
        </row>
        <row r="527">
          <cell r="H527">
            <v>12.49</v>
          </cell>
        </row>
        <row r="528">
          <cell r="H528">
            <v>42.38</v>
          </cell>
        </row>
        <row r="529">
          <cell r="H529">
            <v>21.45</v>
          </cell>
        </row>
        <row r="530">
          <cell r="H530">
            <v>17.100000000000001</v>
          </cell>
        </row>
        <row r="531">
          <cell r="H531">
            <v>1.92</v>
          </cell>
        </row>
        <row r="532">
          <cell r="H532">
            <v>21.2</v>
          </cell>
        </row>
        <row r="533">
          <cell r="H533">
            <v>21.2</v>
          </cell>
        </row>
        <row r="534">
          <cell r="H534">
            <v>18.7</v>
          </cell>
        </row>
        <row r="537">
          <cell r="H537">
            <v>247.16</v>
          </cell>
        </row>
        <row r="538">
          <cell r="H538">
            <v>494.33</v>
          </cell>
        </row>
        <row r="541">
          <cell r="H541">
            <v>3.18</v>
          </cell>
        </row>
        <row r="543">
          <cell r="H543">
            <v>2.19</v>
          </cell>
        </row>
        <row r="546">
          <cell r="H546">
            <v>5.43</v>
          </cell>
        </row>
        <row r="551">
          <cell r="H551">
            <v>151.80000000000001</v>
          </cell>
        </row>
        <row r="552">
          <cell r="H552">
            <v>69</v>
          </cell>
        </row>
        <row r="555">
          <cell r="H555">
            <v>1802.79</v>
          </cell>
        </row>
        <row r="556">
          <cell r="H556">
            <v>1286.54</v>
          </cell>
        </row>
        <row r="557">
          <cell r="H557">
            <v>1054.67</v>
          </cell>
        </row>
        <row r="565">
          <cell r="H565">
            <v>66.240000000000009</v>
          </cell>
        </row>
        <row r="566">
          <cell r="H566">
            <v>37.17</v>
          </cell>
        </row>
        <row r="567">
          <cell r="H567">
            <v>29.07</v>
          </cell>
        </row>
        <row r="569">
          <cell r="H569">
            <v>79.66</v>
          </cell>
        </row>
        <row r="570">
          <cell r="H570">
            <v>156.66999999999999</v>
          </cell>
        </row>
        <row r="571">
          <cell r="H571">
            <v>12.77</v>
          </cell>
        </row>
        <row r="572">
          <cell r="H572">
            <v>34.94</v>
          </cell>
        </row>
        <row r="573">
          <cell r="H573">
            <v>73.02</v>
          </cell>
        </row>
        <row r="575">
          <cell r="H575">
            <v>2.69</v>
          </cell>
        </row>
        <row r="582">
          <cell r="H582">
            <v>73.14</v>
          </cell>
        </row>
        <row r="586">
          <cell r="H586">
            <v>41.55</v>
          </cell>
        </row>
        <row r="587">
          <cell r="H587">
            <v>12.31</v>
          </cell>
        </row>
        <row r="590">
          <cell r="H590">
            <v>36.159999999999997</v>
          </cell>
        </row>
        <row r="591">
          <cell r="H591">
            <v>33.83</v>
          </cell>
        </row>
        <row r="592">
          <cell r="H592">
            <v>33.83</v>
          </cell>
        </row>
        <row r="593">
          <cell r="H593">
            <v>136.83000000000001</v>
          </cell>
        </row>
        <row r="594">
          <cell r="H594">
            <v>45.74</v>
          </cell>
        </row>
        <row r="601">
          <cell r="H601">
            <v>723.51</v>
          </cell>
        </row>
        <row r="602">
          <cell r="H602">
            <v>59.03</v>
          </cell>
        </row>
        <row r="603">
          <cell r="H603">
            <v>37.29</v>
          </cell>
        </row>
        <row r="609">
          <cell r="H609">
            <v>32.9</v>
          </cell>
        </row>
        <row r="611">
          <cell r="H611">
            <v>16.57</v>
          </cell>
        </row>
        <row r="621">
          <cell r="H621">
            <v>7.31</v>
          </cell>
        </row>
        <row r="635">
          <cell r="H635">
            <v>15.43</v>
          </cell>
        </row>
        <row r="640">
          <cell r="H640">
            <v>10.67</v>
          </cell>
        </row>
        <row r="641">
          <cell r="H641">
            <v>11.85</v>
          </cell>
        </row>
        <row r="642">
          <cell r="H642">
            <v>1.84</v>
          </cell>
        </row>
        <row r="644">
          <cell r="H644">
            <v>3.91</v>
          </cell>
        </row>
        <row r="646">
          <cell r="H646">
            <v>152.21</v>
          </cell>
        </row>
        <row r="647">
          <cell r="H647">
            <v>133.1</v>
          </cell>
        </row>
        <row r="648">
          <cell r="H648">
            <v>14.77</v>
          </cell>
        </row>
        <row r="649">
          <cell r="H649">
            <v>16</v>
          </cell>
        </row>
        <row r="650">
          <cell r="H650">
            <v>17.23</v>
          </cell>
        </row>
        <row r="651">
          <cell r="H651">
            <v>19.3</v>
          </cell>
        </row>
        <row r="655">
          <cell r="H655">
            <v>1.1000000000000001</v>
          </cell>
        </row>
        <row r="656">
          <cell r="H656">
            <v>93.63</v>
          </cell>
        </row>
        <row r="657">
          <cell r="H657">
            <v>93.63</v>
          </cell>
        </row>
        <row r="659">
          <cell r="H659">
            <v>66.45</v>
          </cell>
        </row>
        <row r="660">
          <cell r="H660">
            <v>66.45</v>
          </cell>
        </row>
        <row r="661">
          <cell r="H661">
            <v>66.45</v>
          </cell>
        </row>
        <row r="662">
          <cell r="H662">
            <v>66.45</v>
          </cell>
        </row>
        <row r="663">
          <cell r="H663">
            <v>66.45</v>
          </cell>
        </row>
        <row r="669">
          <cell r="H669">
            <v>4.01</v>
          </cell>
        </row>
        <row r="670">
          <cell r="H670">
            <v>4.4800000000000004</v>
          </cell>
        </row>
        <row r="671">
          <cell r="H671">
            <v>5.27</v>
          </cell>
        </row>
        <row r="672">
          <cell r="H672">
            <v>9.17</v>
          </cell>
        </row>
        <row r="673">
          <cell r="H673">
            <v>0.68</v>
          </cell>
        </row>
        <row r="675">
          <cell r="H675">
            <v>3</v>
          </cell>
        </row>
        <row r="676">
          <cell r="H676">
            <v>4.0599999999999996</v>
          </cell>
        </row>
        <row r="677">
          <cell r="H677">
            <v>5.12</v>
          </cell>
        </row>
        <row r="678">
          <cell r="H678">
            <v>7.9</v>
          </cell>
        </row>
        <row r="679">
          <cell r="H679">
            <v>2.31</v>
          </cell>
        </row>
        <row r="680">
          <cell r="H680">
            <v>3.85</v>
          </cell>
        </row>
        <row r="681">
          <cell r="H681">
            <v>7.7</v>
          </cell>
        </row>
        <row r="682">
          <cell r="H682">
            <v>11.89</v>
          </cell>
        </row>
        <row r="683">
          <cell r="H683">
            <v>16.43</v>
          </cell>
        </row>
        <row r="684">
          <cell r="H684">
            <v>22.88</v>
          </cell>
        </row>
        <row r="685">
          <cell r="H685">
            <v>1.56</v>
          </cell>
        </row>
        <row r="687">
          <cell r="H687">
            <v>0.77</v>
          </cell>
        </row>
        <row r="694">
          <cell r="H694">
            <v>9.1199999999999992</v>
          </cell>
        </row>
        <row r="695">
          <cell r="H695">
            <v>10.84</v>
          </cell>
        </row>
        <row r="696">
          <cell r="H696">
            <v>27.38</v>
          </cell>
        </row>
        <row r="697">
          <cell r="H697">
            <v>0.84</v>
          </cell>
        </row>
        <row r="698">
          <cell r="H698">
            <v>1</v>
          </cell>
        </row>
        <row r="699">
          <cell r="H699">
            <v>1.08</v>
          </cell>
        </row>
        <row r="700">
          <cell r="H700">
            <v>1.86</v>
          </cell>
        </row>
        <row r="701">
          <cell r="H701">
            <v>0.96</v>
          </cell>
        </row>
        <row r="702">
          <cell r="H702">
            <v>1.2</v>
          </cell>
        </row>
        <row r="703">
          <cell r="H703">
            <v>1.86</v>
          </cell>
        </row>
        <row r="704">
          <cell r="H704">
            <v>2.59</v>
          </cell>
        </row>
        <row r="705">
          <cell r="H705">
            <v>3.37</v>
          </cell>
        </row>
        <row r="706">
          <cell r="H706">
            <v>1.8</v>
          </cell>
        </row>
        <row r="707">
          <cell r="H707">
            <v>1.82</v>
          </cell>
        </row>
        <row r="708">
          <cell r="H708">
            <v>2.76</v>
          </cell>
        </row>
        <row r="709">
          <cell r="H709">
            <v>3.11</v>
          </cell>
        </row>
        <row r="710">
          <cell r="H710">
            <v>3.77</v>
          </cell>
        </row>
        <row r="718">
          <cell r="H718">
            <v>0.25</v>
          </cell>
        </row>
        <row r="721">
          <cell r="H721">
            <v>1.1200000000000001</v>
          </cell>
        </row>
        <row r="722">
          <cell r="H722">
            <v>27.18</v>
          </cell>
        </row>
        <row r="723">
          <cell r="H723">
            <v>36.630000000000003</v>
          </cell>
        </row>
        <row r="726">
          <cell r="H726">
            <v>2.35</v>
          </cell>
        </row>
        <row r="727">
          <cell r="H727">
            <v>3.59</v>
          </cell>
        </row>
        <row r="728">
          <cell r="H728">
            <v>4.8</v>
          </cell>
        </row>
        <row r="729">
          <cell r="H729">
            <v>6.01</v>
          </cell>
        </row>
        <row r="730">
          <cell r="H730">
            <v>36.630000000000003</v>
          </cell>
        </row>
        <row r="731">
          <cell r="H731">
            <v>36.630000000000003</v>
          </cell>
        </row>
        <row r="732">
          <cell r="H732">
            <v>36.630000000000003</v>
          </cell>
        </row>
        <row r="733">
          <cell r="H733">
            <v>36.630000000000003</v>
          </cell>
        </row>
        <row r="737">
          <cell r="H737">
            <v>2250</v>
          </cell>
        </row>
        <row r="741">
          <cell r="H741">
            <v>3623</v>
          </cell>
        </row>
        <row r="746">
          <cell r="H746">
            <v>1800</v>
          </cell>
        </row>
        <row r="747">
          <cell r="H747">
            <v>1990</v>
          </cell>
        </row>
        <row r="748">
          <cell r="H748">
            <v>3123</v>
          </cell>
        </row>
        <row r="749">
          <cell r="H749">
            <v>450</v>
          </cell>
        </row>
        <row r="750">
          <cell r="H750">
            <v>500</v>
          </cell>
        </row>
        <row r="751">
          <cell r="H751">
            <v>450</v>
          </cell>
        </row>
        <row r="752">
          <cell r="H752">
            <v>500</v>
          </cell>
        </row>
        <row r="753">
          <cell r="H753">
            <v>610.44000000000005</v>
          </cell>
        </row>
        <row r="754">
          <cell r="H754">
            <v>1819</v>
          </cell>
        </row>
        <row r="756">
          <cell r="H756">
            <v>53.02</v>
          </cell>
        </row>
        <row r="757">
          <cell r="H757">
            <v>200</v>
          </cell>
        </row>
        <row r="759">
          <cell r="H759">
            <v>1.7</v>
          </cell>
        </row>
        <row r="761">
          <cell r="H761">
            <v>8.91</v>
          </cell>
        </row>
        <row r="762">
          <cell r="H762">
            <v>14.85</v>
          </cell>
        </row>
        <row r="763">
          <cell r="H763">
            <v>355.24</v>
          </cell>
        </row>
        <row r="764">
          <cell r="H764">
            <v>674.93</v>
          </cell>
        </row>
        <row r="765">
          <cell r="H765">
            <v>5409.49</v>
          </cell>
        </row>
        <row r="766">
          <cell r="H766">
            <v>724.85</v>
          </cell>
        </row>
        <row r="767">
          <cell r="H767">
            <v>1553.17</v>
          </cell>
        </row>
        <row r="768">
          <cell r="H768">
            <v>319.72000000000003</v>
          </cell>
        </row>
        <row r="769">
          <cell r="H769">
            <v>68.400000000000006</v>
          </cell>
        </row>
        <row r="772">
          <cell r="H772">
            <v>561.38</v>
          </cell>
        </row>
        <row r="776">
          <cell r="H776">
            <v>2325</v>
          </cell>
        </row>
        <row r="777">
          <cell r="H777">
            <v>5118</v>
          </cell>
        </row>
        <row r="778">
          <cell r="H778">
            <v>5971</v>
          </cell>
        </row>
        <row r="793">
          <cell r="H793">
            <v>16.38</v>
          </cell>
        </row>
        <row r="794">
          <cell r="H794">
            <v>1.05</v>
          </cell>
        </row>
        <row r="795">
          <cell r="H795">
            <v>1.85</v>
          </cell>
        </row>
        <row r="796">
          <cell r="H796">
            <v>3.58</v>
          </cell>
        </row>
        <row r="797">
          <cell r="H797">
            <v>4.37</v>
          </cell>
        </row>
        <row r="799">
          <cell r="H799">
            <v>0.48</v>
          </cell>
        </row>
        <row r="800">
          <cell r="H800">
            <v>1.24</v>
          </cell>
        </row>
        <row r="801">
          <cell r="H801">
            <v>3.03</v>
          </cell>
        </row>
        <row r="802">
          <cell r="H802">
            <v>3.37</v>
          </cell>
        </row>
        <row r="803">
          <cell r="H803">
            <v>5.52</v>
          </cell>
        </row>
        <row r="804">
          <cell r="H804">
            <v>6.04</v>
          </cell>
        </row>
        <row r="806">
          <cell r="H806">
            <v>0.8</v>
          </cell>
        </row>
        <row r="807">
          <cell r="H807">
            <v>1.99</v>
          </cell>
        </row>
        <row r="808">
          <cell r="H808">
            <v>5.15</v>
          </cell>
        </row>
        <row r="809">
          <cell r="H809">
            <v>5.82</v>
          </cell>
        </row>
        <row r="810">
          <cell r="H810">
            <v>0.37</v>
          </cell>
        </row>
        <row r="811">
          <cell r="H811">
            <v>1.59</v>
          </cell>
        </row>
        <row r="812">
          <cell r="H812">
            <v>0.71</v>
          </cell>
        </row>
        <row r="813">
          <cell r="H813">
            <v>2.33</v>
          </cell>
        </row>
        <row r="814">
          <cell r="H814">
            <v>2.57</v>
          </cell>
        </row>
        <row r="815">
          <cell r="H815">
            <v>1.5</v>
          </cell>
        </row>
        <row r="816">
          <cell r="H816">
            <v>2.75</v>
          </cell>
        </row>
        <row r="817">
          <cell r="H817">
            <v>3.37</v>
          </cell>
        </row>
        <row r="818">
          <cell r="H818">
            <v>3.68</v>
          </cell>
        </row>
        <row r="819">
          <cell r="H819">
            <v>2.65</v>
          </cell>
        </row>
        <row r="821">
          <cell r="H821">
            <v>12.46</v>
          </cell>
        </row>
        <row r="822">
          <cell r="H822">
            <v>4.3</v>
          </cell>
        </row>
        <row r="823">
          <cell r="H823">
            <v>75.63</v>
          </cell>
        </row>
        <row r="824">
          <cell r="H824">
            <v>83.19</v>
          </cell>
        </row>
        <row r="825">
          <cell r="H825">
            <v>30.93</v>
          </cell>
        </row>
        <row r="826">
          <cell r="H826">
            <v>1.97</v>
          </cell>
        </row>
        <row r="827">
          <cell r="H827">
            <v>29</v>
          </cell>
        </row>
        <row r="828">
          <cell r="H828">
            <v>46.22</v>
          </cell>
        </row>
        <row r="829">
          <cell r="H829">
            <v>46.22</v>
          </cell>
        </row>
        <row r="830">
          <cell r="H830">
            <v>47.46</v>
          </cell>
        </row>
        <row r="831">
          <cell r="H831">
            <v>14.49</v>
          </cell>
        </row>
        <row r="832">
          <cell r="H832">
            <v>93.19</v>
          </cell>
        </row>
        <row r="833">
          <cell r="H833">
            <v>54.91</v>
          </cell>
        </row>
        <row r="834">
          <cell r="H834">
            <v>244.5</v>
          </cell>
        </row>
        <row r="838">
          <cell r="H838">
            <v>75.53</v>
          </cell>
        </row>
        <row r="839">
          <cell r="H839">
            <v>11.18</v>
          </cell>
        </row>
        <row r="840">
          <cell r="H840">
            <v>12.28</v>
          </cell>
        </row>
        <row r="841">
          <cell r="H841">
            <v>16.63</v>
          </cell>
        </row>
        <row r="842">
          <cell r="H842">
            <v>26.93</v>
          </cell>
        </row>
        <row r="843">
          <cell r="H843">
            <v>35.9</v>
          </cell>
        </row>
        <row r="844">
          <cell r="H844">
            <v>44.69</v>
          </cell>
        </row>
        <row r="845">
          <cell r="H845">
            <v>7.7900000000000009</v>
          </cell>
        </row>
        <row r="846">
          <cell r="H846">
            <v>3.65</v>
          </cell>
        </row>
        <row r="847">
          <cell r="H847">
            <v>16.599999999999998</v>
          </cell>
        </row>
        <row r="848">
          <cell r="H848">
            <v>17.59</v>
          </cell>
        </row>
        <row r="850">
          <cell r="H850">
            <v>39.550000000000004</v>
          </cell>
        </row>
        <row r="851">
          <cell r="H851">
            <v>50.13</v>
          </cell>
        </row>
        <row r="852">
          <cell r="H852">
            <v>75.42</v>
          </cell>
        </row>
        <row r="853">
          <cell r="H853">
            <v>12.07</v>
          </cell>
        </row>
        <row r="854">
          <cell r="H854">
            <v>14.35</v>
          </cell>
        </row>
        <row r="855">
          <cell r="H855">
            <v>37.550000000000004</v>
          </cell>
        </row>
        <row r="856">
          <cell r="H856">
            <v>38.92</v>
          </cell>
        </row>
        <row r="857">
          <cell r="H857">
            <v>36.520000000000003</v>
          </cell>
        </row>
        <row r="858">
          <cell r="H858">
            <v>41.2</v>
          </cell>
        </row>
        <row r="859">
          <cell r="H859">
            <v>51.32</v>
          </cell>
        </row>
        <row r="860">
          <cell r="H860">
            <v>72.36</v>
          </cell>
        </row>
        <row r="861">
          <cell r="H861">
            <v>76.8</v>
          </cell>
        </row>
        <row r="862">
          <cell r="H862">
            <v>0.53</v>
          </cell>
        </row>
        <row r="863">
          <cell r="H863">
            <v>0.6</v>
          </cell>
        </row>
        <row r="864">
          <cell r="H864">
            <v>1.18</v>
          </cell>
        </row>
        <row r="865">
          <cell r="H865">
            <v>2.14</v>
          </cell>
        </row>
        <row r="866">
          <cell r="H866">
            <v>2.8</v>
          </cell>
        </row>
        <row r="867">
          <cell r="H867">
            <v>6.7</v>
          </cell>
        </row>
        <row r="868">
          <cell r="H868">
            <v>10.88</v>
          </cell>
        </row>
        <row r="869">
          <cell r="H869">
            <v>0.78</v>
          </cell>
        </row>
        <row r="873">
          <cell r="H873" t="e">
            <v>#N/A</v>
          </cell>
        </row>
        <row r="874">
          <cell r="H874">
            <v>4.92</v>
          </cell>
        </row>
        <row r="877">
          <cell r="H877">
            <v>136.54</v>
          </cell>
        </row>
        <row r="878">
          <cell r="H878">
            <v>195.3</v>
          </cell>
        </row>
        <row r="879">
          <cell r="H879">
            <v>268.41000000000003</v>
          </cell>
        </row>
        <row r="881">
          <cell r="H881">
            <v>7.35</v>
          </cell>
        </row>
        <row r="882">
          <cell r="H882">
            <v>9.51</v>
          </cell>
        </row>
        <row r="883">
          <cell r="H883">
            <v>11.97</v>
          </cell>
        </row>
        <row r="885">
          <cell r="H885">
            <v>22.4</v>
          </cell>
        </row>
        <row r="886">
          <cell r="H886">
            <v>27.24</v>
          </cell>
        </row>
        <row r="887">
          <cell r="H887">
            <v>660.27</v>
          </cell>
        </row>
        <row r="888">
          <cell r="H888">
            <v>1173.81</v>
          </cell>
        </row>
        <row r="889">
          <cell r="H889">
            <v>12.58</v>
          </cell>
        </row>
        <row r="891">
          <cell r="H891">
            <v>87.13</v>
          </cell>
        </row>
        <row r="892">
          <cell r="H892">
            <v>34.270000000000003</v>
          </cell>
        </row>
        <row r="893">
          <cell r="H893">
            <v>5.3</v>
          </cell>
        </row>
        <row r="894">
          <cell r="H894">
            <v>6.36</v>
          </cell>
        </row>
        <row r="895">
          <cell r="H895">
            <v>0.56999999999999995</v>
          </cell>
        </row>
        <row r="896">
          <cell r="H896">
            <v>0.84</v>
          </cell>
        </row>
        <row r="899">
          <cell r="H899">
            <v>1489.09</v>
          </cell>
        </row>
        <row r="900">
          <cell r="H900">
            <v>1414.6</v>
          </cell>
        </row>
        <row r="901">
          <cell r="H901">
            <v>422.79</v>
          </cell>
        </row>
        <row r="902">
          <cell r="H902">
            <v>600</v>
          </cell>
        </row>
        <row r="904">
          <cell r="H904">
            <v>231</v>
          </cell>
        </row>
        <row r="905">
          <cell r="H905">
            <v>5.42</v>
          </cell>
        </row>
        <row r="906">
          <cell r="H906">
            <v>7.28</v>
          </cell>
        </row>
        <row r="907">
          <cell r="H907">
            <v>5.71</v>
          </cell>
        </row>
        <row r="908">
          <cell r="H908">
            <v>57.2</v>
          </cell>
        </row>
        <row r="909">
          <cell r="H909">
            <v>25.36</v>
          </cell>
        </row>
        <row r="910">
          <cell r="H910">
            <v>43.99</v>
          </cell>
        </row>
        <row r="911">
          <cell r="H911">
            <v>18.09</v>
          </cell>
        </row>
        <row r="912">
          <cell r="H912">
            <v>12.82</v>
          </cell>
        </row>
        <row r="913">
          <cell r="H913">
            <v>6.64</v>
          </cell>
        </row>
        <row r="914">
          <cell r="H914">
            <v>84.17</v>
          </cell>
        </row>
        <row r="915">
          <cell r="H915">
            <v>56.11</v>
          </cell>
        </row>
        <row r="916">
          <cell r="H916">
            <v>14.49</v>
          </cell>
        </row>
        <row r="917">
          <cell r="H917">
            <v>96.46</v>
          </cell>
        </row>
        <row r="918">
          <cell r="H918">
            <v>9.68</v>
          </cell>
        </row>
        <row r="919">
          <cell r="H919">
            <v>3.98</v>
          </cell>
        </row>
        <row r="920">
          <cell r="H920">
            <v>191.31</v>
          </cell>
        </row>
        <row r="921">
          <cell r="H921">
            <v>364.41</v>
          </cell>
        </row>
        <row r="922">
          <cell r="H922">
            <v>516</v>
          </cell>
        </row>
        <row r="923">
          <cell r="H923">
            <v>645</v>
          </cell>
        </row>
        <row r="926">
          <cell r="H926">
            <v>138.82</v>
          </cell>
        </row>
        <row r="927">
          <cell r="H927">
            <v>87.73</v>
          </cell>
        </row>
        <row r="928">
          <cell r="H928">
            <v>50.61</v>
          </cell>
        </row>
        <row r="929">
          <cell r="H929">
            <v>16.36</v>
          </cell>
        </row>
        <row r="931">
          <cell r="H931">
            <v>6.07</v>
          </cell>
        </row>
        <row r="934">
          <cell r="H934">
            <v>30.92</v>
          </cell>
        </row>
        <row r="936">
          <cell r="H936">
            <v>14.57</v>
          </cell>
        </row>
        <row r="939">
          <cell r="H939">
            <v>14.82</v>
          </cell>
        </row>
        <row r="940">
          <cell r="H940">
            <v>4.9400000000000004</v>
          </cell>
        </row>
        <row r="941">
          <cell r="H941">
            <v>3.76</v>
          </cell>
        </row>
        <row r="942">
          <cell r="H942">
            <v>1.47</v>
          </cell>
        </row>
        <row r="943">
          <cell r="H943">
            <v>0.96</v>
          </cell>
        </row>
        <row r="944">
          <cell r="H944">
            <v>14.97</v>
          </cell>
        </row>
        <row r="945">
          <cell r="H945">
            <v>4.99</v>
          </cell>
        </row>
        <row r="946">
          <cell r="H946">
            <v>4.41</v>
          </cell>
        </row>
        <row r="947">
          <cell r="H947">
            <v>1.92</v>
          </cell>
        </row>
        <row r="948">
          <cell r="H948">
            <v>1.58</v>
          </cell>
        </row>
        <row r="949">
          <cell r="H949">
            <v>18.72</v>
          </cell>
        </row>
        <row r="951">
          <cell r="H951">
            <v>8.2200000000000006</v>
          </cell>
        </row>
        <row r="953">
          <cell r="H953">
            <v>8.6199999999999992</v>
          </cell>
        </row>
        <row r="957">
          <cell r="H957">
            <v>93.1</v>
          </cell>
        </row>
        <row r="958">
          <cell r="H958">
            <v>33.200000000000003</v>
          </cell>
        </row>
        <row r="959">
          <cell r="H959">
            <v>21.05</v>
          </cell>
        </row>
        <row r="960">
          <cell r="H960">
            <v>8.2899999999999991</v>
          </cell>
        </row>
        <row r="961">
          <cell r="H961">
            <v>5.51</v>
          </cell>
        </row>
        <row r="962">
          <cell r="H962">
            <v>5.25</v>
          </cell>
        </row>
        <row r="970">
          <cell r="H970">
            <v>6.48</v>
          </cell>
        </row>
        <row r="971">
          <cell r="H971">
            <v>8.6300000000000008</v>
          </cell>
        </row>
        <row r="972">
          <cell r="H972">
            <v>26.45</v>
          </cell>
        </row>
        <row r="976">
          <cell r="H976">
            <v>9</v>
          </cell>
        </row>
        <row r="977">
          <cell r="H977">
            <v>15.09</v>
          </cell>
        </row>
        <row r="979">
          <cell r="H979">
            <v>28.74</v>
          </cell>
        </row>
        <row r="980">
          <cell r="H980">
            <v>30.73</v>
          </cell>
        </row>
        <row r="981">
          <cell r="H981">
            <v>44.7</v>
          </cell>
        </row>
        <row r="982">
          <cell r="H982">
            <v>5.86</v>
          </cell>
        </row>
        <row r="983">
          <cell r="H983">
            <v>7.19</v>
          </cell>
        </row>
        <row r="984">
          <cell r="H984">
            <v>9.32</v>
          </cell>
        </row>
        <row r="985">
          <cell r="H985">
            <v>13.32</v>
          </cell>
        </row>
        <row r="986">
          <cell r="H986">
            <v>14.65</v>
          </cell>
        </row>
        <row r="987">
          <cell r="H987">
            <v>15.98</v>
          </cell>
        </row>
        <row r="988">
          <cell r="H988">
            <v>17.32</v>
          </cell>
        </row>
        <row r="991">
          <cell r="H991">
            <v>15.59</v>
          </cell>
        </row>
        <row r="992">
          <cell r="H992">
            <v>10.39</v>
          </cell>
        </row>
        <row r="993">
          <cell r="H993">
            <v>6.66</v>
          </cell>
        </row>
        <row r="994">
          <cell r="H994">
            <v>7.99</v>
          </cell>
        </row>
        <row r="995">
          <cell r="H995">
            <v>11.98</v>
          </cell>
        </row>
        <row r="996">
          <cell r="H996">
            <v>9.99</v>
          </cell>
        </row>
        <row r="998">
          <cell r="H998">
            <v>7.03</v>
          </cell>
        </row>
        <row r="999">
          <cell r="H999">
            <v>3.9943181818181821</v>
          </cell>
        </row>
        <row r="1000">
          <cell r="H1000">
            <v>5.24</v>
          </cell>
        </row>
        <row r="1001">
          <cell r="H1001">
            <v>4.6100000000000003</v>
          </cell>
        </row>
        <row r="1002">
          <cell r="H1002">
            <v>4.25</v>
          </cell>
        </row>
        <row r="1003">
          <cell r="H1003">
            <v>2.41</v>
          </cell>
        </row>
        <row r="1004">
          <cell r="H1004">
            <v>6.9</v>
          </cell>
        </row>
        <row r="1005">
          <cell r="H1005">
            <v>6.07</v>
          </cell>
        </row>
        <row r="1006">
          <cell r="H1006">
            <v>3.45</v>
          </cell>
        </row>
        <row r="1007">
          <cell r="H1007">
            <v>2.42</v>
          </cell>
        </row>
        <row r="1008">
          <cell r="H1008">
            <v>5.83</v>
          </cell>
        </row>
        <row r="1009">
          <cell r="H1009">
            <v>11.31</v>
          </cell>
        </row>
        <row r="1010">
          <cell r="H1010">
            <v>2.4300000000000002</v>
          </cell>
        </row>
        <row r="1011">
          <cell r="H1011">
            <v>3.36</v>
          </cell>
        </row>
        <row r="1012">
          <cell r="H1012">
            <v>3.36</v>
          </cell>
        </row>
        <row r="1013">
          <cell r="H1013">
            <v>6.75</v>
          </cell>
        </row>
        <row r="1014">
          <cell r="H1014">
            <v>9.57</v>
          </cell>
        </row>
        <row r="1015">
          <cell r="H1015">
            <v>9.57</v>
          </cell>
        </row>
        <row r="1016">
          <cell r="H1016">
            <v>8.3800000000000008</v>
          </cell>
        </row>
        <row r="1017">
          <cell r="H1017">
            <v>9.27</v>
          </cell>
        </row>
        <row r="1018">
          <cell r="H1018">
            <v>1.93</v>
          </cell>
        </row>
        <row r="1019">
          <cell r="H1019">
            <v>0.26</v>
          </cell>
        </row>
        <row r="1021">
          <cell r="H1021">
            <v>10.61</v>
          </cell>
        </row>
        <row r="1022">
          <cell r="H1022">
            <v>50.03</v>
          </cell>
        </row>
        <row r="1023">
          <cell r="H1023">
            <v>174.78</v>
          </cell>
        </row>
        <row r="1024">
          <cell r="H1024">
            <v>226.18</v>
          </cell>
        </row>
        <row r="1025">
          <cell r="H1025">
            <v>231.28</v>
          </cell>
        </row>
        <row r="1026">
          <cell r="H1026">
            <v>357.44</v>
          </cell>
        </row>
        <row r="1027">
          <cell r="H1027">
            <v>729.47</v>
          </cell>
        </row>
        <row r="1028">
          <cell r="H1028">
            <v>273.93</v>
          </cell>
        </row>
        <row r="1031">
          <cell r="H1031">
            <v>146.4</v>
          </cell>
        </row>
        <row r="1032">
          <cell r="H1032">
            <v>174.1</v>
          </cell>
        </row>
        <row r="1033">
          <cell r="H1033">
            <v>151.6</v>
          </cell>
        </row>
        <row r="1034">
          <cell r="H1034">
            <v>88.46</v>
          </cell>
        </row>
        <row r="1035">
          <cell r="H1035">
            <v>110.57</v>
          </cell>
        </row>
        <row r="1036">
          <cell r="H1036">
            <v>11.95</v>
          </cell>
        </row>
        <row r="1037">
          <cell r="H1037">
            <v>49.89</v>
          </cell>
        </row>
        <row r="1038">
          <cell r="H1038">
            <v>5.9</v>
          </cell>
        </row>
        <row r="1043">
          <cell r="H1043">
            <v>196.37</v>
          </cell>
        </row>
        <row r="1044">
          <cell r="H1044">
            <v>158.82</v>
          </cell>
        </row>
        <row r="1048">
          <cell r="H1048">
            <v>34.4</v>
          </cell>
        </row>
        <row r="1050">
          <cell r="H1050">
            <v>224.45</v>
          </cell>
        </row>
        <row r="1052">
          <cell r="H1052">
            <v>48.29</v>
          </cell>
        </row>
        <row r="1053">
          <cell r="H1053">
            <v>50.35</v>
          </cell>
        </row>
        <row r="1061">
          <cell r="H1061">
            <v>123.26</v>
          </cell>
        </row>
        <row r="1063">
          <cell r="H1063">
            <v>1440.9</v>
          </cell>
        </row>
        <row r="1064">
          <cell r="H1064">
            <v>1221.0999999999999</v>
          </cell>
        </row>
        <row r="1066">
          <cell r="H1066">
            <v>472.16</v>
          </cell>
        </row>
        <row r="1067">
          <cell r="H1067">
            <v>184.09</v>
          </cell>
        </row>
        <row r="1068">
          <cell r="H1068">
            <v>478.63</v>
          </cell>
        </row>
        <row r="1069">
          <cell r="H1069">
            <v>579.27</v>
          </cell>
        </row>
        <row r="1070">
          <cell r="H1070">
            <v>5.75</v>
          </cell>
        </row>
        <row r="1071">
          <cell r="H1071">
            <v>23</v>
          </cell>
        </row>
        <row r="1074">
          <cell r="H1074">
            <v>42.06</v>
          </cell>
        </row>
        <row r="1075">
          <cell r="H1075">
            <v>87.88</v>
          </cell>
        </row>
        <row r="1077">
          <cell r="H1077">
            <v>35.81</v>
          </cell>
        </row>
        <row r="1078">
          <cell r="H1078">
            <v>15.76</v>
          </cell>
        </row>
        <row r="1079">
          <cell r="H1079">
            <v>3.01</v>
          </cell>
        </row>
        <row r="1080">
          <cell r="H1080">
            <v>5.15</v>
          </cell>
        </row>
        <row r="1084">
          <cell r="H1084">
            <v>30.11</v>
          </cell>
        </row>
        <row r="1085">
          <cell r="H1085">
            <v>24.6</v>
          </cell>
        </row>
        <row r="1086">
          <cell r="H1086">
            <v>49.38</v>
          </cell>
        </row>
        <row r="1090">
          <cell r="H1090">
            <v>139.5</v>
          </cell>
        </row>
        <row r="1091">
          <cell r="H1091">
            <v>617.23</v>
          </cell>
        </row>
        <row r="1092">
          <cell r="H1092">
            <v>433.19</v>
          </cell>
        </row>
        <row r="1093">
          <cell r="H1093">
            <v>246.56</v>
          </cell>
        </row>
        <row r="1094">
          <cell r="H1094">
            <v>295.88</v>
          </cell>
        </row>
        <row r="1095">
          <cell r="H1095">
            <v>385.77</v>
          </cell>
        </row>
        <row r="1096">
          <cell r="H1096">
            <v>273.61</v>
          </cell>
        </row>
        <row r="1097">
          <cell r="H1097">
            <v>165.08</v>
          </cell>
        </row>
        <row r="1099">
          <cell r="H1099">
            <v>177.53</v>
          </cell>
        </row>
        <row r="1100">
          <cell r="H1100">
            <v>142.02000000000001</v>
          </cell>
        </row>
        <row r="1104">
          <cell r="H1104">
            <v>38.9</v>
          </cell>
        </row>
        <row r="1108">
          <cell r="H1108">
            <v>88.79</v>
          </cell>
        </row>
        <row r="1114">
          <cell r="H1114">
            <v>105.41</v>
          </cell>
        </row>
        <row r="1115">
          <cell r="H1115">
            <v>43.44</v>
          </cell>
        </row>
        <row r="1117">
          <cell r="H1117">
            <v>86.88</v>
          </cell>
        </row>
        <row r="1120">
          <cell r="H1120">
            <v>52.66</v>
          </cell>
        </row>
        <row r="1121">
          <cell r="H1121">
            <v>59.24</v>
          </cell>
        </row>
        <row r="1122">
          <cell r="H1122">
            <v>92.37</v>
          </cell>
        </row>
        <row r="1123">
          <cell r="H1123">
            <v>22.17</v>
          </cell>
        </row>
        <row r="1124">
          <cell r="H1124">
            <v>36.950000000000003</v>
          </cell>
        </row>
        <row r="1125">
          <cell r="H1125">
            <v>41.57</v>
          </cell>
        </row>
        <row r="1127">
          <cell r="H1127">
            <v>110.86</v>
          </cell>
        </row>
        <row r="1128">
          <cell r="H1128">
            <v>21</v>
          </cell>
        </row>
        <row r="1132">
          <cell r="H1132">
            <v>6.57</v>
          </cell>
        </row>
        <row r="1133">
          <cell r="H1133">
            <v>10.84</v>
          </cell>
        </row>
        <row r="1134">
          <cell r="H1134">
            <v>19</v>
          </cell>
        </row>
        <row r="1137">
          <cell r="H1137">
            <v>18.489999999999998</v>
          </cell>
        </row>
        <row r="1138">
          <cell r="H1138">
            <v>9.8699999999999992</v>
          </cell>
        </row>
        <row r="1140">
          <cell r="H1140">
            <v>3.9</v>
          </cell>
        </row>
        <row r="1141">
          <cell r="H1141">
            <v>3.62</v>
          </cell>
        </row>
        <row r="1143">
          <cell r="H1143">
            <v>10.09</v>
          </cell>
        </row>
        <row r="1146">
          <cell r="H1146">
            <v>8.41</v>
          </cell>
        </row>
        <row r="1147">
          <cell r="H1147">
            <v>5.04</v>
          </cell>
        </row>
        <row r="1148">
          <cell r="H1148">
            <v>11.77</v>
          </cell>
        </row>
        <row r="1149">
          <cell r="H1149">
            <v>36.9</v>
          </cell>
        </row>
        <row r="1150">
          <cell r="H1150">
            <v>36.69</v>
          </cell>
        </row>
        <row r="1152">
          <cell r="H1152">
            <v>34.11</v>
          </cell>
        </row>
        <row r="1153">
          <cell r="H1153">
            <v>38.25</v>
          </cell>
        </row>
        <row r="1154">
          <cell r="H1154">
            <v>47.81</v>
          </cell>
        </row>
        <row r="1157">
          <cell r="H1157">
            <v>31.95</v>
          </cell>
        </row>
        <row r="1158">
          <cell r="H1158">
            <v>30.71</v>
          </cell>
        </row>
        <row r="1159">
          <cell r="H1159">
            <v>10.59</v>
          </cell>
        </row>
        <row r="1161">
          <cell r="H1161">
            <v>11.98</v>
          </cell>
        </row>
        <row r="1171">
          <cell r="H1171">
            <v>15.03</v>
          </cell>
        </row>
        <row r="1174">
          <cell r="H1174">
            <v>22.1</v>
          </cell>
        </row>
        <row r="1175">
          <cell r="H1175">
            <v>24.32</v>
          </cell>
        </row>
        <row r="1176">
          <cell r="H1176">
            <v>44.74</v>
          </cell>
        </row>
        <row r="1177">
          <cell r="H1177">
            <v>53.69</v>
          </cell>
        </row>
        <row r="1178">
          <cell r="H1178">
            <v>50.96</v>
          </cell>
        </row>
        <row r="1182">
          <cell r="H1182">
            <v>2.0099999999999998</v>
          </cell>
        </row>
        <row r="1186">
          <cell r="H1186">
            <v>28.59</v>
          </cell>
        </row>
        <row r="1187">
          <cell r="H1187">
            <v>37.75</v>
          </cell>
        </row>
        <row r="1188">
          <cell r="H1188">
            <v>8.33</v>
          </cell>
        </row>
        <row r="1189">
          <cell r="H1189">
            <v>8.33</v>
          </cell>
        </row>
        <row r="1190">
          <cell r="H1190">
            <v>90.78</v>
          </cell>
        </row>
        <row r="1191">
          <cell r="H1191">
            <v>5.64</v>
          </cell>
        </row>
        <row r="1194">
          <cell r="H1194">
            <v>5.09</v>
          </cell>
        </row>
        <row r="1196">
          <cell r="H1196">
            <v>4.8899999999999997</v>
          </cell>
        </row>
        <row r="1198">
          <cell r="H1198">
            <v>26.2</v>
          </cell>
        </row>
        <row r="1199">
          <cell r="H1199">
            <v>35.880000000000003</v>
          </cell>
        </row>
        <row r="1200">
          <cell r="H1200">
            <v>10.63</v>
          </cell>
        </row>
        <row r="1205">
          <cell r="H1205">
            <v>184.33</v>
          </cell>
        </row>
        <row r="1207">
          <cell r="H1207">
            <v>72.91</v>
          </cell>
        </row>
        <row r="1209">
          <cell r="H1209">
            <v>87.49</v>
          </cell>
        </row>
        <row r="1218">
          <cell r="H1218">
            <v>3.1</v>
          </cell>
        </row>
        <row r="1219">
          <cell r="H1219">
            <v>3.15</v>
          </cell>
        </row>
        <row r="1221">
          <cell r="H1221">
            <v>3</v>
          </cell>
        </row>
        <row r="1222">
          <cell r="H1222">
            <v>12</v>
          </cell>
        </row>
        <row r="1223">
          <cell r="H1223">
            <v>8.57</v>
          </cell>
        </row>
        <row r="1224">
          <cell r="H1224">
            <v>8.57</v>
          </cell>
        </row>
        <row r="1225">
          <cell r="H1225">
            <v>63.79</v>
          </cell>
        </row>
        <row r="1229">
          <cell r="H1229">
            <v>2.2400000000000002</v>
          </cell>
        </row>
        <row r="1232">
          <cell r="H1232">
            <v>18.5</v>
          </cell>
        </row>
        <row r="1234">
          <cell r="H1234">
            <v>4.13</v>
          </cell>
        </row>
        <row r="1235">
          <cell r="H1235">
            <v>4.34</v>
          </cell>
        </row>
        <row r="1238">
          <cell r="H1238">
            <v>50</v>
          </cell>
        </row>
        <row r="1241">
          <cell r="H1241">
            <v>2431.71</v>
          </cell>
        </row>
        <row r="1242">
          <cell r="H1242">
            <v>747750</v>
          </cell>
        </row>
        <row r="1243">
          <cell r="H1243">
            <v>11971.23</v>
          </cell>
        </row>
        <row r="1246">
          <cell r="H1246">
            <v>182.47</v>
          </cell>
        </row>
        <row r="1247">
          <cell r="H1247">
            <v>1259.04</v>
          </cell>
        </row>
        <row r="1250">
          <cell r="H1250">
            <v>1.39</v>
          </cell>
        </row>
        <row r="1253">
          <cell r="H1253">
            <v>1450</v>
          </cell>
        </row>
        <row r="1254">
          <cell r="H1254">
            <v>4.45</v>
          </cell>
        </row>
        <row r="1258">
          <cell r="H1258">
            <v>2399.6999999999998</v>
          </cell>
        </row>
        <row r="1261">
          <cell r="H1261">
            <v>1015.3440000000001</v>
          </cell>
        </row>
        <row r="1262">
          <cell r="H1262">
            <v>1107.71</v>
          </cell>
        </row>
        <row r="1263">
          <cell r="H1263">
            <v>34.549999999999997</v>
          </cell>
        </row>
        <row r="1264">
          <cell r="H1264">
            <v>57.815999999999995</v>
          </cell>
        </row>
        <row r="1266">
          <cell r="H1266">
            <v>3952.8</v>
          </cell>
        </row>
        <row r="1268">
          <cell r="H1268">
            <v>2047.47</v>
          </cell>
        </row>
        <row r="1269">
          <cell r="H1269">
            <v>1349.62</v>
          </cell>
        </row>
        <row r="1270">
          <cell r="H1270">
            <v>1784.13</v>
          </cell>
        </row>
        <row r="1271">
          <cell r="H1271">
            <v>3620.93</v>
          </cell>
        </row>
        <row r="1272">
          <cell r="H1272">
            <v>2080.39</v>
          </cell>
        </row>
        <row r="1273">
          <cell r="H1273">
            <v>1626.12</v>
          </cell>
        </row>
        <row r="1274">
          <cell r="H1274">
            <v>3291.75</v>
          </cell>
        </row>
        <row r="1275">
          <cell r="H1275">
            <v>1554.9</v>
          </cell>
        </row>
        <row r="1276">
          <cell r="H1276">
            <v>3109.81</v>
          </cell>
        </row>
        <row r="1277">
          <cell r="H1277">
            <v>1881</v>
          </cell>
        </row>
        <row r="1278">
          <cell r="H1278">
            <v>2713.2</v>
          </cell>
        </row>
        <row r="1279">
          <cell r="H1279">
            <v>4580</v>
          </cell>
        </row>
        <row r="1280">
          <cell r="H1280">
            <v>4780</v>
          </cell>
        </row>
        <row r="1283">
          <cell r="H1283">
            <v>500</v>
          </cell>
        </row>
        <row r="1284">
          <cell r="H1284">
            <v>670</v>
          </cell>
        </row>
        <row r="1285">
          <cell r="H1285">
            <v>850</v>
          </cell>
        </row>
        <row r="1286">
          <cell r="H1286">
            <v>3500</v>
          </cell>
        </row>
        <row r="1287">
          <cell r="H1287">
            <v>450</v>
          </cell>
        </row>
        <row r="1288">
          <cell r="H1288">
            <v>420</v>
          </cell>
        </row>
        <row r="1289">
          <cell r="H1289">
            <v>300</v>
          </cell>
        </row>
        <row r="1290">
          <cell r="H1290">
            <v>895</v>
          </cell>
        </row>
        <row r="1291">
          <cell r="H1291">
            <v>500</v>
          </cell>
        </row>
        <row r="1294">
          <cell r="H1294">
            <v>30</v>
          </cell>
        </row>
        <row r="1295">
          <cell r="H1295">
            <v>187.2</v>
          </cell>
        </row>
        <row r="1296">
          <cell r="H1296">
            <v>25.27</v>
          </cell>
        </row>
        <row r="1297">
          <cell r="H1297">
            <v>70.2</v>
          </cell>
        </row>
        <row r="1298">
          <cell r="H1298">
            <v>98.45</v>
          </cell>
        </row>
        <row r="1299">
          <cell r="H1299">
            <v>273.45999999999998</v>
          </cell>
        </row>
        <row r="1300">
          <cell r="H1300">
            <v>82.04</v>
          </cell>
        </row>
        <row r="1301">
          <cell r="H1301">
            <v>65.63</v>
          </cell>
        </row>
        <row r="1305">
          <cell r="H1305">
            <v>200</v>
          </cell>
        </row>
        <row r="1306">
          <cell r="H1306">
            <v>800</v>
          </cell>
        </row>
        <row r="1307">
          <cell r="H1307">
            <v>1820</v>
          </cell>
        </row>
        <row r="1308">
          <cell r="H1308">
            <v>9.11</v>
          </cell>
        </row>
        <row r="1309">
          <cell r="H1309">
            <v>5.53</v>
          </cell>
        </row>
        <row r="1310">
          <cell r="H1310">
            <v>4.43</v>
          </cell>
        </row>
        <row r="1311">
          <cell r="H1311">
            <v>21.76</v>
          </cell>
        </row>
        <row r="1312">
          <cell r="H1312">
            <v>16</v>
          </cell>
        </row>
        <row r="1313">
          <cell r="H1313">
            <v>498.34</v>
          </cell>
        </row>
        <row r="1314">
          <cell r="H1314">
            <v>355.3</v>
          </cell>
        </row>
        <row r="1315">
          <cell r="H1315">
            <v>313.5</v>
          </cell>
        </row>
        <row r="1316">
          <cell r="H1316">
            <v>295.49</v>
          </cell>
        </row>
        <row r="1317">
          <cell r="H1317">
            <v>171</v>
          </cell>
        </row>
        <row r="1318">
          <cell r="H1318">
            <v>222.73</v>
          </cell>
        </row>
        <row r="1319">
          <cell r="H1319">
            <v>221</v>
          </cell>
        </row>
        <row r="1322">
          <cell r="H1322">
            <v>0.08</v>
          </cell>
        </row>
        <row r="1327">
          <cell r="H1327">
            <v>1.36</v>
          </cell>
        </row>
        <row r="1329">
          <cell r="H1329">
            <v>0.72</v>
          </cell>
        </row>
        <row r="1355">
          <cell r="H1355">
            <v>0.75</v>
          </cell>
        </row>
        <row r="1356">
          <cell r="H1356">
            <v>94</v>
          </cell>
        </row>
        <row r="1358">
          <cell r="H1358">
            <v>161</v>
          </cell>
        </row>
        <row r="1359">
          <cell r="H1359">
            <v>151</v>
          </cell>
        </row>
        <row r="1360">
          <cell r="H1360">
            <v>151</v>
          </cell>
        </row>
        <row r="1361">
          <cell r="H1361">
            <v>151</v>
          </cell>
        </row>
        <row r="1362">
          <cell r="H1362">
            <v>151</v>
          </cell>
        </row>
        <row r="1363">
          <cell r="H1363">
            <v>151</v>
          </cell>
        </row>
        <row r="1389">
          <cell r="H1389">
            <v>0.37</v>
          </cell>
        </row>
        <row r="1400">
          <cell r="H1400">
            <v>50</v>
          </cell>
        </row>
        <row r="1403">
          <cell r="H1403">
            <v>50</v>
          </cell>
        </row>
        <row r="1409">
          <cell r="H1409">
            <v>500</v>
          </cell>
        </row>
        <row r="1410">
          <cell r="H1410">
            <v>150</v>
          </cell>
        </row>
        <row r="1411">
          <cell r="H1411">
            <v>100</v>
          </cell>
        </row>
        <row r="1412">
          <cell r="H1412">
            <v>8.33</v>
          </cell>
        </row>
        <row r="1413">
          <cell r="H1413">
            <v>2.27</v>
          </cell>
        </row>
        <row r="1414">
          <cell r="H1414">
            <v>2.27</v>
          </cell>
        </row>
        <row r="1415">
          <cell r="H1415">
            <v>12.15</v>
          </cell>
        </row>
        <row r="1416">
          <cell r="H1416">
            <v>13.01</v>
          </cell>
        </row>
        <row r="1417">
          <cell r="H1417">
            <v>1.3</v>
          </cell>
        </row>
        <row r="1418">
          <cell r="H1418">
            <v>130.57</v>
          </cell>
        </row>
        <row r="1419">
          <cell r="H1419">
            <v>73.069999999999993</v>
          </cell>
        </row>
        <row r="1420">
          <cell r="H1420">
            <v>27.88</v>
          </cell>
        </row>
        <row r="1421">
          <cell r="H1421">
            <v>155.44999999999999</v>
          </cell>
        </row>
        <row r="1422">
          <cell r="H1422">
            <v>140.31</v>
          </cell>
        </row>
        <row r="1423">
          <cell r="H1423">
            <v>3.09</v>
          </cell>
        </row>
        <row r="1424">
          <cell r="H1424">
            <v>0.43</v>
          </cell>
        </row>
        <row r="1425">
          <cell r="H1425">
            <v>1.1000000000000001</v>
          </cell>
        </row>
        <row r="1426">
          <cell r="H1426">
            <v>0.31</v>
          </cell>
        </row>
        <row r="1427">
          <cell r="H1427">
            <v>4.07</v>
          </cell>
        </row>
        <row r="1428">
          <cell r="H1428">
            <v>0.39</v>
          </cell>
        </row>
        <row r="1429">
          <cell r="H1429">
            <v>1.04</v>
          </cell>
        </row>
        <row r="1430">
          <cell r="H1430">
            <v>0.3</v>
          </cell>
        </row>
        <row r="1431">
          <cell r="H1431">
            <v>2.88</v>
          </cell>
        </row>
        <row r="1432">
          <cell r="H1432">
            <v>300</v>
          </cell>
        </row>
        <row r="1433">
          <cell r="H1433">
            <v>123.47</v>
          </cell>
        </row>
        <row r="1434">
          <cell r="H1434">
            <v>150.86000000000001</v>
          </cell>
        </row>
        <row r="1435">
          <cell r="H1435">
            <v>133.91</v>
          </cell>
        </row>
        <row r="1436">
          <cell r="H1436">
            <v>51.81</v>
          </cell>
        </row>
        <row r="1437">
          <cell r="H1437">
            <v>43.8</v>
          </cell>
        </row>
        <row r="1438">
          <cell r="H1438">
            <v>324.99</v>
          </cell>
        </row>
        <row r="1439">
          <cell r="H1439">
            <v>494.11</v>
          </cell>
        </row>
        <row r="1443">
          <cell r="H1443">
            <v>1287.06</v>
          </cell>
        </row>
        <row r="1444">
          <cell r="H1444">
            <v>405.54</v>
          </cell>
        </row>
        <row r="1451">
          <cell r="H1451">
            <v>235.75</v>
          </cell>
        </row>
        <row r="1456">
          <cell r="H1456">
            <v>0.3</v>
          </cell>
        </row>
        <row r="1458">
          <cell r="H1458">
            <v>0.3</v>
          </cell>
        </row>
        <row r="1459">
          <cell r="H1459">
            <v>2.1</v>
          </cell>
        </row>
        <row r="1460">
          <cell r="H1460">
            <v>51.6</v>
          </cell>
        </row>
        <row r="1461">
          <cell r="H1461">
            <v>50</v>
          </cell>
        </row>
        <row r="1462">
          <cell r="H1462">
            <v>1.5</v>
          </cell>
        </row>
        <row r="1465">
          <cell r="H1465">
            <v>2</v>
          </cell>
        </row>
        <row r="1466">
          <cell r="H1466">
            <v>4.5</v>
          </cell>
        </row>
        <row r="1467">
          <cell r="H1467">
            <v>2.2000000000000002</v>
          </cell>
        </row>
        <row r="1468">
          <cell r="H1468">
            <v>0.5</v>
          </cell>
        </row>
        <row r="1469">
          <cell r="H1469">
            <v>3.6</v>
          </cell>
        </row>
        <row r="1470">
          <cell r="H1470">
            <v>2.7</v>
          </cell>
        </row>
        <row r="1471">
          <cell r="H1471">
            <v>3.5</v>
          </cell>
        </row>
        <row r="1472">
          <cell r="H1472">
            <v>2</v>
          </cell>
        </row>
        <row r="1473">
          <cell r="H1473">
            <v>1.6</v>
          </cell>
        </row>
        <row r="1476">
          <cell r="H1476">
            <v>3.5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comp1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SIIG 2010-Jun"/>
      <sheetName val="Estimativa"/>
      <sheetName val="Orçamento"/>
      <sheetName val="QuQuant"/>
      <sheetName val="DADOS"/>
      <sheetName val="Orçamentária"/>
    </sheetNames>
    <definedNames>
      <definedName name="PassaExtenso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-OK"/>
      <sheetName val="elétrica-alta-OK"/>
      <sheetName val="COMP ELÉTRICA ALTA-OK"/>
      <sheetName val="elétrica-baixa-OK"/>
      <sheetName val="COMP.ELÉTRICA BAIXA"/>
      <sheetName val="lógica-ok"/>
      <sheetName val="COMP.LÓGICA"/>
      <sheetName val="som-ok"/>
      <sheetName val="COMP SOM"/>
      <sheetName val="incêndio-ok"/>
      <sheetName val="COMP INCÊNDIO"/>
      <sheetName val="spda-ok"/>
      <sheetName val="COMP SPDA"/>
      <sheetName val="hidráulica-ok"/>
      <sheetName val="COMP HIDRAULICA"/>
      <sheetName val="sanit-dren-ok"/>
      <sheetName val="COMP. SANITÁRIA"/>
      <sheetName val="Drenagem Pluvial-ok"/>
      <sheetName val="COMP DRENAGEM"/>
      <sheetName val="climatização-ok"/>
      <sheetName val="COMP CLIMATIZAÇÃO"/>
      <sheetName val="GLP"/>
      <sheetName val="COMP GL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3.66</v>
          </cell>
        </row>
        <row r="36">
          <cell r="E36">
            <v>12.94</v>
          </cell>
        </row>
        <row r="45">
          <cell r="E45">
            <v>22.79</v>
          </cell>
        </row>
        <row r="54">
          <cell r="E54">
            <v>33.880000000000003</v>
          </cell>
        </row>
        <row r="63">
          <cell r="E63">
            <v>44.57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CAMENTO"/>
      <sheetName val="CRONOGRAMA"/>
      <sheetName val="AUX"/>
      <sheetName val="BDI"/>
      <sheetName val="S-I-01-21"/>
      <sheetName val="S-C-01-21"/>
      <sheetName val="CUSTO DIRETO"/>
      <sheetName val="COMPOSICOES PROPRIAS"/>
      <sheetName val="COMPOSICOES AUXILIARES"/>
      <sheetName val="CURVA ABC SERVICOS"/>
      <sheetName val="CURVA ABC INSUMOS"/>
      <sheetName val="CRONOGRAMA INSUMOS"/>
      <sheetName val="ENCARGOS SOCIAIS"/>
    </sheetNames>
    <sheetDataSet>
      <sheetData sheetId="0" refreshError="1"/>
      <sheetData sheetId="1"/>
      <sheetData sheetId="2">
        <row r="2296">
          <cell r="A2296" t="str">
            <v>PLACA DE INAUGURAÇÃO DE OBRA EM ALUMÍNIO 0,60 X 0,80 M</v>
          </cell>
        </row>
      </sheetData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Insumos (2)"/>
      <sheetName val="Cronograma"/>
      <sheetName val="Orçamento"/>
      <sheetName val="Instalações"/>
      <sheetName val="ORÇ DET"/>
      <sheetName val="Equipamentos"/>
      <sheetName val="Res.M.deCálculo"/>
      <sheetName val="M.deCálculoTérreo"/>
      <sheetName val="Comp3"/>
      <sheetName val="Comp2"/>
      <sheetName val="Comp1"/>
      <sheetName val="Fossa-sumidouro"/>
      <sheetName val="Plan1 (2)"/>
      <sheetName val="Eletrica"/>
    </sheetNames>
    <sheetDataSet>
      <sheetData sheetId="0">
        <row r="2">
          <cell r="C2">
            <v>415</v>
          </cell>
        </row>
        <row r="3">
          <cell r="C3">
            <v>0.75</v>
          </cell>
        </row>
        <row r="7">
          <cell r="C7">
            <v>775</v>
          </cell>
        </row>
        <row r="8">
          <cell r="C8">
            <v>306.24</v>
          </cell>
        </row>
        <row r="13">
          <cell r="E13">
            <v>5.9</v>
          </cell>
        </row>
        <row r="14">
          <cell r="E14">
            <v>4.71</v>
          </cell>
        </row>
        <row r="15">
          <cell r="E15">
            <v>3.54</v>
          </cell>
        </row>
        <row r="16">
          <cell r="E16">
            <v>2.4300000000000002</v>
          </cell>
        </row>
        <row r="17">
          <cell r="E17">
            <v>2.36</v>
          </cell>
        </row>
        <row r="20">
          <cell r="E20">
            <v>0.57999999999999996</v>
          </cell>
        </row>
        <row r="21">
          <cell r="E21">
            <v>3.5</v>
          </cell>
        </row>
        <row r="22">
          <cell r="E22">
            <v>0.34</v>
          </cell>
        </row>
        <row r="23">
          <cell r="E23">
            <v>48.75</v>
          </cell>
        </row>
        <row r="24">
          <cell r="E24">
            <v>48.75</v>
          </cell>
        </row>
        <row r="25">
          <cell r="E25">
            <v>27.5</v>
          </cell>
        </row>
        <row r="26">
          <cell r="E26">
            <v>25</v>
          </cell>
        </row>
        <row r="27">
          <cell r="E27">
            <v>75</v>
          </cell>
        </row>
        <row r="28">
          <cell r="E28">
            <v>0.45</v>
          </cell>
        </row>
        <row r="29">
          <cell r="E29">
            <v>40.630000000000003</v>
          </cell>
        </row>
        <row r="30">
          <cell r="E30">
            <v>21.88</v>
          </cell>
        </row>
        <row r="31">
          <cell r="E31">
            <v>28.13</v>
          </cell>
        </row>
        <row r="32">
          <cell r="E32">
            <v>0.13</v>
          </cell>
        </row>
        <row r="35">
          <cell r="E35">
            <v>0.26</v>
          </cell>
        </row>
        <row r="36">
          <cell r="E36">
            <v>0.11</v>
          </cell>
        </row>
        <row r="37">
          <cell r="E37">
            <v>0.17</v>
          </cell>
        </row>
        <row r="38">
          <cell r="E38">
            <v>0.41</v>
          </cell>
        </row>
        <row r="39">
          <cell r="E39">
            <v>15.24</v>
          </cell>
        </row>
        <row r="42">
          <cell r="E42">
            <v>0.3</v>
          </cell>
        </row>
        <row r="43">
          <cell r="E43">
            <v>0.26</v>
          </cell>
        </row>
        <row r="44">
          <cell r="E44">
            <v>0.44</v>
          </cell>
        </row>
        <row r="45">
          <cell r="E45">
            <v>11.96</v>
          </cell>
        </row>
        <row r="46">
          <cell r="E46">
            <v>14.45</v>
          </cell>
        </row>
        <row r="47">
          <cell r="E47">
            <v>20.94</v>
          </cell>
        </row>
        <row r="48">
          <cell r="E48">
            <v>21.88</v>
          </cell>
        </row>
        <row r="54">
          <cell r="E54">
            <v>6.75</v>
          </cell>
        </row>
        <row r="55">
          <cell r="E55">
            <v>6.79</v>
          </cell>
        </row>
        <row r="56">
          <cell r="E56">
            <v>4.99</v>
          </cell>
        </row>
        <row r="57">
          <cell r="E57">
            <v>12.19</v>
          </cell>
        </row>
        <row r="58">
          <cell r="E58">
            <v>25.21</v>
          </cell>
        </row>
        <row r="59">
          <cell r="E59">
            <v>37.81</v>
          </cell>
        </row>
        <row r="60">
          <cell r="E60">
            <v>35.42</v>
          </cell>
        </row>
        <row r="62">
          <cell r="E62">
            <v>6.25</v>
          </cell>
        </row>
        <row r="63">
          <cell r="E63">
            <v>6.88</v>
          </cell>
        </row>
        <row r="64">
          <cell r="E64">
            <v>4.38</v>
          </cell>
        </row>
        <row r="65">
          <cell r="E65">
            <v>3.04</v>
          </cell>
        </row>
        <row r="66">
          <cell r="E66">
            <v>2.89</v>
          </cell>
        </row>
        <row r="67">
          <cell r="E67">
            <v>43.45</v>
          </cell>
        </row>
        <row r="68">
          <cell r="E68">
            <v>35.799999999999997</v>
          </cell>
        </row>
        <row r="69">
          <cell r="E69">
            <v>45</v>
          </cell>
        </row>
        <row r="70">
          <cell r="E70">
            <v>15</v>
          </cell>
        </row>
        <row r="71">
          <cell r="E71">
            <v>14.38</v>
          </cell>
        </row>
        <row r="72">
          <cell r="E72">
            <v>12.5</v>
          </cell>
        </row>
        <row r="75">
          <cell r="E75">
            <v>21.25</v>
          </cell>
        </row>
        <row r="76">
          <cell r="E76">
            <v>26.25</v>
          </cell>
        </row>
        <row r="77">
          <cell r="E77">
            <v>15</v>
          </cell>
        </row>
        <row r="78">
          <cell r="E78">
            <v>27.34</v>
          </cell>
        </row>
        <row r="79">
          <cell r="E79">
            <v>20.399999999999999</v>
          </cell>
        </row>
        <row r="80">
          <cell r="E80">
            <v>15</v>
          </cell>
        </row>
        <row r="81">
          <cell r="E81">
            <v>20.38</v>
          </cell>
        </row>
        <row r="82">
          <cell r="E82">
            <v>21.88</v>
          </cell>
        </row>
        <row r="83">
          <cell r="E83">
            <v>17.399999999999999</v>
          </cell>
        </row>
        <row r="84">
          <cell r="E84">
            <v>9.7899999999999991</v>
          </cell>
        </row>
        <row r="85">
          <cell r="E85">
            <v>26.25</v>
          </cell>
        </row>
        <row r="86">
          <cell r="E86">
            <v>40</v>
          </cell>
        </row>
        <row r="87">
          <cell r="E87">
            <v>33.75</v>
          </cell>
        </row>
        <row r="88">
          <cell r="E88">
            <v>1.25</v>
          </cell>
        </row>
        <row r="89">
          <cell r="E89">
            <v>0.46</v>
          </cell>
        </row>
        <row r="90">
          <cell r="E90">
            <v>0.25</v>
          </cell>
        </row>
        <row r="93">
          <cell r="E93">
            <v>18.75</v>
          </cell>
        </row>
        <row r="94">
          <cell r="E94">
            <v>28.13</v>
          </cell>
        </row>
        <row r="95">
          <cell r="E95">
            <v>62.5</v>
          </cell>
        </row>
        <row r="96">
          <cell r="E96">
            <v>0.28000000000000003</v>
          </cell>
        </row>
        <row r="99">
          <cell r="E99">
            <v>16.579999999999998</v>
          </cell>
        </row>
        <row r="100">
          <cell r="E100">
            <v>686.66</v>
          </cell>
        </row>
        <row r="101">
          <cell r="E101">
            <v>38.04</v>
          </cell>
        </row>
        <row r="102">
          <cell r="E102">
            <v>36.94</v>
          </cell>
        </row>
        <row r="105">
          <cell r="E105">
            <v>60.63</v>
          </cell>
        </row>
        <row r="106">
          <cell r="E106">
            <v>78.75</v>
          </cell>
        </row>
        <row r="107">
          <cell r="E107">
            <v>87.5</v>
          </cell>
        </row>
        <row r="108">
          <cell r="E108">
            <v>32.5</v>
          </cell>
        </row>
        <row r="109">
          <cell r="E109">
            <v>43.75</v>
          </cell>
        </row>
        <row r="110">
          <cell r="E110">
            <v>50</v>
          </cell>
        </row>
        <row r="111">
          <cell r="E111">
            <v>225</v>
          </cell>
        </row>
        <row r="112">
          <cell r="E112">
            <v>112.5</v>
          </cell>
        </row>
        <row r="115">
          <cell r="E115">
            <v>545.94000000000005</v>
          </cell>
        </row>
        <row r="116">
          <cell r="E116">
            <v>545.27</v>
          </cell>
        </row>
        <row r="117">
          <cell r="E117">
            <v>274.48</v>
          </cell>
        </row>
        <row r="120">
          <cell r="E120">
            <v>390.78</v>
          </cell>
        </row>
        <row r="121">
          <cell r="E121">
            <v>648.27</v>
          </cell>
        </row>
        <row r="122">
          <cell r="E122">
            <v>187.5</v>
          </cell>
        </row>
        <row r="125">
          <cell r="E125">
            <v>27.5</v>
          </cell>
        </row>
        <row r="126">
          <cell r="E126">
            <v>32.5</v>
          </cell>
        </row>
        <row r="127">
          <cell r="E127">
            <v>13.75</v>
          </cell>
        </row>
        <row r="128">
          <cell r="E128">
            <v>32.5</v>
          </cell>
        </row>
        <row r="129">
          <cell r="E129">
            <v>17.38</v>
          </cell>
        </row>
        <row r="130">
          <cell r="E130">
            <v>0.63</v>
          </cell>
        </row>
        <row r="131">
          <cell r="E131">
            <v>1.5</v>
          </cell>
        </row>
        <row r="132">
          <cell r="E132">
            <v>3.11</v>
          </cell>
        </row>
        <row r="136">
          <cell r="E136">
            <v>16.25</v>
          </cell>
        </row>
        <row r="137">
          <cell r="E137">
            <v>22.5</v>
          </cell>
        </row>
        <row r="138">
          <cell r="E138">
            <v>25</v>
          </cell>
        </row>
        <row r="139">
          <cell r="E139">
            <v>15</v>
          </cell>
        </row>
        <row r="140">
          <cell r="E140">
            <v>64.38</v>
          </cell>
        </row>
        <row r="141">
          <cell r="E141">
            <v>3.25</v>
          </cell>
        </row>
        <row r="142">
          <cell r="E142">
            <v>188.1</v>
          </cell>
        </row>
        <row r="143">
          <cell r="E143">
            <v>3</v>
          </cell>
        </row>
        <row r="144">
          <cell r="E144">
            <v>487.5</v>
          </cell>
        </row>
        <row r="145">
          <cell r="E145">
            <v>6</v>
          </cell>
        </row>
        <row r="146">
          <cell r="E146">
            <v>131.76</v>
          </cell>
        </row>
        <row r="147">
          <cell r="E147">
            <v>3.19</v>
          </cell>
        </row>
        <row r="148">
          <cell r="E148">
            <v>31.25</v>
          </cell>
        </row>
        <row r="149">
          <cell r="E149">
            <v>31.25</v>
          </cell>
        </row>
        <row r="150">
          <cell r="E150">
            <v>31.25</v>
          </cell>
        </row>
        <row r="151">
          <cell r="E151">
            <v>28.75</v>
          </cell>
        </row>
        <row r="152">
          <cell r="E152">
            <v>28.75</v>
          </cell>
        </row>
        <row r="153">
          <cell r="E153">
            <v>28.75</v>
          </cell>
        </row>
        <row r="154">
          <cell r="E154">
            <v>3.83</v>
          </cell>
        </row>
        <row r="155">
          <cell r="E155">
            <v>37.5</v>
          </cell>
        </row>
        <row r="156">
          <cell r="E156">
            <v>37.5</v>
          </cell>
        </row>
        <row r="157">
          <cell r="E157">
            <v>37.5</v>
          </cell>
        </row>
        <row r="158">
          <cell r="E158">
            <v>25</v>
          </cell>
        </row>
        <row r="159">
          <cell r="E159">
            <v>25</v>
          </cell>
        </row>
        <row r="160">
          <cell r="E160">
            <v>25</v>
          </cell>
        </row>
        <row r="161">
          <cell r="E161">
            <v>0.63</v>
          </cell>
        </row>
        <row r="164">
          <cell r="E164">
            <v>0.31</v>
          </cell>
        </row>
        <row r="165">
          <cell r="E165">
            <v>0.56000000000000005</v>
          </cell>
        </row>
        <row r="166">
          <cell r="E166">
            <v>0.44</v>
          </cell>
        </row>
        <row r="167">
          <cell r="E167">
            <v>0.25</v>
          </cell>
        </row>
        <row r="168">
          <cell r="E168">
            <v>0.38</v>
          </cell>
        </row>
        <row r="169">
          <cell r="E169">
            <v>7.5</v>
          </cell>
        </row>
        <row r="172">
          <cell r="E172">
            <v>162</v>
          </cell>
        </row>
        <row r="173">
          <cell r="E173">
            <v>630</v>
          </cell>
        </row>
        <row r="174">
          <cell r="E174">
            <v>945</v>
          </cell>
        </row>
        <row r="176">
          <cell r="E176">
            <v>102.5</v>
          </cell>
        </row>
        <row r="177">
          <cell r="E177">
            <v>100</v>
          </cell>
        </row>
        <row r="178">
          <cell r="E178">
            <v>945</v>
          </cell>
        </row>
        <row r="179">
          <cell r="E179">
            <v>187.5</v>
          </cell>
        </row>
        <row r="180">
          <cell r="E180">
            <v>315</v>
          </cell>
        </row>
        <row r="181">
          <cell r="E181">
            <v>247.54</v>
          </cell>
        </row>
        <row r="182">
          <cell r="E182">
            <v>125</v>
          </cell>
        </row>
        <row r="183">
          <cell r="E183">
            <v>187.5</v>
          </cell>
        </row>
        <row r="184">
          <cell r="E184">
            <v>125</v>
          </cell>
        </row>
        <row r="185">
          <cell r="E185">
            <v>45</v>
          </cell>
        </row>
        <row r="186">
          <cell r="E186">
            <v>90</v>
          </cell>
        </row>
        <row r="187">
          <cell r="E187">
            <v>150</v>
          </cell>
        </row>
        <row r="188">
          <cell r="E188">
            <v>62.5</v>
          </cell>
        </row>
        <row r="189">
          <cell r="E189">
            <v>37.5</v>
          </cell>
        </row>
        <row r="190">
          <cell r="E190">
            <v>37.5</v>
          </cell>
        </row>
        <row r="191">
          <cell r="E191">
            <v>125</v>
          </cell>
        </row>
        <row r="193">
          <cell r="E193">
            <v>187.5</v>
          </cell>
        </row>
        <row r="194">
          <cell r="E194">
            <v>62.5</v>
          </cell>
        </row>
        <row r="196">
          <cell r="E196">
            <v>50</v>
          </cell>
        </row>
        <row r="197">
          <cell r="E197">
            <v>90</v>
          </cell>
        </row>
        <row r="198">
          <cell r="E198">
            <v>206.25</v>
          </cell>
        </row>
        <row r="199">
          <cell r="E199">
            <v>116.88</v>
          </cell>
        </row>
        <row r="200">
          <cell r="E200">
            <v>106.25</v>
          </cell>
        </row>
        <row r="201">
          <cell r="E201">
            <v>75</v>
          </cell>
        </row>
        <row r="202">
          <cell r="E202">
            <v>60.99</v>
          </cell>
        </row>
        <row r="204">
          <cell r="E204">
            <v>150</v>
          </cell>
        </row>
        <row r="205">
          <cell r="E205">
            <v>247.5</v>
          </cell>
        </row>
        <row r="206">
          <cell r="E206">
            <v>165</v>
          </cell>
        </row>
        <row r="207">
          <cell r="E207">
            <v>150</v>
          </cell>
        </row>
        <row r="208">
          <cell r="E208">
            <v>330</v>
          </cell>
        </row>
        <row r="209">
          <cell r="E209">
            <v>247.5</v>
          </cell>
        </row>
        <row r="210">
          <cell r="E210">
            <v>297</v>
          </cell>
        </row>
        <row r="211">
          <cell r="E211">
            <v>87.5</v>
          </cell>
        </row>
        <row r="214">
          <cell r="E214">
            <v>54.01</v>
          </cell>
        </row>
        <row r="215">
          <cell r="E215">
            <v>71.430000000000007</v>
          </cell>
        </row>
        <row r="216">
          <cell r="E216">
            <v>85.71</v>
          </cell>
        </row>
        <row r="217">
          <cell r="E217">
            <v>150</v>
          </cell>
        </row>
        <row r="218">
          <cell r="E218">
            <v>35.71</v>
          </cell>
        </row>
        <row r="219">
          <cell r="E219">
            <v>56.25</v>
          </cell>
        </row>
        <row r="220">
          <cell r="E220">
            <v>56.25</v>
          </cell>
        </row>
        <row r="221">
          <cell r="E221">
            <v>56.25</v>
          </cell>
        </row>
        <row r="222">
          <cell r="E222">
            <v>82.5</v>
          </cell>
        </row>
        <row r="223">
          <cell r="E223">
            <v>830.3</v>
          </cell>
        </row>
        <row r="224">
          <cell r="E224">
            <v>1556.81</v>
          </cell>
        </row>
        <row r="225">
          <cell r="E225">
            <v>1712.5</v>
          </cell>
        </row>
        <row r="226">
          <cell r="E226">
            <v>150</v>
          </cell>
        </row>
        <row r="227">
          <cell r="E227">
            <v>150</v>
          </cell>
        </row>
        <row r="228">
          <cell r="E228">
            <v>150</v>
          </cell>
        </row>
        <row r="229">
          <cell r="E229">
            <v>150</v>
          </cell>
        </row>
        <row r="230">
          <cell r="E230">
            <v>153.13</v>
          </cell>
        </row>
        <row r="231">
          <cell r="E231">
            <v>93.75</v>
          </cell>
        </row>
        <row r="232">
          <cell r="E232">
            <v>82.5</v>
          </cell>
        </row>
        <row r="233">
          <cell r="E233">
            <v>99</v>
          </cell>
        </row>
        <row r="234">
          <cell r="E234">
            <v>123.75</v>
          </cell>
        </row>
        <row r="235">
          <cell r="E235">
            <v>312.5</v>
          </cell>
        </row>
        <row r="238">
          <cell r="E238">
            <v>170</v>
          </cell>
        </row>
        <row r="239">
          <cell r="E239">
            <v>285</v>
          </cell>
        </row>
        <row r="240">
          <cell r="E240">
            <v>974.5</v>
          </cell>
        </row>
        <row r="241">
          <cell r="E241">
            <v>2227.5</v>
          </cell>
        </row>
        <row r="242">
          <cell r="E242">
            <v>2442.5</v>
          </cell>
        </row>
        <row r="243">
          <cell r="E243">
            <v>1332.5</v>
          </cell>
        </row>
        <row r="246">
          <cell r="E246">
            <v>15</v>
          </cell>
        </row>
        <row r="247">
          <cell r="E247">
            <v>11.5</v>
          </cell>
        </row>
        <row r="248">
          <cell r="E248">
            <v>7.38</v>
          </cell>
        </row>
        <row r="249">
          <cell r="E249">
            <v>4.5</v>
          </cell>
        </row>
        <row r="250">
          <cell r="E250">
            <v>22.25</v>
          </cell>
        </row>
        <row r="251">
          <cell r="E251">
            <v>23.03</v>
          </cell>
        </row>
        <row r="252">
          <cell r="E252">
            <v>5.35</v>
          </cell>
        </row>
        <row r="253">
          <cell r="E253">
            <v>4.75</v>
          </cell>
        </row>
        <row r="256">
          <cell r="E256">
            <v>33.75</v>
          </cell>
        </row>
        <row r="257">
          <cell r="E257">
            <v>80.63</v>
          </cell>
        </row>
        <row r="258">
          <cell r="E258">
            <v>3.59</v>
          </cell>
        </row>
        <row r="259">
          <cell r="E259">
            <v>1.78</v>
          </cell>
        </row>
        <row r="260">
          <cell r="E260">
            <v>3.48</v>
          </cell>
        </row>
        <row r="261">
          <cell r="E261">
            <v>187.5</v>
          </cell>
        </row>
        <row r="262">
          <cell r="E262">
            <v>6.25</v>
          </cell>
        </row>
        <row r="263">
          <cell r="E263">
            <v>187.5</v>
          </cell>
        </row>
        <row r="264">
          <cell r="E264">
            <v>112.5</v>
          </cell>
        </row>
        <row r="267">
          <cell r="E267">
            <v>12.5</v>
          </cell>
        </row>
        <row r="268">
          <cell r="E268">
            <v>45</v>
          </cell>
        </row>
        <row r="269">
          <cell r="E269">
            <v>11.25</v>
          </cell>
        </row>
        <row r="270">
          <cell r="E270">
            <v>199.24</v>
          </cell>
        </row>
        <row r="271">
          <cell r="E271">
            <v>110.5</v>
          </cell>
        </row>
        <row r="272">
          <cell r="E272">
            <v>109.74</v>
          </cell>
        </row>
        <row r="273">
          <cell r="E273">
            <v>69.38</v>
          </cell>
        </row>
        <row r="274">
          <cell r="E274">
            <v>37.5</v>
          </cell>
        </row>
        <row r="275">
          <cell r="E275">
            <v>25</v>
          </cell>
        </row>
        <row r="276">
          <cell r="E276">
            <v>15.81</v>
          </cell>
        </row>
        <row r="277">
          <cell r="E277">
            <v>25.11</v>
          </cell>
        </row>
        <row r="278">
          <cell r="E278">
            <v>3.7</v>
          </cell>
        </row>
        <row r="279">
          <cell r="E279">
            <v>8.43</v>
          </cell>
        </row>
        <row r="280">
          <cell r="E280">
            <v>3.21</v>
          </cell>
        </row>
        <row r="281">
          <cell r="E281">
            <v>2</v>
          </cell>
        </row>
        <row r="282">
          <cell r="E282">
            <v>2</v>
          </cell>
        </row>
        <row r="283">
          <cell r="E283">
            <v>2</v>
          </cell>
        </row>
        <row r="284">
          <cell r="E284">
            <v>1.25</v>
          </cell>
        </row>
        <row r="285">
          <cell r="E285">
            <v>46.88</v>
          </cell>
        </row>
        <row r="286">
          <cell r="E286">
            <v>42.38</v>
          </cell>
        </row>
        <row r="287">
          <cell r="E287">
            <v>25.38</v>
          </cell>
        </row>
        <row r="288">
          <cell r="E288">
            <v>6.88</v>
          </cell>
        </row>
        <row r="289">
          <cell r="E289">
            <v>6.13</v>
          </cell>
        </row>
        <row r="290">
          <cell r="E290">
            <v>6.88</v>
          </cell>
        </row>
        <row r="291">
          <cell r="E291">
            <v>6.88</v>
          </cell>
        </row>
        <row r="292">
          <cell r="E292">
            <v>48.03</v>
          </cell>
        </row>
        <row r="293">
          <cell r="E293">
            <v>68.680000000000007</v>
          </cell>
        </row>
        <row r="294">
          <cell r="E294">
            <v>39.380000000000003</v>
          </cell>
        </row>
        <row r="295">
          <cell r="E295">
            <v>61.25</v>
          </cell>
        </row>
        <row r="296">
          <cell r="E296">
            <v>34</v>
          </cell>
        </row>
        <row r="297">
          <cell r="E297">
            <v>42.5</v>
          </cell>
        </row>
        <row r="298">
          <cell r="E298">
            <v>98.13</v>
          </cell>
        </row>
        <row r="299">
          <cell r="E299">
            <v>81.25</v>
          </cell>
        </row>
        <row r="300">
          <cell r="E300">
            <v>35.25</v>
          </cell>
        </row>
        <row r="301">
          <cell r="E301">
            <v>27.88</v>
          </cell>
        </row>
        <row r="302">
          <cell r="E302">
            <v>11.88</v>
          </cell>
        </row>
        <row r="303">
          <cell r="E303">
            <v>6.25</v>
          </cell>
        </row>
        <row r="304">
          <cell r="E304">
            <v>1.88</v>
          </cell>
        </row>
        <row r="305">
          <cell r="E305">
            <v>2.69</v>
          </cell>
        </row>
        <row r="306">
          <cell r="E306">
            <v>3.13</v>
          </cell>
        </row>
        <row r="307">
          <cell r="E307">
            <v>4.5</v>
          </cell>
        </row>
        <row r="308">
          <cell r="E308">
            <v>6</v>
          </cell>
        </row>
        <row r="309">
          <cell r="E309">
            <v>10</v>
          </cell>
        </row>
        <row r="310">
          <cell r="E310">
            <v>15</v>
          </cell>
        </row>
        <row r="311">
          <cell r="E311">
            <v>9</v>
          </cell>
        </row>
        <row r="312">
          <cell r="E312">
            <v>10.5</v>
          </cell>
        </row>
        <row r="313">
          <cell r="E313">
            <v>6</v>
          </cell>
        </row>
        <row r="314">
          <cell r="E314">
            <v>6.38</v>
          </cell>
        </row>
        <row r="315">
          <cell r="E315">
            <v>6.69</v>
          </cell>
        </row>
        <row r="316">
          <cell r="E316">
            <v>6.5</v>
          </cell>
        </row>
        <row r="317">
          <cell r="E317">
            <v>8.5</v>
          </cell>
        </row>
        <row r="318">
          <cell r="E318">
            <v>6.69</v>
          </cell>
        </row>
        <row r="319">
          <cell r="E319">
            <v>36.380000000000003</v>
          </cell>
        </row>
        <row r="320">
          <cell r="E320">
            <v>8.75</v>
          </cell>
        </row>
        <row r="321">
          <cell r="E321">
            <v>6.5</v>
          </cell>
        </row>
        <row r="322">
          <cell r="E322">
            <v>8.5</v>
          </cell>
        </row>
        <row r="323">
          <cell r="E323">
            <v>8.5</v>
          </cell>
        </row>
        <row r="324">
          <cell r="E324">
            <v>8.5</v>
          </cell>
        </row>
        <row r="325">
          <cell r="E325">
            <v>6.04</v>
          </cell>
        </row>
        <row r="326">
          <cell r="E326">
            <v>18.75</v>
          </cell>
        </row>
        <row r="327">
          <cell r="E327">
            <v>18.88</v>
          </cell>
        </row>
        <row r="328">
          <cell r="E328">
            <v>18.75</v>
          </cell>
        </row>
        <row r="329">
          <cell r="E329">
            <v>2</v>
          </cell>
        </row>
        <row r="330">
          <cell r="E330">
            <v>5.88</v>
          </cell>
        </row>
        <row r="331">
          <cell r="E331">
            <v>2.6</v>
          </cell>
        </row>
        <row r="332">
          <cell r="E332">
            <v>17.25</v>
          </cell>
        </row>
        <row r="333">
          <cell r="E333">
            <v>30.14</v>
          </cell>
        </row>
        <row r="334">
          <cell r="E334">
            <v>1.51</v>
          </cell>
        </row>
        <row r="335">
          <cell r="E335">
            <v>1.63</v>
          </cell>
        </row>
        <row r="336">
          <cell r="E336">
            <v>0.81</v>
          </cell>
        </row>
        <row r="337">
          <cell r="E337">
            <v>0.75</v>
          </cell>
        </row>
        <row r="338">
          <cell r="E338">
            <v>38.43</v>
          </cell>
        </row>
        <row r="339">
          <cell r="E339">
            <v>6.25</v>
          </cell>
        </row>
        <row r="340">
          <cell r="E340">
            <v>6</v>
          </cell>
        </row>
        <row r="341">
          <cell r="E341">
            <v>5.53</v>
          </cell>
        </row>
        <row r="342">
          <cell r="E342">
            <v>5.53</v>
          </cell>
        </row>
        <row r="343">
          <cell r="E343">
            <v>5.53</v>
          </cell>
        </row>
        <row r="344">
          <cell r="E344">
            <v>1.24</v>
          </cell>
        </row>
        <row r="345">
          <cell r="E345">
            <v>1.54</v>
          </cell>
        </row>
        <row r="346">
          <cell r="E346">
            <v>1.71</v>
          </cell>
        </row>
        <row r="347">
          <cell r="E347">
            <v>0.71</v>
          </cell>
        </row>
        <row r="348">
          <cell r="E348">
            <v>0.84</v>
          </cell>
        </row>
        <row r="349">
          <cell r="E349">
            <v>1.25</v>
          </cell>
        </row>
        <row r="350">
          <cell r="E350">
            <v>0.24</v>
          </cell>
        </row>
        <row r="351">
          <cell r="E351">
            <v>0.9</v>
          </cell>
        </row>
        <row r="352">
          <cell r="E352">
            <v>2.08</v>
          </cell>
        </row>
        <row r="353">
          <cell r="E353">
            <v>0.75</v>
          </cell>
        </row>
        <row r="354">
          <cell r="E354">
            <v>1.47</v>
          </cell>
        </row>
        <row r="355">
          <cell r="E355">
            <v>1.94</v>
          </cell>
        </row>
        <row r="356">
          <cell r="E356">
            <v>1.94</v>
          </cell>
        </row>
        <row r="357">
          <cell r="E357">
            <v>1.42</v>
          </cell>
        </row>
        <row r="358">
          <cell r="E358">
            <v>7.27</v>
          </cell>
        </row>
        <row r="359">
          <cell r="E359">
            <v>0.4</v>
          </cell>
        </row>
        <row r="360">
          <cell r="E360">
            <v>2.7</v>
          </cell>
        </row>
        <row r="361">
          <cell r="E361">
            <v>1.25</v>
          </cell>
        </row>
        <row r="362">
          <cell r="E362">
            <v>7.73</v>
          </cell>
        </row>
        <row r="363">
          <cell r="E363">
            <v>0.31</v>
          </cell>
        </row>
        <row r="364">
          <cell r="E364">
            <v>1.1100000000000001</v>
          </cell>
        </row>
        <row r="365">
          <cell r="E365">
            <v>1.74</v>
          </cell>
        </row>
        <row r="366">
          <cell r="E366">
            <v>9.48</v>
          </cell>
        </row>
        <row r="367">
          <cell r="E367">
            <v>1.71</v>
          </cell>
        </row>
        <row r="368">
          <cell r="E368">
            <v>111.25</v>
          </cell>
        </row>
        <row r="369">
          <cell r="E369">
            <v>746.75</v>
          </cell>
        </row>
        <row r="370">
          <cell r="E370">
            <v>1217</v>
          </cell>
        </row>
        <row r="371">
          <cell r="E371">
            <v>2847.5</v>
          </cell>
        </row>
        <row r="372">
          <cell r="E372">
            <v>3550</v>
          </cell>
        </row>
        <row r="373">
          <cell r="E373">
            <v>4375</v>
          </cell>
        </row>
        <row r="374">
          <cell r="E374">
            <v>1575</v>
          </cell>
        </row>
        <row r="375">
          <cell r="E375">
            <v>1875</v>
          </cell>
        </row>
        <row r="376">
          <cell r="E376">
            <v>2312.5</v>
          </cell>
        </row>
        <row r="377">
          <cell r="E377">
            <v>2625</v>
          </cell>
        </row>
        <row r="378">
          <cell r="E378">
            <v>400</v>
          </cell>
        </row>
        <row r="379">
          <cell r="E379">
            <v>437.5</v>
          </cell>
        </row>
        <row r="382">
          <cell r="E382">
            <v>1000</v>
          </cell>
        </row>
        <row r="383">
          <cell r="E383">
            <v>1302.0899999999999</v>
          </cell>
        </row>
        <row r="384">
          <cell r="E384">
            <v>1875</v>
          </cell>
        </row>
        <row r="385">
          <cell r="E385">
            <v>3.66</v>
          </cell>
        </row>
        <row r="386">
          <cell r="E386">
            <v>4.3600000000000003</v>
          </cell>
        </row>
        <row r="387">
          <cell r="E387">
            <v>5.59</v>
          </cell>
        </row>
        <row r="388">
          <cell r="E388">
            <v>5.56</v>
          </cell>
        </row>
        <row r="389">
          <cell r="E389">
            <v>6.65</v>
          </cell>
        </row>
        <row r="390">
          <cell r="E390">
            <v>8.5</v>
          </cell>
        </row>
        <row r="391">
          <cell r="E391">
            <v>7.39</v>
          </cell>
        </row>
        <row r="392">
          <cell r="E392">
            <v>8.7899999999999991</v>
          </cell>
        </row>
        <row r="393">
          <cell r="E393">
            <v>11.25</v>
          </cell>
        </row>
        <row r="394">
          <cell r="E394">
            <v>12.39</v>
          </cell>
        </row>
        <row r="395">
          <cell r="E395">
            <v>14.74</v>
          </cell>
        </row>
        <row r="396">
          <cell r="E396">
            <v>18.850000000000001</v>
          </cell>
        </row>
        <row r="397">
          <cell r="E397">
            <v>1.1299999999999999</v>
          </cell>
        </row>
        <row r="398">
          <cell r="E398">
            <v>1.46</v>
          </cell>
        </row>
        <row r="399">
          <cell r="E399">
            <v>2.94</v>
          </cell>
        </row>
        <row r="400">
          <cell r="E400">
            <v>5.4</v>
          </cell>
        </row>
        <row r="401">
          <cell r="E401">
            <v>5.56</v>
          </cell>
        </row>
        <row r="402">
          <cell r="E402">
            <v>0.85</v>
          </cell>
        </row>
        <row r="403">
          <cell r="E403">
            <v>0.26</v>
          </cell>
        </row>
        <row r="404">
          <cell r="E404">
            <v>46.14</v>
          </cell>
        </row>
        <row r="405">
          <cell r="E405">
            <v>0.5</v>
          </cell>
        </row>
        <row r="406">
          <cell r="E406">
            <v>2.64</v>
          </cell>
        </row>
        <row r="407">
          <cell r="E407">
            <v>38.69</v>
          </cell>
        </row>
        <row r="408">
          <cell r="E408">
            <v>2.75</v>
          </cell>
        </row>
        <row r="409">
          <cell r="E409">
            <v>1.88</v>
          </cell>
        </row>
        <row r="410">
          <cell r="E410">
            <v>6.51</v>
          </cell>
        </row>
        <row r="411">
          <cell r="E411">
            <v>7.7</v>
          </cell>
        </row>
        <row r="412">
          <cell r="E412">
            <v>14.74</v>
          </cell>
        </row>
        <row r="413">
          <cell r="E413">
            <v>5.13</v>
          </cell>
        </row>
        <row r="414">
          <cell r="E414">
            <v>43.75</v>
          </cell>
        </row>
        <row r="415">
          <cell r="E415">
            <v>2.92</v>
          </cell>
        </row>
        <row r="416">
          <cell r="E416">
            <v>0.94</v>
          </cell>
        </row>
        <row r="417">
          <cell r="E417">
            <v>1.29</v>
          </cell>
        </row>
        <row r="418">
          <cell r="E418">
            <v>47.5</v>
          </cell>
        </row>
        <row r="419">
          <cell r="E419">
            <v>3.15</v>
          </cell>
        </row>
        <row r="420">
          <cell r="E420">
            <v>4.38</v>
          </cell>
        </row>
        <row r="421">
          <cell r="E421">
            <v>11.81</v>
          </cell>
        </row>
        <row r="422">
          <cell r="E422">
            <v>20.65</v>
          </cell>
        </row>
        <row r="423">
          <cell r="E423">
            <v>37.5</v>
          </cell>
        </row>
        <row r="424">
          <cell r="E424">
            <v>17.34</v>
          </cell>
        </row>
        <row r="425">
          <cell r="E425">
            <v>15</v>
          </cell>
        </row>
        <row r="426">
          <cell r="E426">
            <v>14.58</v>
          </cell>
        </row>
        <row r="427">
          <cell r="E427">
            <v>6.25</v>
          </cell>
        </row>
        <row r="428">
          <cell r="E428">
            <v>0.59</v>
          </cell>
        </row>
        <row r="429">
          <cell r="E429">
            <v>1.1299999999999999</v>
          </cell>
        </row>
        <row r="430">
          <cell r="E430">
            <v>5.59</v>
          </cell>
        </row>
        <row r="431">
          <cell r="E431">
            <v>3.94</v>
          </cell>
        </row>
        <row r="432">
          <cell r="E432">
            <v>0.85</v>
          </cell>
        </row>
        <row r="433">
          <cell r="E433">
            <v>1.78</v>
          </cell>
        </row>
        <row r="434">
          <cell r="E434">
            <v>111.31</v>
          </cell>
        </row>
        <row r="435">
          <cell r="E435">
            <v>175</v>
          </cell>
        </row>
        <row r="436">
          <cell r="E436">
            <v>39.21</v>
          </cell>
        </row>
        <row r="437">
          <cell r="E437">
            <v>9.7799999999999994</v>
          </cell>
        </row>
        <row r="438">
          <cell r="E438">
            <v>13.31</v>
          </cell>
        </row>
        <row r="439">
          <cell r="E439">
            <v>12.5</v>
          </cell>
        </row>
        <row r="440">
          <cell r="E440">
            <v>23.75</v>
          </cell>
        </row>
        <row r="443">
          <cell r="E443">
            <v>4.88</v>
          </cell>
        </row>
        <row r="444">
          <cell r="E444">
            <v>3.25</v>
          </cell>
        </row>
        <row r="445">
          <cell r="E445">
            <v>1.83</v>
          </cell>
        </row>
        <row r="446">
          <cell r="E446">
            <v>5</v>
          </cell>
        </row>
        <row r="447">
          <cell r="E447">
            <v>2.88</v>
          </cell>
        </row>
        <row r="448">
          <cell r="E448">
            <v>2.1800000000000002</v>
          </cell>
        </row>
        <row r="449">
          <cell r="E449">
            <v>7.7</v>
          </cell>
        </row>
        <row r="450">
          <cell r="E450">
            <v>3.43</v>
          </cell>
        </row>
        <row r="451">
          <cell r="E451">
            <v>3.99</v>
          </cell>
        </row>
        <row r="452">
          <cell r="E452">
            <v>1.45</v>
          </cell>
        </row>
        <row r="453">
          <cell r="E453">
            <v>2.5</v>
          </cell>
        </row>
        <row r="454">
          <cell r="E454">
            <v>0.91</v>
          </cell>
        </row>
        <row r="455">
          <cell r="E455">
            <v>4.4800000000000004</v>
          </cell>
        </row>
        <row r="456">
          <cell r="E456">
            <v>8.2899999999999991</v>
          </cell>
        </row>
        <row r="457">
          <cell r="E457">
            <v>15.93</v>
          </cell>
        </row>
        <row r="458">
          <cell r="E458">
            <v>1.75</v>
          </cell>
        </row>
        <row r="459">
          <cell r="E459">
            <v>36.58</v>
          </cell>
        </row>
        <row r="460">
          <cell r="E460">
            <v>6.88</v>
          </cell>
        </row>
        <row r="463">
          <cell r="E463">
            <v>6.93</v>
          </cell>
        </row>
        <row r="464">
          <cell r="E464">
            <v>31.25</v>
          </cell>
        </row>
        <row r="465">
          <cell r="E465">
            <v>30</v>
          </cell>
        </row>
        <row r="466">
          <cell r="E466">
            <v>27.63</v>
          </cell>
        </row>
        <row r="467">
          <cell r="E467">
            <v>6.05</v>
          </cell>
        </row>
        <row r="468">
          <cell r="E468">
            <v>15</v>
          </cell>
        </row>
        <row r="471">
          <cell r="E471">
            <v>16.38</v>
          </cell>
        </row>
        <row r="472">
          <cell r="E472">
            <v>53.75</v>
          </cell>
        </row>
        <row r="473">
          <cell r="E473">
            <v>68.75</v>
          </cell>
        </row>
        <row r="474">
          <cell r="E474">
            <v>94.71</v>
          </cell>
        </row>
        <row r="475">
          <cell r="E475">
            <v>116.38</v>
          </cell>
        </row>
        <row r="476">
          <cell r="E476">
            <v>52.38</v>
          </cell>
        </row>
        <row r="478">
          <cell r="E478">
            <v>137.63</v>
          </cell>
        </row>
        <row r="479">
          <cell r="E479">
            <v>97.69</v>
          </cell>
        </row>
        <row r="480">
          <cell r="E480">
            <v>112.5</v>
          </cell>
        </row>
        <row r="481">
          <cell r="E481">
            <v>117.11</v>
          </cell>
        </row>
        <row r="482">
          <cell r="E482">
            <v>12.63</v>
          </cell>
        </row>
        <row r="483">
          <cell r="E483">
            <v>20.88</v>
          </cell>
        </row>
        <row r="484">
          <cell r="E484">
            <v>156.88</v>
          </cell>
        </row>
        <row r="485">
          <cell r="E485">
            <v>62.5</v>
          </cell>
        </row>
        <row r="486">
          <cell r="E486">
            <v>83.13</v>
          </cell>
        </row>
        <row r="487">
          <cell r="E487">
            <v>176</v>
          </cell>
        </row>
        <row r="488">
          <cell r="E488">
            <v>11.38</v>
          </cell>
        </row>
        <row r="489">
          <cell r="E489">
            <v>8.75</v>
          </cell>
        </row>
        <row r="490">
          <cell r="E490">
            <v>17.5</v>
          </cell>
        </row>
        <row r="491">
          <cell r="E491">
            <v>7.5</v>
          </cell>
        </row>
        <row r="492">
          <cell r="E492">
            <v>11.43</v>
          </cell>
        </row>
        <row r="493">
          <cell r="E493">
            <v>11</v>
          </cell>
        </row>
        <row r="494">
          <cell r="E494">
            <v>8.75</v>
          </cell>
        </row>
        <row r="495">
          <cell r="E495">
            <v>37.5</v>
          </cell>
        </row>
        <row r="496">
          <cell r="E496">
            <v>16.25</v>
          </cell>
        </row>
        <row r="497">
          <cell r="E497">
            <v>50</v>
          </cell>
        </row>
        <row r="498">
          <cell r="E498">
            <v>56.25</v>
          </cell>
        </row>
        <row r="499">
          <cell r="E499">
            <v>55</v>
          </cell>
        </row>
        <row r="500">
          <cell r="E500">
            <v>150</v>
          </cell>
        </row>
        <row r="501">
          <cell r="E501">
            <v>122.13</v>
          </cell>
        </row>
        <row r="504">
          <cell r="E504">
            <v>78</v>
          </cell>
        </row>
        <row r="505">
          <cell r="E505">
            <v>105</v>
          </cell>
        </row>
        <row r="506">
          <cell r="E506">
            <v>118.75</v>
          </cell>
        </row>
        <row r="507">
          <cell r="E507">
            <v>25</v>
          </cell>
        </row>
        <row r="508">
          <cell r="E508">
            <v>22.5</v>
          </cell>
        </row>
        <row r="509">
          <cell r="E509">
            <v>31.25</v>
          </cell>
        </row>
        <row r="510">
          <cell r="E510">
            <v>35</v>
          </cell>
        </row>
        <row r="511">
          <cell r="E511">
            <v>37.5</v>
          </cell>
        </row>
        <row r="512">
          <cell r="E512">
            <v>17.5</v>
          </cell>
        </row>
        <row r="513">
          <cell r="E513">
            <v>17.5</v>
          </cell>
        </row>
        <row r="514">
          <cell r="E514">
            <v>18.75</v>
          </cell>
        </row>
        <row r="515">
          <cell r="E515">
            <v>28.75</v>
          </cell>
        </row>
        <row r="516">
          <cell r="E516">
            <v>15</v>
          </cell>
        </row>
        <row r="517">
          <cell r="E517">
            <v>8.1300000000000008</v>
          </cell>
        </row>
        <row r="518">
          <cell r="E518">
            <v>7</v>
          </cell>
        </row>
        <row r="519">
          <cell r="E519">
            <v>4.5</v>
          </cell>
        </row>
        <row r="520">
          <cell r="E520">
            <v>5.63</v>
          </cell>
        </row>
        <row r="521">
          <cell r="E521">
            <v>3.29</v>
          </cell>
        </row>
        <row r="522">
          <cell r="E522">
            <v>16.350000000000001</v>
          </cell>
        </row>
        <row r="525">
          <cell r="E525">
            <v>2.08</v>
          </cell>
        </row>
        <row r="529">
          <cell r="E529">
            <v>13.87</v>
          </cell>
        </row>
        <row r="530">
          <cell r="E530">
            <v>6.54</v>
          </cell>
        </row>
        <row r="531">
          <cell r="E531">
            <v>1.97</v>
          </cell>
        </row>
        <row r="532">
          <cell r="E532">
            <v>3.94</v>
          </cell>
        </row>
        <row r="533">
          <cell r="E533">
            <v>8.33</v>
          </cell>
        </row>
        <row r="534">
          <cell r="E534">
            <v>2.91</v>
          </cell>
        </row>
        <row r="535">
          <cell r="E535">
            <v>7.38</v>
          </cell>
        </row>
        <row r="536">
          <cell r="E536">
            <v>9.24</v>
          </cell>
        </row>
        <row r="537">
          <cell r="E537">
            <v>8.44</v>
          </cell>
        </row>
        <row r="538">
          <cell r="E538">
            <v>13.19</v>
          </cell>
        </row>
        <row r="539">
          <cell r="E539">
            <v>11.46</v>
          </cell>
        </row>
        <row r="540">
          <cell r="E540">
            <v>17.989999999999998</v>
          </cell>
        </row>
        <row r="541">
          <cell r="E541">
            <v>9.31</v>
          </cell>
        </row>
        <row r="542">
          <cell r="E542">
            <v>10.18</v>
          </cell>
        </row>
        <row r="543">
          <cell r="E543">
            <v>0.38</v>
          </cell>
        </row>
        <row r="545">
          <cell r="E545">
            <v>2.81</v>
          </cell>
        </row>
        <row r="546">
          <cell r="E546">
            <v>0.55000000000000004</v>
          </cell>
        </row>
        <row r="547">
          <cell r="E547">
            <v>3.75</v>
          </cell>
        </row>
        <row r="550">
          <cell r="E550">
            <v>4.87</v>
          </cell>
        </row>
        <row r="553">
          <cell r="E553" t="str">
            <v>c/bdi</v>
          </cell>
        </row>
        <row r="554">
          <cell r="E554">
            <v>61.41</v>
          </cell>
        </row>
        <row r="555">
          <cell r="E555">
            <v>84.1</v>
          </cell>
        </row>
        <row r="557">
          <cell r="E557">
            <v>40.159999999999997</v>
          </cell>
        </row>
        <row r="558">
          <cell r="E558">
            <v>53.91</v>
          </cell>
        </row>
        <row r="559">
          <cell r="E559">
            <v>102.04</v>
          </cell>
        </row>
        <row r="560">
          <cell r="E560">
            <v>129.54</v>
          </cell>
        </row>
        <row r="565">
          <cell r="E565">
            <v>2.5</v>
          </cell>
        </row>
        <row r="567">
          <cell r="E567" t="str">
            <v>c/bdi</v>
          </cell>
        </row>
        <row r="568">
          <cell r="E568">
            <v>0.19</v>
          </cell>
        </row>
        <row r="571">
          <cell r="E571">
            <v>0.25</v>
          </cell>
        </row>
        <row r="572">
          <cell r="E572">
            <v>1.93</v>
          </cell>
        </row>
        <row r="573">
          <cell r="E573">
            <v>7.5</v>
          </cell>
        </row>
        <row r="574">
          <cell r="E574">
            <v>15</v>
          </cell>
        </row>
        <row r="575">
          <cell r="E575">
            <v>13.75</v>
          </cell>
        </row>
        <row r="577">
          <cell r="E577">
            <v>1250.6099999999999</v>
          </cell>
        </row>
        <row r="578">
          <cell r="E578">
            <v>1250.3599999999999</v>
          </cell>
        </row>
        <row r="582">
          <cell r="E582">
            <v>3.03</v>
          </cell>
        </row>
        <row r="583">
          <cell r="E583">
            <v>1.74</v>
          </cell>
        </row>
        <row r="584">
          <cell r="E584">
            <v>94.79</v>
          </cell>
        </row>
        <row r="585">
          <cell r="E585">
            <v>286.49</v>
          </cell>
        </row>
        <row r="588">
          <cell r="E588">
            <v>188.75</v>
          </cell>
        </row>
        <row r="589">
          <cell r="E589">
            <v>53.65</v>
          </cell>
        </row>
        <row r="590">
          <cell r="E590">
            <v>1822.91</v>
          </cell>
        </row>
        <row r="591">
          <cell r="E591">
            <v>541.66</v>
          </cell>
        </row>
        <row r="592">
          <cell r="E592">
            <v>94.79</v>
          </cell>
        </row>
        <row r="595">
          <cell r="E595">
            <v>1050</v>
          </cell>
        </row>
        <row r="596">
          <cell r="E596">
            <v>22.5</v>
          </cell>
        </row>
        <row r="597">
          <cell r="E597">
            <v>1683.1</v>
          </cell>
        </row>
        <row r="602">
          <cell r="E602">
            <v>0.1</v>
          </cell>
        </row>
        <row r="603">
          <cell r="E603">
            <v>0.06</v>
          </cell>
        </row>
        <row r="604">
          <cell r="E604">
            <v>0.04</v>
          </cell>
        </row>
        <row r="605">
          <cell r="E605">
            <v>1.0900000000000001</v>
          </cell>
        </row>
        <row r="606">
          <cell r="E606">
            <v>0.63</v>
          </cell>
        </row>
        <row r="607">
          <cell r="E607">
            <v>0.54</v>
          </cell>
        </row>
        <row r="608">
          <cell r="E608">
            <v>600</v>
          </cell>
        </row>
        <row r="609">
          <cell r="E609">
            <v>0.75</v>
          </cell>
        </row>
        <row r="610">
          <cell r="E610">
            <v>187.5</v>
          </cell>
        </row>
        <row r="613">
          <cell r="E613">
            <v>4</v>
          </cell>
        </row>
        <row r="614">
          <cell r="E614">
            <v>27.55</v>
          </cell>
        </row>
        <row r="615">
          <cell r="E615">
            <v>1.1100000000000001</v>
          </cell>
        </row>
        <row r="616">
          <cell r="E616">
            <v>5</v>
          </cell>
        </row>
        <row r="617">
          <cell r="E617">
            <v>4.16</v>
          </cell>
        </row>
        <row r="618">
          <cell r="E618">
            <v>24.04</v>
          </cell>
        </row>
        <row r="619">
          <cell r="E619">
            <v>111.11</v>
          </cell>
        </row>
        <row r="620">
          <cell r="E620">
            <v>52.63</v>
          </cell>
        </row>
        <row r="621">
          <cell r="E621">
            <v>948</v>
          </cell>
        </row>
        <row r="622">
          <cell r="E622">
            <v>1190.67</v>
          </cell>
        </row>
        <row r="623">
          <cell r="E623">
            <v>96</v>
          </cell>
        </row>
        <row r="624">
          <cell r="E624">
            <v>201.33</v>
          </cell>
        </row>
        <row r="625">
          <cell r="E625">
            <v>75</v>
          </cell>
        </row>
        <row r="626">
          <cell r="E626">
            <v>177.33</v>
          </cell>
        </row>
        <row r="627">
          <cell r="E627">
            <v>402.67</v>
          </cell>
        </row>
        <row r="628">
          <cell r="E628">
            <v>333</v>
          </cell>
        </row>
        <row r="629">
          <cell r="E629">
            <v>333</v>
          </cell>
        </row>
        <row r="630">
          <cell r="E630">
            <v>183.15</v>
          </cell>
        </row>
        <row r="631">
          <cell r="E631">
            <v>1</v>
          </cell>
        </row>
        <row r="632">
          <cell r="E632">
            <v>1</v>
          </cell>
        </row>
        <row r="633">
          <cell r="E633">
            <v>1</v>
          </cell>
        </row>
        <row r="634">
          <cell r="E634">
            <v>125.33</v>
          </cell>
        </row>
        <row r="635">
          <cell r="E635">
            <v>201.33</v>
          </cell>
        </row>
        <row r="636">
          <cell r="E636">
            <v>214.67</v>
          </cell>
        </row>
        <row r="637">
          <cell r="E637">
            <v>201.33</v>
          </cell>
        </row>
        <row r="638">
          <cell r="E638">
            <v>201.33</v>
          </cell>
        </row>
        <row r="639">
          <cell r="E639">
            <v>201.33</v>
          </cell>
        </row>
        <row r="640">
          <cell r="E640">
            <v>201.33</v>
          </cell>
        </row>
        <row r="641">
          <cell r="E641">
            <v>201.33</v>
          </cell>
        </row>
        <row r="644">
          <cell r="E644">
            <v>9942.58</v>
          </cell>
        </row>
        <row r="645">
          <cell r="E645">
            <v>4339</v>
          </cell>
        </row>
        <row r="646">
          <cell r="E646">
            <v>4452</v>
          </cell>
        </row>
        <row r="647">
          <cell r="E647">
            <v>3644</v>
          </cell>
        </row>
        <row r="648">
          <cell r="E648">
            <v>3818</v>
          </cell>
        </row>
        <row r="651">
          <cell r="E651">
            <v>26.25</v>
          </cell>
        </row>
        <row r="652">
          <cell r="E652">
            <v>27.36</v>
          </cell>
        </row>
        <row r="653">
          <cell r="E653">
            <v>54.73</v>
          </cell>
        </row>
        <row r="654">
          <cell r="E654">
            <v>70.86</v>
          </cell>
        </row>
        <row r="655">
          <cell r="E655">
            <v>109.49</v>
          </cell>
        </row>
        <row r="656">
          <cell r="E656">
            <v>130.01</v>
          </cell>
        </row>
        <row r="657">
          <cell r="E657">
            <v>157.38</v>
          </cell>
        </row>
        <row r="658">
          <cell r="E658">
            <v>171.08</v>
          </cell>
        </row>
        <row r="659">
          <cell r="E659">
            <v>26.25</v>
          </cell>
        </row>
        <row r="660">
          <cell r="E660">
            <v>41.06</v>
          </cell>
        </row>
        <row r="661">
          <cell r="E661">
            <v>82.11</v>
          </cell>
        </row>
        <row r="662">
          <cell r="E662">
            <v>123.18</v>
          </cell>
        </row>
        <row r="663">
          <cell r="E663">
            <v>164.23</v>
          </cell>
        </row>
        <row r="664">
          <cell r="E664">
            <v>195</v>
          </cell>
        </row>
        <row r="665">
          <cell r="E665">
            <v>236.08</v>
          </cell>
        </row>
        <row r="666">
          <cell r="E666">
            <v>256.60000000000002</v>
          </cell>
        </row>
        <row r="667">
          <cell r="E667">
            <v>26.25</v>
          </cell>
        </row>
        <row r="668">
          <cell r="E668">
            <v>68.75</v>
          </cell>
        </row>
        <row r="669">
          <cell r="E669">
            <v>136.25</v>
          </cell>
        </row>
        <row r="670">
          <cell r="E670">
            <v>205</v>
          </cell>
        </row>
        <row r="671">
          <cell r="E671">
            <v>273.75</v>
          </cell>
        </row>
        <row r="672">
          <cell r="E672">
            <v>325</v>
          </cell>
        </row>
        <row r="673">
          <cell r="E673">
            <v>393.75</v>
          </cell>
        </row>
        <row r="674">
          <cell r="E674">
            <v>427.5</v>
          </cell>
        </row>
        <row r="675">
          <cell r="E675">
            <v>26.25</v>
          </cell>
        </row>
        <row r="676">
          <cell r="E676">
            <v>68.75</v>
          </cell>
        </row>
        <row r="677">
          <cell r="E677">
            <v>136.25</v>
          </cell>
        </row>
        <row r="678">
          <cell r="E678">
            <v>205</v>
          </cell>
        </row>
        <row r="679">
          <cell r="E679">
            <v>273.75</v>
          </cell>
        </row>
        <row r="680">
          <cell r="E680">
            <v>325</v>
          </cell>
        </row>
        <row r="681">
          <cell r="E681">
            <v>393.75</v>
          </cell>
        </row>
        <row r="682">
          <cell r="E682">
            <v>427.5</v>
          </cell>
        </row>
        <row r="683">
          <cell r="E683">
            <v>24.98</v>
          </cell>
        </row>
        <row r="684">
          <cell r="E684">
            <v>187.34</v>
          </cell>
        </row>
        <row r="685">
          <cell r="E685">
            <v>3.33</v>
          </cell>
        </row>
        <row r="686">
          <cell r="E686">
            <v>3.33</v>
          </cell>
        </row>
        <row r="687">
          <cell r="E687">
            <v>3.33</v>
          </cell>
        </row>
        <row r="688">
          <cell r="E688">
            <v>3.75</v>
          </cell>
        </row>
        <row r="689">
          <cell r="E689">
            <v>3.75</v>
          </cell>
        </row>
        <row r="690">
          <cell r="E690">
            <v>6.25</v>
          </cell>
        </row>
        <row r="691">
          <cell r="E691">
            <v>6.25</v>
          </cell>
        </row>
        <row r="694">
          <cell r="E694">
            <v>3.75</v>
          </cell>
        </row>
        <row r="695">
          <cell r="E695">
            <v>1000</v>
          </cell>
        </row>
        <row r="696">
          <cell r="E696">
            <v>0.38</v>
          </cell>
        </row>
        <row r="697">
          <cell r="E697">
            <v>2.5</v>
          </cell>
        </row>
        <row r="698">
          <cell r="E698">
            <v>150</v>
          </cell>
        </row>
        <row r="699">
          <cell r="E699">
            <v>201.93</v>
          </cell>
        </row>
        <row r="700">
          <cell r="E700">
            <v>1000</v>
          </cell>
        </row>
        <row r="701">
          <cell r="E701">
            <v>27.5</v>
          </cell>
        </row>
        <row r="702">
          <cell r="E702">
            <v>125</v>
          </cell>
        </row>
        <row r="703">
          <cell r="E703">
            <v>262.5</v>
          </cell>
        </row>
        <row r="706">
          <cell r="E706">
            <v>2.11</v>
          </cell>
        </row>
        <row r="707">
          <cell r="E707">
            <v>47.5</v>
          </cell>
        </row>
        <row r="708">
          <cell r="E708">
            <v>37.5</v>
          </cell>
        </row>
        <row r="709">
          <cell r="E709">
            <v>21.25</v>
          </cell>
        </row>
        <row r="710">
          <cell r="E710">
            <v>375</v>
          </cell>
        </row>
        <row r="711">
          <cell r="E711">
            <v>343.75</v>
          </cell>
        </row>
        <row r="712">
          <cell r="E712">
            <v>312.5</v>
          </cell>
        </row>
        <row r="713">
          <cell r="E713">
            <v>87.63</v>
          </cell>
        </row>
        <row r="714">
          <cell r="E714">
            <v>0.57999999999999996</v>
          </cell>
        </row>
        <row r="715">
          <cell r="E715">
            <v>0.57999999999999996</v>
          </cell>
        </row>
        <row r="716">
          <cell r="E716">
            <v>0.57999999999999996</v>
          </cell>
        </row>
        <row r="718">
          <cell r="E718">
            <v>0.57999999999999996</v>
          </cell>
        </row>
      </sheetData>
      <sheetData sheetId="1"/>
      <sheetData sheetId="2"/>
      <sheetData sheetId="3"/>
      <sheetData sheetId="4"/>
      <sheetData sheetId="5"/>
      <sheetData sheetId="6">
        <row r="10">
          <cell r="F10">
            <v>0.8</v>
          </cell>
        </row>
        <row r="12">
          <cell r="A12">
            <v>2.11</v>
          </cell>
          <cell r="F12">
            <v>0.1</v>
          </cell>
        </row>
        <row r="13">
          <cell r="A13">
            <v>2.59</v>
          </cell>
        </row>
        <row r="14">
          <cell r="A14">
            <v>0.63</v>
          </cell>
        </row>
        <row r="15">
          <cell r="A15">
            <v>2.2000000000000002</v>
          </cell>
        </row>
        <row r="16">
          <cell r="A16">
            <v>0.5</v>
          </cell>
          <cell r="F16">
            <v>0.2</v>
          </cell>
        </row>
        <row r="21">
          <cell r="N21">
            <v>290.38437181507879</v>
          </cell>
          <cell r="P21">
            <v>85.459371065078784</v>
          </cell>
        </row>
        <row r="22">
          <cell r="N22">
            <v>133.60474754067704</v>
          </cell>
          <cell r="P22">
            <v>42.139747790677049</v>
          </cell>
        </row>
        <row r="23">
          <cell r="N23">
            <v>114.1515373339458</v>
          </cell>
          <cell r="P23">
            <v>37.80778673394579</v>
          </cell>
        </row>
        <row r="26">
          <cell r="N26">
            <v>94.164194901878531</v>
          </cell>
          <cell r="P26">
            <v>25.177588562592817</v>
          </cell>
        </row>
        <row r="27">
          <cell r="N27">
            <v>64.848834786054383</v>
          </cell>
          <cell r="P27">
            <v>21.535692089625812</v>
          </cell>
        </row>
        <row r="28">
          <cell r="N28">
            <v>40.577919612318155</v>
          </cell>
          <cell r="P28">
            <v>16.072847380175304</v>
          </cell>
        </row>
        <row r="29">
          <cell r="N29">
            <v>94.580279728142301</v>
          </cell>
          <cell r="P29">
            <v>19.714743853142309</v>
          </cell>
        </row>
        <row r="30">
          <cell r="N30">
            <v>1.016992142649882</v>
          </cell>
          <cell r="P30">
            <v>0.74355448639988198</v>
          </cell>
        </row>
        <row r="31">
          <cell r="N31">
            <v>73.830445761869171</v>
          </cell>
          <cell r="P31">
            <v>17.10794476186917</v>
          </cell>
        </row>
        <row r="32">
          <cell r="N32">
            <v>86.355168164530241</v>
          </cell>
        </row>
        <row r="33">
          <cell r="N33">
            <v>114.96516305045743</v>
          </cell>
          <cell r="P33">
            <v>21.152829300457448</v>
          </cell>
        </row>
        <row r="34">
          <cell r="N34">
            <v>90.788342298191594</v>
          </cell>
          <cell r="P34">
            <v>20.389007923191585</v>
          </cell>
        </row>
        <row r="35">
          <cell r="N35">
            <v>68.035766453577878</v>
          </cell>
          <cell r="P35">
            <v>19.625183745244541</v>
          </cell>
        </row>
        <row r="36">
          <cell r="N36">
            <v>11.570883307907778</v>
          </cell>
          <cell r="P36">
            <v>8.7771321079077786</v>
          </cell>
        </row>
        <row r="37">
          <cell r="N37">
            <v>95.350129098237545</v>
          </cell>
          <cell r="P37">
            <v>21.635128098237537</v>
          </cell>
        </row>
        <row r="38">
          <cell r="N38">
            <v>87.837742953866439</v>
          </cell>
          <cell r="P38">
            <v>17.396741953866435</v>
          </cell>
        </row>
        <row r="39">
          <cell r="N39">
            <v>9.4804934293339596</v>
          </cell>
          <cell r="P39">
            <v>8.4367777348895139</v>
          </cell>
        </row>
        <row r="40">
          <cell r="N40">
            <v>9.8250963185466489</v>
          </cell>
          <cell r="P40">
            <v>8.3072829435466495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Orçamento Analítico"/>
      <sheetName val="Composições"/>
      <sheetName val="Cronograma"/>
      <sheetName val="LSO"/>
      <sheetName val="BDI"/>
      <sheetName val="BDI (MATERIAL)"/>
      <sheetName val="IA"/>
      <sheetName val="CM"/>
      <sheetName val="M_deCálculo"/>
      <sheetName val="Res_M_deCálculo"/>
      <sheetName val="DistPolos"/>
      <sheetName val="Insumos"/>
      <sheetName val="CPU-04-17"/>
      <sheetName val="INS-04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F61">
            <v>0.16</v>
          </cell>
        </row>
        <row r="153">
          <cell r="F153">
            <v>49.05</v>
          </cell>
        </row>
        <row r="288">
          <cell r="F288" t="e">
            <v>#N/A</v>
          </cell>
        </row>
        <row r="522">
          <cell r="F522">
            <v>59.98</v>
          </cell>
        </row>
        <row r="567">
          <cell r="F567" t="e">
            <v>#N/A</v>
          </cell>
        </row>
        <row r="578">
          <cell r="F578" t="e">
            <v>#N/A</v>
          </cell>
        </row>
        <row r="1060">
          <cell r="F1060" t="e">
            <v>#N/A</v>
          </cell>
        </row>
        <row r="1134">
          <cell r="F1134" t="e">
            <v>#N/A</v>
          </cell>
        </row>
        <row r="1290">
          <cell r="F1290" t="e">
            <v>#N/A</v>
          </cell>
        </row>
        <row r="1404">
          <cell r="F1404" t="e">
            <v>#N/A</v>
          </cell>
        </row>
        <row r="1405">
          <cell r="F1405" t="e">
            <v>#N/A</v>
          </cell>
        </row>
        <row r="1406">
          <cell r="F1406" t="e">
            <v>#N/A</v>
          </cell>
        </row>
        <row r="1407">
          <cell r="F1407" t="e">
            <v>#N/A</v>
          </cell>
        </row>
        <row r="1408">
          <cell r="F1408" t="e">
            <v>#N/A</v>
          </cell>
        </row>
        <row r="1409">
          <cell r="F1409" t="e">
            <v>#N/A</v>
          </cell>
        </row>
        <row r="1410">
          <cell r="F1410" t="e">
            <v>#N/A</v>
          </cell>
        </row>
        <row r="1413">
          <cell r="F1413" t="e">
            <v>#N/A</v>
          </cell>
        </row>
      </sheetData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"/>
      <sheetName val="Venda"/>
      <sheetName val="Custo"/>
      <sheetName val="Composições"/>
      <sheetName val="Comp aux"/>
      <sheetName val="Insumos"/>
      <sheetName val="Instalações"/>
      <sheetName val="BDI"/>
      <sheetName val="LS Com aliment e vale transp"/>
      <sheetName val="Demonstra L.S."/>
      <sheetName val="Jornada"/>
      <sheetName val="Composiçõ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Orçamento"/>
      <sheetName val="Cronograma"/>
      <sheetName val="LSO"/>
      <sheetName val="BDI"/>
      <sheetName val="IA"/>
      <sheetName val="CM"/>
      <sheetName val="Composições"/>
      <sheetName val="M_deCálculo"/>
      <sheetName val="Res_M_deCálculo"/>
      <sheetName val="DistPolos"/>
      <sheetName val="Insumos"/>
      <sheetName val="CPU-01-16"/>
      <sheetName val="INS-01-16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35">
          <cell r="F535">
            <v>22.46</v>
          </cell>
        </row>
        <row r="1373">
          <cell r="F1373">
            <v>130.15</v>
          </cell>
        </row>
      </sheetData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ÃO TP 15"/>
      <sheetName val="INSUMOS"/>
    </sheetNames>
    <sheetDataSet>
      <sheetData sheetId="0" refreshError="1"/>
      <sheetData sheetId="1" refreshError="1">
        <row r="18">
          <cell r="C18">
            <v>2.2999999999999998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ÇÃO"/>
      <sheetName val="FUNDAÇÕES"/>
      <sheetName val="ESTRUTURA"/>
      <sheetName val="ALVENARIA"/>
      <sheetName val="PAVIMENTAÇÃO"/>
      <sheetName val="REVESTIMENTO"/>
      <sheetName val="ESQUADRIAS"/>
      <sheetName val="COBERTURA TERMOACUSTICA"/>
      <sheetName val="COBERTURA ACESS"/>
      <sheetName val="COBERTURA"/>
      <sheetName val="PINTURA"/>
      <sheetName val="DIVERSOS"/>
      <sheetName val="INST_ELET"/>
      <sheetName val="INST_CABEAMENTO"/>
      <sheetName val="Plan1"/>
    </sheetNames>
    <sheetDataSet>
      <sheetData sheetId="0">
        <row r="9">
          <cell r="E9">
            <v>8.09</v>
          </cell>
        </row>
      </sheetData>
      <sheetData sheetId="1" refreshError="1">
        <row r="19">
          <cell r="F19">
            <v>257.95999999999998</v>
          </cell>
        </row>
        <row r="48">
          <cell r="E48">
            <v>8.09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Quantitativos"/>
      <sheetName val="Orçamento"/>
      <sheetName val="Composições"/>
      <sheetName val="Cronograma"/>
      <sheetName val="Insumos (não imprimir)"/>
      <sheetName val="Insumos _não imprimir_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C2">
            <v>126</v>
          </cell>
        </row>
        <row r="3">
          <cell r="C3">
            <v>30</v>
          </cell>
        </row>
      </sheetData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CAMENTO"/>
      <sheetName val="RESUMO"/>
      <sheetName val="COMPOSICOES"/>
      <sheetName val="COMPOSICOES PROPRIAS"/>
      <sheetName val="CURVA ABC SERVICOS"/>
      <sheetName val="CRONOGRAMA"/>
      <sheetName val="BDI"/>
      <sheetName val="ENCARGOS SOCIAIS"/>
      <sheetName val="S-I-09-20"/>
      <sheetName val="S-C-09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outlinePr summaryBelow="0"/>
  </sheetPr>
  <dimension ref="A2:BL1165"/>
  <sheetViews>
    <sheetView view="pageBreakPreview" zoomScale="90" zoomScaleSheetLayoutView="90" workbookViewId="0">
      <pane ySplit="21" topLeftCell="A38" activePane="bottomLeft" state="frozen"/>
      <selection activeCell="BC112" sqref="BC112"/>
      <selection pane="bottomLeft" activeCell="H231" sqref="H231"/>
    </sheetView>
  </sheetViews>
  <sheetFormatPr defaultColWidth="9.140625" defaultRowHeight="15"/>
  <cols>
    <col min="1" max="1" width="10.85546875" style="2" bestFit="1" customWidth="1"/>
    <col min="2" max="2" width="13.42578125" style="2" hidden="1" customWidth="1"/>
    <col min="3" max="3" width="55.7109375" style="2" customWidth="1"/>
    <col min="4" max="4" width="15.5703125" style="2" hidden="1" customWidth="1"/>
    <col min="5" max="5" width="6.5703125" style="2" bestFit="1" customWidth="1"/>
    <col min="6" max="6" width="10.7109375" style="2" bestFit="1" customWidth="1"/>
    <col min="7" max="8" width="12.42578125" style="2" bestFit="1" customWidth="1"/>
    <col min="9" max="9" width="17.28515625" style="2" customWidth="1"/>
    <col min="10" max="10" width="14.28515625" style="2" hidden="1" customWidth="1"/>
    <col min="11" max="11" width="10" style="368" hidden="1" customWidth="1"/>
    <col min="12" max="12" width="13.140625" style="368" hidden="1" customWidth="1"/>
    <col min="13" max="13" width="11.5703125" style="2" hidden="1" customWidth="1"/>
    <col min="14" max="14" width="94.85546875" style="2" hidden="1" customWidth="1"/>
    <col min="15" max="15" width="20.140625" style="2" hidden="1" customWidth="1"/>
    <col min="16" max="16" width="22.5703125" style="2" hidden="1" customWidth="1"/>
    <col min="17" max="17" width="17.5703125" style="2" hidden="1" customWidth="1"/>
    <col min="18" max="51" width="0" style="2" hidden="1" customWidth="1"/>
    <col min="52" max="52" width="9.140625" style="27"/>
    <col min="53" max="53" width="10.28515625" style="2" bestFit="1" customWidth="1"/>
    <col min="54" max="54" width="9.140625" style="2"/>
    <col min="55" max="55" width="13.85546875" style="27" customWidth="1"/>
    <col min="56" max="56" width="12.42578125" style="27" bestFit="1" customWidth="1"/>
    <col min="57" max="57" width="12.42578125" style="27" customWidth="1"/>
    <col min="58" max="58" width="14.28515625" style="27" customWidth="1"/>
    <col min="59" max="59" width="15.85546875" style="2" bestFit="1" customWidth="1"/>
    <col min="60" max="60" width="14.7109375" style="2" bestFit="1" customWidth="1"/>
    <col min="61" max="61" width="9.140625" style="2"/>
    <col min="62" max="62" width="22.42578125" style="2" customWidth="1"/>
    <col min="63" max="63" width="9.140625" style="2"/>
    <col min="64" max="64" width="13.85546875" style="2" bestFit="1" customWidth="1"/>
    <col min="65" max="16384" width="9.140625" style="2"/>
  </cols>
  <sheetData>
    <row r="2" spans="1:13" hidden="1">
      <c r="C2" s="234" t="s">
        <v>3456</v>
      </c>
    </row>
    <row r="3" spans="1:13" hidden="1">
      <c r="C3" s="234" t="s">
        <v>3457</v>
      </c>
    </row>
    <row r="4" spans="1:13" hidden="1">
      <c r="C4" s="234" t="s">
        <v>3458</v>
      </c>
    </row>
    <row r="5" spans="1:13" hidden="1">
      <c r="C5" s="234" t="s">
        <v>3459</v>
      </c>
    </row>
    <row r="6" spans="1:13" hidden="1">
      <c r="C6" s="234" t="s">
        <v>3460</v>
      </c>
    </row>
    <row r="7" spans="1:13" hidden="1">
      <c r="C7" s="902" t="s">
        <v>3470</v>
      </c>
      <c r="D7" s="902"/>
      <c r="E7" s="902"/>
    </row>
    <row r="8" spans="1:13" ht="23.25" hidden="1" customHeight="1">
      <c r="C8" s="902"/>
      <c r="D8" s="902"/>
      <c r="E8" s="902"/>
    </row>
    <row r="9" spans="1:13" hidden="1">
      <c r="C9" s="234" t="s">
        <v>3479</v>
      </c>
    </row>
    <row r="10" spans="1:13" hidden="1">
      <c r="C10" s="234"/>
    </row>
    <row r="11" spans="1:13" ht="25.5" hidden="1" customHeight="1">
      <c r="A11" s="910" t="s">
        <v>3471</v>
      </c>
      <c r="B11" s="910"/>
      <c r="C11" s="910"/>
      <c r="D11" s="910"/>
      <c r="E11" s="910"/>
      <c r="F11" s="910"/>
      <c r="G11" s="910"/>
      <c r="H11" s="910"/>
      <c r="I11" s="910"/>
    </row>
    <row r="12" spans="1:13" ht="25.5" hidden="1">
      <c r="A12" s="911" t="s">
        <v>3023</v>
      </c>
      <c r="B12" s="911"/>
      <c r="C12" s="911"/>
      <c r="D12" s="911"/>
      <c r="E12" s="911"/>
      <c r="F12" s="911"/>
      <c r="G12" s="911"/>
      <c r="H12" s="911"/>
      <c r="I12" s="911"/>
    </row>
    <row r="13" spans="1:13" ht="15" hidden="1" customHeight="1">
      <c r="A13" s="905" t="s">
        <v>1829</v>
      </c>
      <c r="B13" s="902" t="s">
        <v>3472</v>
      </c>
      <c r="C13" s="902"/>
      <c r="D13" s="902"/>
      <c r="E13" s="431"/>
      <c r="F13" s="431"/>
      <c r="G13" s="433"/>
      <c r="H13" s="433"/>
      <c r="I13" s="434"/>
      <c r="J13" s="21" t="s">
        <v>8</v>
      </c>
      <c r="K13" s="360"/>
      <c r="L13" s="360"/>
      <c r="M13" s="21"/>
    </row>
    <row r="14" spans="1:13" ht="28.5" hidden="1" customHeight="1">
      <c r="A14" s="905"/>
      <c r="B14" s="902"/>
      <c r="C14" s="902"/>
      <c r="D14" s="902"/>
      <c r="E14" s="431"/>
      <c r="F14" s="431"/>
      <c r="G14" s="240"/>
      <c r="H14" s="241"/>
      <c r="I14" s="242"/>
      <c r="J14" s="48">
        <v>0.2681</v>
      </c>
      <c r="K14" s="361"/>
      <c r="L14" s="361"/>
      <c r="M14" s="48"/>
    </row>
    <row r="15" spans="1:13" ht="21.6" hidden="1" customHeight="1">
      <c r="A15" s="905" t="s">
        <v>1830</v>
      </c>
      <c r="B15" s="906" t="s">
        <v>3021</v>
      </c>
      <c r="C15" s="906"/>
      <c r="D15" s="906"/>
      <c r="E15" s="431"/>
      <c r="F15" s="431"/>
      <c r="G15" s="240"/>
      <c r="H15" s="241"/>
      <c r="I15" s="242"/>
      <c r="J15" s="48">
        <v>0.18679999999999999</v>
      </c>
      <c r="K15" s="361">
        <v>0.15</v>
      </c>
      <c r="L15" s="361"/>
      <c r="M15" s="48"/>
    </row>
    <row r="16" spans="1:13" hidden="1">
      <c r="A16" s="905"/>
      <c r="B16" s="906"/>
      <c r="C16" s="906"/>
      <c r="D16" s="906"/>
      <c r="E16" s="432"/>
      <c r="F16" s="432"/>
      <c r="G16" s="240"/>
      <c r="H16" s="239"/>
      <c r="I16" s="242"/>
    </row>
    <row r="17" spans="1:60" ht="24" customHeight="1">
      <c r="A17" s="20" t="s">
        <v>1831</v>
      </c>
      <c r="B17" s="906" t="s">
        <v>2562</v>
      </c>
      <c r="C17" s="906"/>
      <c r="D17" s="906"/>
      <c r="E17" s="430"/>
      <c r="F17" s="430"/>
      <c r="G17" s="240"/>
      <c r="H17" s="241"/>
      <c r="I17" s="242"/>
      <c r="BG17" s="2" t="s">
        <v>3942</v>
      </c>
      <c r="BH17" s="2">
        <v>938.47500000000002</v>
      </c>
    </row>
    <row r="18" spans="1:60" ht="27.6" customHeight="1">
      <c r="A18" s="20" t="s">
        <v>1832</v>
      </c>
      <c r="B18" s="907">
        <f>1896.13+1204.29</f>
        <v>3100.42</v>
      </c>
      <c r="C18" s="908"/>
      <c r="D18" s="909"/>
      <c r="E18" s="430"/>
      <c r="F18" s="430"/>
      <c r="G18" s="240"/>
      <c r="H18" s="240"/>
      <c r="I18" s="240"/>
      <c r="BG18" s="2" t="s">
        <v>4094</v>
      </c>
      <c r="BH18" s="2">
        <v>1045.4690000000001</v>
      </c>
    </row>
    <row r="19" spans="1:60" ht="21" customHeight="1">
      <c r="A19" s="904" t="s">
        <v>4119</v>
      </c>
      <c r="B19" s="904"/>
      <c r="C19" s="904"/>
      <c r="D19" s="904"/>
      <c r="E19" s="904"/>
      <c r="F19" s="904"/>
      <c r="G19" s="904"/>
      <c r="H19" s="904"/>
      <c r="I19" s="904"/>
      <c r="AZ19" s="899" t="s">
        <v>4118</v>
      </c>
      <c r="BA19" s="900"/>
      <c r="BB19" s="900"/>
      <c r="BC19" s="900"/>
      <c r="BD19" s="900"/>
      <c r="BE19" s="900"/>
      <c r="BF19" s="901"/>
      <c r="BH19" s="550">
        <f>(BH18-BH17)/BH17+1</f>
        <v>1.1140083646341139</v>
      </c>
    </row>
    <row r="20" spans="1:60" ht="15" customHeight="1">
      <c r="A20" s="892" t="s">
        <v>0</v>
      </c>
      <c r="B20" s="892" t="s">
        <v>1</v>
      </c>
      <c r="C20" s="892" t="s">
        <v>2</v>
      </c>
      <c r="D20" s="892" t="s">
        <v>3</v>
      </c>
      <c r="E20" s="892" t="s">
        <v>4</v>
      </c>
      <c r="F20" s="892" t="s">
        <v>1769</v>
      </c>
      <c r="G20" s="892" t="s">
        <v>5</v>
      </c>
      <c r="H20" s="893"/>
      <c r="I20" s="892" t="s">
        <v>6</v>
      </c>
      <c r="AZ20" s="897" t="s">
        <v>4106</v>
      </c>
      <c r="BA20" s="897"/>
      <c r="BB20" s="897"/>
      <c r="BC20" s="897"/>
      <c r="BD20" s="891" t="s">
        <v>4107</v>
      </c>
      <c r="BE20" s="892"/>
      <c r="BF20" s="893"/>
    </row>
    <row r="21" spans="1:60" ht="28.5">
      <c r="A21" s="895"/>
      <c r="B21" s="895"/>
      <c r="C21" s="895"/>
      <c r="D21" s="895"/>
      <c r="E21" s="895"/>
      <c r="F21" s="895"/>
      <c r="G21" s="3" t="s">
        <v>7</v>
      </c>
      <c r="H21" s="3" t="s">
        <v>9</v>
      </c>
      <c r="I21" s="895"/>
      <c r="AZ21" s="853" t="s">
        <v>1769</v>
      </c>
      <c r="BA21" s="853" t="s">
        <v>7</v>
      </c>
      <c r="BB21" s="853" t="s">
        <v>9</v>
      </c>
      <c r="BC21" s="853" t="s">
        <v>368</v>
      </c>
      <c r="BD21" s="482" t="s">
        <v>7</v>
      </c>
      <c r="BE21" s="482" t="s">
        <v>9</v>
      </c>
      <c r="BF21" s="482" t="s">
        <v>368</v>
      </c>
    </row>
    <row r="22" spans="1:60" s="62" customFormat="1" ht="15" customHeight="1">
      <c r="A22" s="139">
        <v>1</v>
      </c>
      <c r="B22" s="244"/>
      <c r="C22" s="244" t="s">
        <v>10</v>
      </c>
      <c r="D22" s="245"/>
      <c r="E22" s="245"/>
      <c r="F22" s="245"/>
      <c r="G22" s="245"/>
      <c r="H22" s="245"/>
      <c r="I22" s="96">
        <f>ROUND(SUM(I23:I32),2)</f>
        <v>519064.14</v>
      </c>
      <c r="J22" s="61">
        <f>I22/I1148</f>
        <v>4.7556382735652075E-2</v>
      </c>
      <c r="K22" s="373"/>
      <c r="L22" s="373"/>
      <c r="M22" s="61"/>
      <c r="AY22" s="221"/>
      <c r="AZ22" s="861"/>
      <c r="BA22" s="862"/>
      <c r="BB22" s="861"/>
      <c r="BC22" s="863">
        <f>ROUND(SUM(BC23:BC32),2)</f>
        <v>185157.82</v>
      </c>
      <c r="BD22" s="481"/>
      <c r="BE22" s="481"/>
      <c r="BF22" s="96">
        <f>ROUND(SUM(BF23:BF32),2)</f>
        <v>371984.96</v>
      </c>
    </row>
    <row r="23" spans="1:60" s="62" customFormat="1" ht="47.25" customHeight="1">
      <c r="A23" s="23" t="s">
        <v>649</v>
      </c>
      <c r="B23" s="24">
        <v>93565</v>
      </c>
      <c r="C23" s="23" t="s">
        <v>11</v>
      </c>
      <c r="D23" s="25" t="s">
        <v>12</v>
      </c>
      <c r="E23" s="25" t="s">
        <v>13</v>
      </c>
      <c r="F23" s="26">
        <v>1</v>
      </c>
      <c r="G23" s="26">
        <f>K23-(K23*$K$15)</f>
        <v>12013.0245</v>
      </c>
      <c r="H23" s="26">
        <f t="shared" ref="H23:H32" si="0">ROUND(G23*(1+$J$14),2)</f>
        <v>15233.72</v>
      </c>
      <c r="I23" s="26">
        <f t="shared" ref="I23:I32" si="1">ROUND(H23*F23,2)</f>
        <v>15233.72</v>
      </c>
      <c r="J23" s="64" t="e">
        <f>IF(B23&lt;&gt;0,VLOOKUP(B23,#REF!,4,FALSE),"")</f>
        <v>#REF!</v>
      </c>
      <c r="K23" s="362">
        <v>14132.97</v>
      </c>
      <c r="L23" s="362">
        <f>F23*G23</f>
        <v>12013.0245</v>
      </c>
      <c r="M23" s="64"/>
      <c r="N23" s="65" t="e">
        <f>IF(B23&lt;&gt;0,VLOOKUP(B23,#REF!,2,FALSE),"")</f>
        <v>#REF!</v>
      </c>
      <c r="AY23" s="221"/>
      <c r="AZ23" s="163">
        <f>F23</f>
        <v>1</v>
      </c>
      <c r="BA23" s="163">
        <f>G23</f>
        <v>12013.0245</v>
      </c>
      <c r="BB23" s="163">
        <f>ROUND(BA23*(1+$J$14),2)</f>
        <v>15233.72</v>
      </c>
      <c r="BC23" s="163">
        <f>ROUND(BB23*AZ23,2)</f>
        <v>15233.72</v>
      </c>
      <c r="BD23" s="163"/>
      <c r="BE23" s="163"/>
      <c r="BF23" s="163"/>
    </row>
    <row r="24" spans="1:60" s="34" customFormat="1" ht="30">
      <c r="A24" s="471" t="s">
        <v>650</v>
      </c>
      <c r="B24" s="475">
        <v>93565</v>
      </c>
      <c r="C24" s="471" t="s">
        <v>14</v>
      </c>
      <c r="D24" s="472" t="s">
        <v>12</v>
      </c>
      <c r="E24" s="472" t="s">
        <v>13</v>
      </c>
      <c r="F24" s="473">
        <v>12</v>
      </c>
      <c r="G24" s="473">
        <f t="shared" ref="G24:G87" si="2">K24-(K24*$K$15)</f>
        <v>12013.0245</v>
      </c>
      <c r="H24" s="473">
        <f t="shared" si="0"/>
        <v>15233.72</v>
      </c>
      <c r="I24" s="473">
        <f t="shared" si="1"/>
        <v>182804.64</v>
      </c>
      <c r="J24" s="474" t="e">
        <f>IF(B24&lt;&gt;0,VLOOKUP(B24,#REF!,4,FALSE),"")</f>
        <v>#REF!</v>
      </c>
      <c r="K24" s="378" t="s">
        <v>3198</v>
      </c>
      <c r="L24" s="378">
        <f t="shared" ref="L24:L87" si="3">F24*G24</f>
        <v>144156.29399999999</v>
      </c>
      <c r="M24" s="474"/>
      <c r="N24" s="47" t="e">
        <f>IF(B24&lt;&gt;0,VLOOKUP(B24,#REF!,2,FALSE),"")</f>
        <v>#REF!</v>
      </c>
      <c r="AY24" s="577"/>
      <c r="AZ24" s="523">
        <v>4</v>
      </c>
      <c r="BA24" s="523">
        <f t="shared" ref="BA24:BA32" si="4">G24</f>
        <v>12013.0245</v>
      </c>
      <c r="BB24" s="523">
        <f t="shared" ref="BB24:BB32" si="5">ROUND(BA24*(1+$J$14),2)</f>
        <v>15233.72</v>
      </c>
      <c r="BC24" s="523">
        <f t="shared" ref="BC24:BC32" si="6">ROUND(BB24*AZ24,2)</f>
        <v>60934.879999999997</v>
      </c>
      <c r="BD24" s="523">
        <f>ROUND(G24*$BH$19,2)</f>
        <v>13382.61</v>
      </c>
      <c r="BE24" s="523">
        <f t="shared" ref="BE24:BE32" si="7">ROUND(BD24*(1+$J$14),2)</f>
        <v>16970.490000000002</v>
      </c>
      <c r="BF24" s="523">
        <f>ROUND(BE24*(F24-AZ24),2)</f>
        <v>135763.92000000001</v>
      </c>
    </row>
    <row r="25" spans="1:60" s="28" customFormat="1">
      <c r="A25" s="23" t="s">
        <v>651</v>
      </c>
      <c r="B25" s="25" t="str">
        <f>'COMPOSIÇÃO DE CUSTOS'!G1841</f>
        <v>COMP-1</v>
      </c>
      <c r="C25" s="23" t="s">
        <v>15</v>
      </c>
      <c r="D25" s="25" t="s">
        <v>1915</v>
      </c>
      <c r="E25" s="25" t="s">
        <v>17</v>
      </c>
      <c r="F25" s="26">
        <v>3</v>
      </c>
      <c r="G25" s="26">
        <f t="shared" si="2"/>
        <v>198.84899999999999</v>
      </c>
      <c r="H25" s="26">
        <f t="shared" si="0"/>
        <v>252.16</v>
      </c>
      <c r="I25" s="26">
        <f t="shared" si="1"/>
        <v>756.48</v>
      </c>
      <c r="J25" s="36">
        <f>'COMPOSIÇÃO DE CUSTOS'!G1844</f>
        <v>233.94</v>
      </c>
      <c r="K25" s="374">
        <v>233.94</v>
      </c>
      <c r="L25" s="362">
        <f t="shared" si="3"/>
        <v>596.54700000000003</v>
      </c>
      <c r="M25" s="36"/>
      <c r="N25" s="37"/>
      <c r="AY25" s="370"/>
      <c r="AZ25" s="163">
        <f>F25</f>
        <v>3</v>
      </c>
      <c r="BA25" s="163">
        <f t="shared" si="4"/>
        <v>198.84899999999999</v>
      </c>
      <c r="BB25" s="163">
        <f t="shared" si="5"/>
        <v>252.16</v>
      </c>
      <c r="BC25" s="163">
        <f t="shared" si="6"/>
        <v>756.48</v>
      </c>
      <c r="BD25" s="163"/>
      <c r="BE25" s="163"/>
      <c r="BF25" s="163"/>
    </row>
    <row r="26" spans="1:60" s="34" customFormat="1" ht="30">
      <c r="A26" s="471" t="s">
        <v>652</v>
      </c>
      <c r="B26" s="475">
        <v>91677</v>
      </c>
      <c r="C26" s="471" t="s">
        <v>18</v>
      </c>
      <c r="D26" s="472" t="s">
        <v>12</v>
      </c>
      <c r="E26" s="472" t="s">
        <v>19</v>
      </c>
      <c r="F26" s="473">
        <f>12*44</f>
        <v>528</v>
      </c>
      <c r="G26" s="473">
        <f t="shared" si="2"/>
        <v>66.588999999999999</v>
      </c>
      <c r="H26" s="473">
        <f t="shared" si="0"/>
        <v>84.44</v>
      </c>
      <c r="I26" s="473">
        <f t="shared" si="1"/>
        <v>44584.32</v>
      </c>
      <c r="J26" s="474" t="e">
        <f>IF(B26&lt;&gt;0,VLOOKUP(B26,#REF!,4,FALSE),"")</f>
        <v>#REF!</v>
      </c>
      <c r="K26" s="378" t="s">
        <v>3195</v>
      </c>
      <c r="L26" s="378">
        <f t="shared" si="3"/>
        <v>35158.991999999998</v>
      </c>
      <c r="M26" s="474"/>
      <c r="N26" s="47" t="e">
        <f>IF(B26&lt;&gt;0,VLOOKUP(B26,#REF!,2,FALSE),"")</f>
        <v>#REF!</v>
      </c>
      <c r="AY26" s="577"/>
      <c r="AZ26" s="523">
        <f>44*4</f>
        <v>176</v>
      </c>
      <c r="BA26" s="523">
        <f t="shared" si="4"/>
        <v>66.588999999999999</v>
      </c>
      <c r="BB26" s="523">
        <f t="shared" si="5"/>
        <v>84.44</v>
      </c>
      <c r="BC26" s="523">
        <f t="shared" si="6"/>
        <v>14861.44</v>
      </c>
      <c r="BD26" s="523">
        <f>ROUND(G26*$BH$19,2)</f>
        <v>74.180000000000007</v>
      </c>
      <c r="BE26" s="523">
        <f t="shared" si="7"/>
        <v>94.07</v>
      </c>
      <c r="BF26" s="523">
        <f>ROUND(BE26*(F26-AZ26),2)</f>
        <v>33112.639999999999</v>
      </c>
    </row>
    <row r="27" spans="1:60" s="34" customFormat="1" ht="30">
      <c r="A27" s="471" t="s">
        <v>653</v>
      </c>
      <c r="B27" s="475">
        <v>94295</v>
      </c>
      <c r="C27" s="471" t="s">
        <v>20</v>
      </c>
      <c r="D27" s="472" t="s">
        <v>12</v>
      </c>
      <c r="E27" s="472" t="s">
        <v>13</v>
      </c>
      <c r="F27" s="473">
        <v>12</v>
      </c>
      <c r="G27" s="473">
        <f t="shared" si="2"/>
        <v>4931.2920000000004</v>
      </c>
      <c r="H27" s="473">
        <f t="shared" si="0"/>
        <v>6253.37</v>
      </c>
      <c r="I27" s="473">
        <f t="shared" si="1"/>
        <v>75040.44</v>
      </c>
      <c r="J27" s="474" t="e">
        <f>IF(B27&lt;&gt;0,VLOOKUP(B27,#REF!,4,FALSE),"")</f>
        <v>#REF!</v>
      </c>
      <c r="K27" s="378" t="s">
        <v>3199</v>
      </c>
      <c r="L27" s="378">
        <f t="shared" si="3"/>
        <v>59175.504000000001</v>
      </c>
      <c r="M27" s="474"/>
      <c r="N27" s="47" t="e">
        <f>IF(B27&lt;&gt;0,VLOOKUP(B27,#REF!,2,FALSE),"")</f>
        <v>#REF!</v>
      </c>
      <c r="AY27" s="577"/>
      <c r="AZ27" s="523">
        <v>4</v>
      </c>
      <c r="BA27" s="523">
        <f t="shared" si="4"/>
        <v>4931.2920000000004</v>
      </c>
      <c r="BB27" s="523">
        <f t="shared" si="5"/>
        <v>6253.37</v>
      </c>
      <c r="BC27" s="523">
        <f t="shared" si="6"/>
        <v>25013.48</v>
      </c>
      <c r="BD27" s="523">
        <f t="shared" ref="BD27" si="8">ROUND(G27*$BH$19,2)</f>
        <v>5493.5</v>
      </c>
      <c r="BE27" s="523">
        <f t="shared" si="7"/>
        <v>6966.31</v>
      </c>
      <c r="BF27" s="523">
        <f>ROUND(BE27*(F27-AZ27),2)</f>
        <v>55730.48</v>
      </c>
    </row>
    <row r="28" spans="1:60" s="34" customFormat="1" ht="30">
      <c r="A28" s="471" t="s">
        <v>654</v>
      </c>
      <c r="B28" s="475">
        <v>93564</v>
      </c>
      <c r="C28" s="471" t="s">
        <v>21</v>
      </c>
      <c r="D28" s="472" t="s">
        <v>12</v>
      </c>
      <c r="E28" s="472" t="s">
        <v>13</v>
      </c>
      <c r="F28" s="473">
        <v>12</v>
      </c>
      <c r="G28" s="473">
        <f t="shared" si="2"/>
        <v>2162.587</v>
      </c>
      <c r="H28" s="473">
        <f t="shared" si="0"/>
        <v>2742.38</v>
      </c>
      <c r="I28" s="473">
        <f t="shared" si="1"/>
        <v>32908.559999999998</v>
      </c>
      <c r="J28" s="474" t="e">
        <f>IF(B28&lt;&gt;0,VLOOKUP(B28,#REF!,4,FALSE),"")</f>
        <v>#REF!</v>
      </c>
      <c r="K28" s="378" t="s">
        <v>3197</v>
      </c>
      <c r="L28" s="378">
        <f t="shared" si="3"/>
        <v>25951.044000000002</v>
      </c>
      <c r="M28" s="474"/>
      <c r="N28" s="47" t="e">
        <f>IF(B28&lt;&gt;0,VLOOKUP(B28,#REF!,2,FALSE),"")</f>
        <v>#REF!</v>
      </c>
      <c r="AY28" s="577"/>
      <c r="AZ28" s="523">
        <v>4</v>
      </c>
      <c r="BA28" s="523">
        <f t="shared" si="4"/>
        <v>2162.587</v>
      </c>
      <c r="BB28" s="523">
        <f t="shared" si="5"/>
        <v>2742.38</v>
      </c>
      <c r="BC28" s="523">
        <f t="shared" si="6"/>
        <v>10969.52</v>
      </c>
      <c r="BD28" s="523">
        <f>ROUND(G28*$BH$19,2)</f>
        <v>2409.14</v>
      </c>
      <c r="BE28" s="523">
        <f>ROUND(BD28*(1+$J$14),2)</f>
        <v>3055.03</v>
      </c>
      <c r="BF28" s="523">
        <f>ROUND(BE28*(F28-AZ28),2)</f>
        <v>24440.240000000002</v>
      </c>
    </row>
    <row r="29" spans="1:60" s="34" customFormat="1">
      <c r="A29" s="803" t="s">
        <v>3627</v>
      </c>
      <c r="B29" s="475">
        <v>93563</v>
      </c>
      <c r="C29" s="471" t="s">
        <v>3628</v>
      </c>
      <c r="D29" s="472" t="s">
        <v>12</v>
      </c>
      <c r="E29" s="472" t="s">
        <v>13</v>
      </c>
      <c r="F29" s="473">
        <v>12</v>
      </c>
      <c r="G29" s="473">
        <f t="shared" si="2"/>
        <v>2145.4935</v>
      </c>
      <c r="H29" s="473">
        <f t="shared" si="0"/>
        <v>2720.7</v>
      </c>
      <c r="I29" s="473">
        <f t="shared" ref="I29" si="9">ROUND(H29*F29,2)</f>
        <v>32648.400000000001</v>
      </c>
      <c r="J29" s="474" t="e">
        <f>IF(B29&lt;&gt;0,VLOOKUP(B29,#REF!,4,FALSE),"")</f>
        <v>#REF!</v>
      </c>
      <c r="K29" s="378" t="s">
        <v>3196</v>
      </c>
      <c r="L29" s="378">
        <f t="shared" si="3"/>
        <v>25745.921999999999</v>
      </c>
      <c r="M29" s="474"/>
      <c r="N29" s="47" t="e">
        <f>IF(B29&lt;&gt;0,VLOOKUP(B29,#REF!,2,FALSE),"")</f>
        <v>#REF!</v>
      </c>
      <c r="AY29" s="577"/>
      <c r="AZ29" s="523">
        <v>4</v>
      </c>
      <c r="BA29" s="523">
        <f t="shared" si="4"/>
        <v>2145.4935</v>
      </c>
      <c r="BB29" s="523">
        <f t="shared" si="5"/>
        <v>2720.7</v>
      </c>
      <c r="BC29" s="523">
        <f t="shared" si="6"/>
        <v>10882.8</v>
      </c>
      <c r="BD29" s="523">
        <f>ROUND(G29*$BH$19,2)</f>
        <v>2390.1</v>
      </c>
      <c r="BE29" s="523">
        <f t="shared" si="7"/>
        <v>3030.89</v>
      </c>
      <c r="BF29" s="523">
        <f>ROUND(BE29*(F29-AZ29),2)</f>
        <v>24247.119999999999</v>
      </c>
    </row>
    <row r="30" spans="1:60">
      <c r="A30" s="23" t="s">
        <v>3006</v>
      </c>
      <c r="B30" s="24">
        <v>11867</v>
      </c>
      <c r="C30" s="23" t="s">
        <v>3029</v>
      </c>
      <c r="D30" s="25" t="s">
        <v>44</v>
      </c>
      <c r="E30" s="25" t="s">
        <v>13</v>
      </c>
      <c r="F30" s="26">
        <v>2</v>
      </c>
      <c r="G30" s="26">
        <f t="shared" si="2"/>
        <v>4488</v>
      </c>
      <c r="H30" s="26">
        <f t="shared" si="0"/>
        <v>5691.23</v>
      </c>
      <c r="I30" s="26">
        <f t="shared" ref="I30" si="10">ROUND(H30*F30,2)</f>
        <v>11382.46</v>
      </c>
      <c r="J30" s="38" t="e">
        <f>IF(B30&lt;&gt;0,VLOOKUP(B30,#REF!,2,FALSE),"")</f>
        <v>#REF!</v>
      </c>
      <c r="K30" s="375">
        <v>5280</v>
      </c>
      <c r="L30" s="362">
        <f t="shared" si="3"/>
        <v>8976</v>
      </c>
      <c r="M30" s="38"/>
      <c r="N30" s="35" t="e">
        <f>IF(B30&lt;&gt;0,VLOOKUP(B30,#REF!,2,FALSE),"")</f>
        <v>#REF!</v>
      </c>
      <c r="AY30" s="21"/>
      <c r="AZ30" s="163">
        <f>F30</f>
        <v>2</v>
      </c>
      <c r="BA30" s="163">
        <f t="shared" si="4"/>
        <v>4488</v>
      </c>
      <c r="BB30" s="163">
        <f t="shared" si="5"/>
        <v>5691.23</v>
      </c>
      <c r="BC30" s="163">
        <f t="shared" si="6"/>
        <v>11382.46</v>
      </c>
      <c r="BD30" s="163"/>
      <c r="BE30" s="163"/>
      <c r="BF30" s="163"/>
    </row>
    <row r="31" spans="1:60">
      <c r="A31" s="23" t="s">
        <v>3028</v>
      </c>
      <c r="B31" s="24">
        <v>971988</v>
      </c>
      <c r="C31" s="23" t="s">
        <v>3429</v>
      </c>
      <c r="D31" s="25" t="s">
        <v>1915</v>
      </c>
      <c r="E31" s="25" t="s">
        <v>13</v>
      </c>
      <c r="F31" s="26">
        <v>12</v>
      </c>
      <c r="G31" s="26">
        <f t="shared" si="2"/>
        <v>1502.0605</v>
      </c>
      <c r="H31" s="26">
        <f t="shared" si="0"/>
        <v>1904.76</v>
      </c>
      <c r="I31" s="26">
        <f t="shared" ref="I31" si="11">ROUND(H31*F31,2)</f>
        <v>22857.119999999999</v>
      </c>
      <c r="J31" s="38">
        <f>'COMPOSIÇÃO DE CUSTOS'!G2575</f>
        <v>1502.06</v>
      </c>
      <c r="K31" s="375">
        <v>1767.13</v>
      </c>
      <c r="L31" s="362">
        <f t="shared" si="3"/>
        <v>18024.726000000002</v>
      </c>
      <c r="M31" s="38"/>
      <c r="N31" s="35"/>
      <c r="AY31" s="21"/>
      <c r="AZ31" s="163">
        <v>4</v>
      </c>
      <c r="BA31" s="163">
        <f t="shared" si="4"/>
        <v>1502.0605</v>
      </c>
      <c r="BB31" s="163">
        <f t="shared" si="5"/>
        <v>1904.76</v>
      </c>
      <c r="BC31" s="163">
        <f t="shared" si="6"/>
        <v>7619.04</v>
      </c>
      <c r="BD31" s="163">
        <f>ROUND(G31*$BH$19,2)</f>
        <v>1673.31</v>
      </c>
      <c r="BE31" s="163">
        <f>ROUND(BD31*(1+$J$14),2)</f>
        <v>2121.92</v>
      </c>
      <c r="BF31" s="163">
        <f>ROUND(BE31*(F31-AZ31),2)</f>
        <v>16975.36</v>
      </c>
    </row>
    <row r="32" spans="1:60" s="34" customFormat="1" ht="30">
      <c r="A32" s="471" t="s">
        <v>3432</v>
      </c>
      <c r="B32" s="475">
        <v>88326</v>
      </c>
      <c r="C32" s="471" t="s">
        <v>22</v>
      </c>
      <c r="D32" s="472" t="s">
        <v>12</v>
      </c>
      <c r="E32" s="472" t="s">
        <v>19</v>
      </c>
      <c r="F32" s="473">
        <v>5280</v>
      </c>
      <c r="G32" s="473">
        <f t="shared" si="2"/>
        <v>15.061999999999999</v>
      </c>
      <c r="H32" s="473">
        <f t="shared" si="0"/>
        <v>19.100000000000001</v>
      </c>
      <c r="I32" s="473">
        <f t="shared" si="1"/>
        <v>100848</v>
      </c>
      <c r="J32" s="474" t="e">
        <f>IF(B32&lt;&gt;0,VLOOKUP(B32,#REF!,4,FALSE),"")</f>
        <v>#REF!</v>
      </c>
      <c r="K32" s="378" t="s">
        <v>1876</v>
      </c>
      <c r="L32" s="378">
        <f t="shared" si="3"/>
        <v>79527.360000000001</v>
      </c>
      <c r="M32" s="474"/>
      <c r="N32" s="47" t="e">
        <f>IF(B32&lt;&gt;0,VLOOKUP(B32,#REF!,2,FALSE),"")</f>
        <v>#REF!</v>
      </c>
      <c r="AY32" s="577"/>
      <c r="AZ32" s="523">
        <f>360*4</f>
        <v>1440</v>
      </c>
      <c r="BA32" s="523">
        <f t="shared" si="4"/>
        <v>15.061999999999999</v>
      </c>
      <c r="BB32" s="523">
        <f t="shared" si="5"/>
        <v>19.100000000000001</v>
      </c>
      <c r="BC32" s="523">
        <f t="shared" si="6"/>
        <v>27504</v>
      </c>
      <c r="BD32" s="523">
        <f>ROUND(G32*$BH$19,2)</f>
        <v>16.78</v>
      </c>
      <c r="BE32" s="523">
        <f t="shared" si="7"/>
        <v>21.28</v>
      </c>
      <c r="BF32" s="523">
        <f>ROUND(BE32*(F32-AZ32),2)</f>
        <v>81715.199999999997</v>
      </c>
    </row>
    <row r="33" spans="1:58" s="27" customFormat="1" ht="24" customHeight="1">
      <c r="A33" s="23"/>
      <c r="B33" s="24"/>
      <c r="C33" s="23"/>
      <c r="D33" s="25"/>
      <c r="E33" s="25"/>
      <c r="F33" s="26"/>
      <c r="G33" s="26"/>
      <c r="H33" s="26"/>
      <c r="I33" s="26"/>
      <c r="K33" s="376"/>
      <c r="L33" s="362">
        <f t="shared" si="3"/>
        <v>0</v>
      </c>
      <c r="AY33" s="552"/>
      <c r="AZ33" s="481"/>
      <c r="BA33" s="481"/>
      <c r="BB33" s="481"/>
      <c r="BC33" s="481"/>
      <c r="BD33" s="481"/>
      <c r="BE33" s="481"/>
      <c r="BF33" s="481"/>
    </row>
    <row r="34" spans="1:58" s="28" customFormat="1" ht="15" customHeight="1">
      <c r="A34" s="244" t="s">
        <v>655</v>
      </c>
      <c r="B34" s="244"/>
      <c r="C34" s="244" t="s">
        <v>23</v>
      </c>
      <c r="D34" s="245"/>
      <c r="E34" s="245"/>
      <c r="F34" s="245"/>
      <c r="G34" s="26"/>
      <c r="H34" s="245"/>
      <c r="I34" s="96">
        <f>ROUND(SUM(I36:I47),2)</f>
        <v>266860.89</v>
      </c>
      <c r="K34" s="377"/>
      <c r="L34" s="362">
        <f t="shared" si="3"/>
        <v>0</v>
      </c>
      <c r="AY34" s="370"/>
      <c r="AZ34" s="481"/>
      <c r="BA34" s="481"/>
      <c r="BB34" s="481"/>
      <c r="BC34" s="834">
        <f>ROUND(SUM(BC36:BC47),2)</f>
        <v>266860.89</v>
      </c>
      <c r="BD34" s="481"/>
      <c r="BE34" s="481"/>
      <c r="BF34" s="96"/>
    </row>
    <row r="35" spans="1:58" s="28" customFormat="1" ht="15" customHeight="1">
      <c r="A35" s="244" t="s">
        <v>656</v>
      </c>
      <c r="B35" s="244"/>
      <c r="C35" s="244" t="s">
        <v>24</v>
      </c>
      <c r="D35" s="245"/>
      <c r="E35" s="245"/>
      <c r="F35" s="245"/>
      <c r="G35" s="26"/>
      <c r="H35" s="245"/>
      <c r="I35" s="96"/>
      <c r="K35" s="377"/>
      <c r="L35" s="362">
        <f t="shared" si="3"/>
        <v>0</v>
      </c>
      <c r="AY35" s="370"/>
      <c r="AZ35" s="481"/>
      <c r="BA35" s="481"/>
      <c r="BB35" s="481"/>
      <c r="BC35" s="481"/>
      <c r="BD35" s="481"/>
      <c r="BE35" s="481"/>
      <c r="BF35" s="481"/>
    </row>
    <row r="36" spans="1:58" s="28" customFormat="1" ht="27" customHeight="1">
      <c r="A36" s="23" t="s">
        <v>657</v>
      </c>
      <c r="B36" s="24">
        <v>51</v>
      </c>
      <c r="C36" s="23" t="s">
        <v>25</v>
      </c>
      <c r="D36" s="25" t="s">
        <v>44</v>
      </c>
      <c r="E36" s="25" t="s">
        <v>26</v>
      </c>
      <c r="F36" s="26">
        <v>8</v>
      </c>
      <c r="G36" s="26">
        <f t="shared" si="2"/>
        <v>261.28149999999999</v>
      </c>
      <c r="H36" s="26">
        <f t="shared" ref="H36:H45" si="12">ROUND(G36*(1+$J$14),2)</f>
        <v>331.33</v>
      </c>
      <c r="I36" s="26">
        <f t="shared" ref="I36:I44" si="13">ROUND(H36*F36,2)</f>
        <v>2650.64</v>
      </c>
      <c r="J36" s="36">
        <f>'COMPOSIÇÃO DE CUSTOS'!G1855</f>
        <v>261.27999999999997</v>
      </c>
      <c r="K36" s="374">
        <v>307.39</v>
      </c>
      <c r="L36" s="362">
        <f t="shared" si="3"/>
        <v>2090.252</v>
      </c>
      <c r="M36" s="36"/>
      <c r="AY36" s="370"/>
      <c r="AZ36" s="163">
        <f>F36</f>
        <v>8</v>
      </c>
      <c r="BA36" s="163">
        <f>G36</f>
        <v>261.28149999999999</v>
      </c>
      <c r="BB36" s="163">
        <f>ROUND(BA36*(1+$J$14),2)</f>
        <v>331.33</v>
      </c>
      <c r="BC36" s="163">
        <f>ROUND(BB36*F36,2)</f>
        <v>2650.64</v>
      </c>
      <c r="BD36" s="163"/>
      <c r="BE36" s="163"/>
      <c r="BF36" s="163"/>
    </row>
    <row r="37" spans="1:58" s="28" customFormat="1" ht="48" customHeight="1">
      <c r="A37" s="23" t="s">
        <v>658</v>
      </c>
      <c r="B37" s="24">
        <v>101508</v>
      </c>
      <c r="C37" s="23" t="s">
        <v>3010</v>
      </c>
      <c r="D37" s="25" t="s">
        <v>12</v>
      </c>
      <c r="E37" s="25" t="s">
        <v>17</v>
      </c>
      <c r="F37" s="26">
        <v>1</v>
      </c>
      <c r="G37" s="26">
        <f t="shared" si="2"/>
        <v>1647.7335</v>
      </c>
      <c r="H37" s="26">
        <f t="shared" si="12"/>
        <v>2089.4899999999998</v>
      </c>
      <c r="I37" s="26">
        <f t="shared" si="13"/>
        <v>2089.4899999999998</v>
      </c>
      <c r="J37" s="37" t="e">
        <f>IF(B37&lt;&gt;0,VLOOKUP(B37,#REF!,4,FALSE),"")</f>
        <v>#REF!</v>
      </c>
      <c r="K37" s="374" t="s">
        <v>3258</v>
      </c>
      <c r="L37" s="362">
        <f t="shared" si="3"/>
        <v>1647.7335</v>
      </c>
      <c r="M37" s="37"/>
      <c r="N37" s="28" t="e">
        <f>IF(B37&lt;&gt;0,VLOOKUP(B37,#REF!,2,FALSE),"")</f>
        <v>#REF!</v>
      </c>
      <c r="AY37" s="370"/>
      <c r="AZ37" s="163">
        <f t="shared" ref="AZ37:AZ47" si="14">F37</f>
        <v>1</v>
      </c>
      <c r="BA37" s="163">
        <f>G37</f>
        <v>1647.7335</v>
      </c>
      <c r="BB37" s="163">
        <f>ROUND(BA37*(1+$J$14),2)</f>
        <v>2089.4899999999998</v>
      </c>
      <c r="BC37" s="163">
        <f>ROUND(BB37*F37,2)</f>
        <v>2089.4899999999998</v>
      </c>
      <c r="BD37" s="163"/>
      <c r="BE37" s="163"/>
      <c r="BF37" s="163"/>
    </row>
    <row r="38" spans="1:58" s="34" customFormat="1" ht="24" customHeight="1">
      <c r="A38" s="471" t="s">
        <v>659</v>
      </c>
      <c r="B38" s="475">
        <v>98459</v>
      </c>
      <c r="C38" s="471" t="s">
        <v>3007</v>
      </c>
      <c r="D38" s="472" t="s">
        <v>12</v>
      </c>
      <c r="E38" s="472" t="s">
        <v>26</v>
      </c>
      <c r="F38" s="473">
        <f>342.5+342.5</f>
        <v>685</v>
      </c>
      <c r="G38" s="473">
        <f t="shared" si="2"/>
        <v>79.9255</v>
      </c>
      <c r="H38" s="473">
        <f t="shared" si="12"/>
        <v>101.35</v>
      </c>
      <c r="I38" s="473">
        <f t="shared" si="13"/>
        <v>69424.75</v>
      </c>
      <c r="J38" s="47" t="e">
        <f>IF(B38&lt;&gt;0,VLOOKUP(B38,#REF!,4,FALSE),"")</f>
        <v>#REF!</v>
      </c>
      <c r="K38" s="378" t="s">
        <v>3207</v>
      </c>
      <c r="L38" s="378">
        <f t="shared" si="3"/>
        <v>54748.967499999999</v>
      </c>
      <c r="M38" s="47"/>
      <c r="N38" s="34" t="e">
        <f>IF(B38&lt;&gt;0,VLOOKUP(B38,#REF!,2,FALSE),"")</f>
        <v>#REF!</v>
      </c>
      <c r="AY38" s="577"/>
      <c r="AZ38" s="523">
        <f t="shared" si="14"/>
        <v>685</v>
      </c>
      <c r="BA38" s="523">
        <f t="shared" ref="BA38:BA45" si="15">G38</f>
        <v>79.9255</v>
      </c>
      <c r="BB38" s="523">
        <f t="shared" ref="BB38:BB45" si="16">ROUND(BA38*(1+$J$14),2)</f>
        <v>101.35</v>
      </c>
      <c r="BC38" s="523">
        <f t="shared" ref="BC38" si="17">ROUND(BB38*F38,2)</f>
        <v>69424.75</v>
      </c>
      <c r="BD38" s="523"/>
      <c r="BE38" s="523"/>
      <c r="BF38" s="523"/>
    </row>
    <row r="39" spans="1:58" s="34" customFormat="1" ht="51" customHeight="1">
      <c r="A39" s="471" t="s">
        <v>660</v>
      </c>
      <c r="B39" s="475">
        <v>93213</v>
      </c>
      <c r="C39" s="471" t="s">
        <v>1516</v>
      </c>
      <c r="D39" s="472" t="s">
        <v>12</v>
      </c>
      <c r="E39" s="472" t="s">
        <v>26</v>
      </c>
      <c r="F39" s="473">
        <v>47.63</v>
      </c>
      <c r="G39" s="473">
        <f t="shared" si="2"/>
        <v>733.63499999999999</v>
      </c>
      <c r="H39" s="473">
        <f t="shared" si="12"/>
        <v>930.32</v>
      </c>
      <c r="I39" s="473">
        <f t="shared" si="13"/>
        <v>44311.14</v>
      </c>
      <c r="J39" s="47" t="e">
        <f>IF(B39&lt;&gt;0,VLOOKUP(B39,#REF!,4,FALSE),"")</f>
        <v>#REF!</v>
      </c>
      <c r="K39" s="378" t="s">
        <v>3204</v>
      </c>
      <c r="L39" s="378">
        <f t="shared" si="3"/>
        <v>34943.035049999999</v>
      </c>
      <c r="M39" s="47"/>
      <c r="N39" s="34" t="e">
        <f>IF(B39&lt;&gt;0,VLOOKUP(B39,#REF!,2,FALSE),"")</f>
        <v>#REF!</v>
      </c>
      <c r="AY39" s="577"/>
      <c r="AZ39" s="523">
        <f t="shared" si="14"/>
        <v>47.63</v>
      </c>
      <c r="BA39" s="523">
        <f t="shared" si="15"/>
        <v>733.63499999999999</v>
      </c>
      <c r="BB39" s="523">
        <f t="shared" si="16"/>
        <v>930.32</v>
      </c>
      <c r="BC39" s="523">
        <f t="shared" ref="BC39:BC45" si="18">ROUND(BB39*F39,2)</f>
        <v>44311.14</v>
      </c>
      <c r="BD39" s="523"/>
      <c r="BE39" s="523"/>
      <c r="BF39" s="523"/>
    </row>
    <row r="40" spans="1:58" s="34" customFormat="1" ht="45.75" customHeight="1">
      <c r="A40" s="471" t="s">
        <v>661</v>
      </c>
      <c r="B40" s="475">
        <v>93211</v>
      </c>
      <c r="C40" s="471" t="s">
        <v>1517</v>
      </c>
      <c r="D40" s="472" t="s">
        <v>12</v>
      </c>
      <c r="E40" s="472" t="s">
        <v>26</v>
      </c>
      <c r="F40" s="473">
        <v>47.63</v>
      </c>
      <c r="G40" s="473">
        <f t="shared" si="2"/>
        <v>439.858</v>
      </c>
      <c r="H40" s="473">
        <f t="shared" si="12"/>
        <v>557.78</v>
      </c>
      <c r="I40" s="473">
        <f t="shared" si="13"/>
        <v>26567.06</v>
      </c>
      <c r="J40" s="47" t="e">
        <f>IF(B40&lt;&gt;0,VLOOKUP(B40,#REF!,4,FALSE),"")</f>
        <v>#REF!</v>
      </c>
      <c r="K40" s="378" t="s">
        <v>3203</v>
      </c>
      <c r="L40" s="378">
        <f t="shared" si="3"/>
        <v>20950.436540000002</v>
      </c>
      <c r="M40" s="47"/>
      <c r="N40" s="34" t="e">
        <f>IF(B40&lt;&gt;0,VLOOKUP(B40,#REF!,2,FALSE),"")</f>
        <v>#REF!</v>
      </c>
      <c r="AY40" s="577"/>
      <c r="AZ40" s="523">
        <f t="shared" si="14"/>
        <v>47.63</v>
      </c>
      <c r="BA40" s="523">
        <f t="shared" si="15"/>
        <v>439.858</v>
      </c>
      <c r="BB40" s="523">
        <f t="shared" si="16"/>
        <v>557.78</v>
      </c>
      <c r="BC40" s="523">
        <f t="shared" si="18"/>
        <v>26567.06</v>
      </c>
      <c r="BD40" s="523"/>
      <c r="BE40" s="523"/>
      <c r="BF40" s="523"/>
    </row>
    <row r="41" spans="1:58" ht="45.75" customHeight="1">
      <c r="A41" s="23" t="s">
        <v>662</v>
      </c>
      <c r="B41" s="24">
        <v>93206</v>
      </c>
      <c r="C41" s="23" t="s">
        <v>1518</v>
      </c>
      <c r="D41" s="25" t="s">
        <v>12</v>
      </c>
      <c r="E41" s="25" t="s">
        <v>26</v>
      </c>
      <c r="F41" s="26">
        <v>17.86</v>
      </c>
      <c r="G41" s="26">
        <f t="shared" si="2"/>
        <v>810.06700000000001</v>
      </c>
      <c r="H41" s="26">
        <f t="shared" si="12"/>
        <v>1027.25</v>
      </c>
      <c r="I41" s="26">
        <f t="shared" si="13"/>
        <v>18346.689999999999</v>
      </c>
      <c r="J41" s="35" t="e">
        <f>IF(B41&lt;&gt;0,VLOOKUP(B41,#REF!,4,FALSE),"")</f>
        <v>#REF!</v>
      </c>
      <c r="K41" s="375" t="s">
        <v>3201</v>
      </c>
      <c r="L41" s="362">
        <f t="shared" si="3"/>
        <v>14467.796619999999</v>
      </c>
      <c r="M41" s="35"/>
      <c r="N41" s="2" t="e">
        <f>IF(B41&lt;&gt;0,VLOOKUP(B41,#REF!,2,FALSE),"")</f>
        <v>#REF!</v>
      </c>
      <c r="AY41" s="21"/>
      <c r="AZ41" s="163">
        <f t="shared" si="14"/>
        <v>17.86</v>
      </c>
      <c r="BA41" s="163">
        <f t="shared" si="15"/>
        <v>810.06700000000001</v>
      </c>
      <c r="BB41" s="163">
        <f t="shared" si="16"/>
        <v>1027.25</v>
      </c>
      <c r="BC41" s="163">
        <f t="shared" si="18"/>
        <v>18346.689999999999</v>
      </c>
      <c r="BD41" s="163"/>
      <c r="BE41" s="163"/>
      <c r="BF41" s="163"/>
    </row>
    <row r="42" spans="1:58" s="34" customFormat="1" ht="34.5" customHeight="1">
      <c r="A42" s="471" t="s">
        <v>663</v>
      </c>
      <c r="B42" s="475">
        <v>93209</v>
      </c>
      <c r="C42" s="471" t="s">
        <v>1519</v>
      </c>
      <c r="D42" s="472" t="s">
        <v>12</v>
      </c>
      <c r="E42" s="472" t="s">
        <v>26</v>
      </c>
      <c r="F42" s="473">
        <v>53.58</v>
      </c>
      <c r="G42" s="473">
        <f t="shared" si="2"/>
        <v>671.44049999999993</v>
      </c>
      <c r="H42" s="473">
        <f t="shared" si="12"/>
        <v>851.45</v>
      </c>
      <c r="I42" s="473">
        <f t="shared" si="13"/>
        <v>45620.69</v>
      </c>
      <c r="J42" s="47" t="e">
        <f>IF(B42&lt;&gt;0,VLOOKUP(B42,#REF!,4,FALSE),"")</f>
        <v>#REF!</v>
      </c>
      <c r="K42" s="378" t="s">
        <v>3202</v>
      </c>
      <c r="L42" s="378">
        <f t="shared" si="3"/>
        <v>35975.781989999996</v>
      </c>
      <c r="M42" s="47"/>
      <c r="N42" s="34" t="e">
        <f>IF(B42&lt;&gt;0,VLOOKUP(B42,#REF!,2,FALSE),"")</f>
        <v>#REF!</v>
      </c>
      <c r="AY42" s="577"/>
      <c r="AZ42" s="523">
        <f t="shared" si="14"/>
        <v>53.58</v>
      </c>
      <c r="BA42" s="523">
        <f t="shared" si="15"/>
        <v>671.44049999999993</v>
      </c>
      <c r="BB42" s="523">
        <f t="shared" si="16"/>
        <v>851.45</v>
      </c>
      <c r="BC42" s="523">
        <f t="shared" si="18"/>
        <v>45620.69</v>
      </c>
      <c r="BD42" s="523"/>
      <c r="BE42" s="523"/>
      <c r="BF42" s="523"/>
    </row>
    <row r="43" spans="1:58" ht="47.25" customHeight="1">
      <c r="A43" s="23" t="s">
        <v>664</v>
      </c>
      <c r="B43" s="24">
        <v>93582</v>
      </c>
      <c r="C43" s="23" t="s">
        <v>1520</v>
      </c>
      <c r="D43" s="25" t="s">
        <v>12</v>
      </c>
      <c r="E43" s="25" t="s">
        <v>26</v>
      </c>
      <c r="F43" s="26">
        <v>60.4</v>
      </c>
      <c r="G43" s="26">
        <f t="shared" si="2"/>
        <v>195.66149999999999</v>
      </c>
      <c r="H43" s="26">
        <f t="shared" si="12"/>
        <v>248.12</v>
      </c>
      <c r="I43" s="26">
        <f t="shared" si="13"/>
        <v>14986.45</v>
      </c>
      <c r="J43" s="35" t="e">
        <f>IF(B43&lt;&gt;0,VLOOKUP(B43,#REF!,4,FALSE),"")</f>
        <v>#REF!</v>
      </c>
      <c r="K43" s="375" t="s">
        <v>3205</v>
      </c>
      <c r="L43" s="362">
        <f t="shared" si="3"/>
        <v>11817.954599999999</v>
      </c>
      <c r="M43" s="35"/>
      <c r="N43" s="2" t="e">
        <f>IF(B43&lt;&gt;0,VLOOKUP(B43,#REF!,2,FALSE),"")</f>
        <v>#REF!</v>
      </c>
      <c r="AY43" s="21"/>
      <c r="AZ43" s="163">
        <f t="shared" si="14"/>
        <v>60.4</v>
      </c>
      <c r="BA43" s="163">
        <f t="shared" si="15"/>
        <v>195.66149999999999</v>
      </c>
      <c r="BB43" s="163">
        <f t="shared" si="16"/>
        <v>248.12</v>
      </c>
      <c r="BC43" s="163">
        <f t="shared" si="18"/>
        <v>14986.45</v>
      </c>
      <c r="BD43" s="163"/>
      <c r="BE43" s="163"/>
      <c r="BF43" s="163"/>
    </row>
    <row r="44" spans="1:58" ht="47.25" customHeight="1">
      <c r="A44" s="23" t="s">
        <v>665</v>
      </c>
      <c r="B44" s="24">
        <v>93583</v>
      </c>
      <c r="C44" s="23" t="s">
        <v>1521</v>
      </c>
      <c r="D44" s="25" t="s">
        <v>12</v>
      </c>
      <c r="E44" s="25" t="s">
        <v>26</v>
      </c>
      <c r="F44" s="26">
        <v>10.35</v>
      </c>
      <c r="G44" s="26">
        <f t="shared" si="2"/>
        <v>323.1105</v>
      </c>
      <c r="H44" s="26">
        <f t="shared" si="12"/>
        <v>409.74</v>
      </c>
      <c r="I44" s="26">
        <f t="shared" si="13"/>
        <v>4240.8100000000004</v>
      </c>
      <c r="J44" s="35" t="e">
        <f>IF(B44&lt;&gt;0,VLOOKUP(B44,#REF!,4,FALSE),"")</f>
        <v>#REF!</v>
      </c>
      <c r="K44" s="375" t="s">
        <v>3206</v>
      </c>
      <c r="L44" s="362">
        <f t="shared" si="3"/>
        <v>3344.193675</v>
      </c>
      <c r="M44" s="35"/>
      <c r="N44" s="2" t="e">
        <f>IF(B44&lt;&gt;0,VLOOKUP(B44,#REF!,2,FALSE),"")</f>
        <v>#REF!</v>
      </c>
      <c r="AY44" s="21"/>
      <c r="AZ44" s="163">
        <f t="shared" si="14"/>
        <v>10.35</v>
      </c>
      <c r="BA44" s="163">
        <f t="shared" si="15"/>
        <v>323.1105</v>
      </c>
      <c r="BB44" s="163">
        <f t="shared" si="16"/>
        <v>409.74</v>
      </c>
      <c r="BC44" s="163">
        <f t="shared" si="18"/>
        <v>4240.8100000000004</v>
      </c>
      <c r="BD44" s="163"/>
      <c r="BE44" s="163"/>
      <c r="BF44" s="163"/>
    </row>
    <row r="45" spans="1:58" s="27" customFormat="1" ht="41.25" customHeight="1">
      <c r="A45" s="23" t="s">
        <v>2675</v>
      </c>
      <c r="B45" s="24">
        <v>97635</v>
      </c>
      <c r="C45" s="23" t="s">
        <v>3009</v>
      </c>
      <c r="D45" s="25" t="s">
        <v>12</v>
      </c>
      <c r="E45" s="25" t="s">
        <v>26</v>
      </c>
      <c r="F45" s="26">
        <f>ROUND(1724.57/2+602.14,2)</f>
        <v>1464.43</v>
      </c>
      <c r="G45" s="26">
        <f t="shared" si="2"/>
        <v>8.7635000000000005</v>
      </c>
      <c r="H45" s="26">
        <f t="shared" si="12"/>
        <v>11.11</v>
      </c>
      <c r="I45" s="26">
        <f t="shared" ref="I45" si="19">ROUND(H45*F45,2)</f>
        <v>16269.82</v>
      </c>
      <c r="J45" s="42" t="e">
        <f>IF(B45&lt;&gt;0,VLOOKUP(B45,#REF!,4,FALSE),"")</f>
        <v>#REF!</v>
      </c>
      <c r="K45" s="365" t="s">
        <v>3180</v>
      </c>
      <c r="L45" s="362">
        <f t="shared" si="3"/>
        <v>12833.532305000001</v>
      </c>
      <c r="M45" s="42"/>
      <c r="N45" s="27" t="e">
        <f>IF(B45&lt;&gt;0,VLOOKUP(B45,#REF!,2,FALSE),"")</f>
        <v>#REF!</v>
      </c>
      <c r="AY45" s="552"/>
      <c r="AZ45" s="163">
        <f t="shared" si="14"/>
        <v>1464.43</v>
      </c>
      <c r="BA45" s="163">
        <f t="shared" si="15"/>
        <v>8.7635000000000005</v>
      </c>
      <c r="BB45" s="163">
        <f t="shared" si="16"/>
        <v>11.11</v>
      </c>
      <c r="BC45" s="163">
        <f t="shared" si="18"/>
        <v>16269.82</v>
      </c>
      <c r="BD45" s="163"/>
      <c r="BE45" s="163"/>
      <c r="BF45" s="163"/>
    </row>
    <row r="46" spans="1:58" s="28" customFormat="1" ht="15" customHeight="1">
      <c r="A46" s="356" t="s">
        <v>666</v>
      </c>
      <c r="B46" s="356"/>
      <c r="C46" s="356" t="s">
        <v>28</v>
      </c>
      <c r="D46" s="357"/>
      <c r="E46" s="357"/>
      <c r="F46" s="357"/>
      <c r="G46" s="26"/>
      <c r="H46" s="357"/>
      <c r="I46" s="96"/>
      <c r="J46" s="37"/>
      <c r="K46" s="374"/>
      <c r="L46" s="362">
        <f t="shared" si="3"/>
        <v>0</v>
      </c>
      <c r="M46" s="37"/>
      <c r="AY46" s="370"/>
      <c r="AZ46" s="481"/>
      <c r="BA46" s="481"/>
      <c r="BB46" s="481"/>
      <c r="BC46" s="481"/>
      <c r="BD46" s="481"/>
      <c r="BE46" s="481"/>
      <c r="BF46" s="481"/>
    </row>
    <row r="47" spans="1:58" s="819" customFormat="1" ht="45">
      <c r="A47" s="161" t="s">
        <v>667</v>
      </c>
      <c r="B47" s="811" t="str">
        <f>'COMPOSIÇÃO DE CUSTOS'!G2190</f>
        <v>73992/1</v>
      </c>
      <c r="C47" s="161" t="s">
        <v>29</v>
      </c>
      <c r="D47" s="811" t="s">
        <v>1915</v>
      </c>
      <c r="E47" s="811" t="s">
        <v>26</v>
      </c>
      <c r="F47" s="155">
        <f>1011.81+602.15</f>
        <v>1613.96</v>
      </c>
      <c r="G47" s="155">
        <f t="shared" si="2"/>
        <v>10.922499999999999</v>
      </c>
      <c r="H47" s="155">
        <f>ROUND(G47*(1+$J$14),2)</f>
        <v>13.85</v>
      </c>
      <c r="I47" s="155">
        <f>ROUND(H47*F47,2)</f>
        <v>22353.35</v>
      </c>
      <c r="J47" s="817">
        <f>'COMPOSIÇÃO DE CUSTOS'!G2198</f>
        <v>10.92</v>
      </c>
      <c r="K47" s="818">
        <v>12.85</v>
      </c>
      <c r="L47" s="385">
        <f t="shared" si="3"/>
        <v>17628.4781</v>
      </c>
      <c r="M47" s="817"/>
      <c r="AZ47" s="163">
        <f t="shared" si="14"/>
        <v>1613.96</v>
      </c>
      <c r="BA47" s="163">
        <f>G47</f>
        <v>10.922499999999999</v>
      </c>
      <c r="BB47" s="163">
        <f>ROUND(BA47*(1+$J$14),2)</f>
        <v>13.85</v>
      </c>
      <c r="BC47" s="163">
        <f>ROUND(BB47*F47,2)</f>
        <v>22353.35</v>
      </c>
      <c r="BD47" s="820"/>
      <c r="BE47" s="820"/>
      <c r="BF47" s="820"/>
    </row>
    <row r="48" spans="1:58" s="481" customFormat="1" ht="27" customHeight="1">
      <c r="A48" s="149"/>
      <c r="B48" s="141"/>
      <c r="C48" s="149"/>
      <c r="D48" s="141"/>
      <c r="E48" s="141"/>
      <c r="F48" s="158"/>
      <c r="G48" s="158"/>
      <c r="H48" s="158"/>
      <c r="I48" s="158"/>
      <c r="K48" s="822"/>
      <c r="L48" s="558">
        <f t="shared" si="3"/>
        <v>0</v>
      </c>
      <c r="AY48" s="792"/>
    </row>
    <row r="49" spans="1:58" s="370" customFormat="1" ht="15" customHeight="1">
      <c r="A49" s="823" t="s">
        <v>668</v>
      </c>
      <c r="B49" s="823"/>
      <c r="C49" s="823" t="s">
        <v>30</v>
      </c>
      <c r="D49" s="824"/>
      <c r="E49" s="824"/>
      <c r="F49" s="824"/>
      <c r="G49" s="580"/>
      <c r="H49" s="824"/>
      <c r="I49" s="825">
        <f>ROUND(SUM(I51:I59),2)</f>
        <v>38231.629999999997</v>
      </c>
      <c r="K49" s="383"/>
      <c r="L49" s="385">
        <f t="shared" si="3"/>
        <v>0</v>
      </c>
      <c r="AZ49" s="481"/>
      <c r="BA49" s="481"/>
      <c r="BB49" s="481"/>
      <c r="BC49" s="834">
        <f>ROUND(SUM(BC51:BC59),2)</f>
        <v>38231.629999999997</v>
      </c>
      <c r="BD49" s="826"/>
      <c r="BE49" s="826"/>
      <c r="BF49" s="825"/>
    </row>
    <row r="50" spans="1:58" s="239" customFormat="1" ht="15" customHeight="1">
      <c r="A50" s="150" t="s">
        <v>669</v>
      </c>
      <c r="B50" s="150"/>
      <c r="C50" s="150" t="s">
        <v>31</v>
      </c>
      <c r="D50" s="553"/>
      <c r="E50" s="553"/>
      <c r="F50" s="553"/>
      <c r="G50" s="158"/>
      <c r="H50" s="553"/>
      <c r="I50" s="804"/>
      <c r="K50" s="828"/>
      <c r="L50" s="558">
        <f t="shared" si="3"/>
        <v>0</v>
      </c>
      <c r="AY50" s="854"/>
      <c r="AZ50" s="481"/>
      <c r="BC50" s="481"/>
      <c r="BD50" s="481"/>
      <c r="BE50" s="481"/>
      <c r="BF50" s="481"/>
    </row>
    <row r="51" spans="1:58" s="819" customFormat="1" ht="51.75" customHeight="1">
      <c r="A51" s="856" t="s">
        <v>670</v>
      </c>
      <c r="B51" s="857">
        <v>98525</v>
      </c>
      <c r="C51" s="856" t="s">
        <v>32</v>
      </c>
      <c r="D51" s="840" t="s">
        <v>12</v>
      </c>
      <c r="E51" s="840" t="s">
        <v>26</v>
      </c>
      <c r="F51" s="580">
        <v>1011.81</v>
      </c>
      <c r="G51" s="580">
        <f t="shared" si="2"/>
        <v>0.2465</v>
      </c>
      <c r="H51" s="580">
        <f>ROUND(G51*(1+$J$14),2)</f>
        <v>0.31</v>
      </c>
      <c r="I51" s="580">
        <f>ROUND(H51*F51,2)</f>
        <v>313.66000000000003</v>
      </c>
      <c r="J51" s="817" t="e">
        <f>IF(B51&lt;&gt;0,VLOOKUP(B51,#REF!,4,FALSE),"")</f>
        <v>#REF!</v>
      </c>
      <c r="K51" s="818" t="s">
        <v>1896</v>
      </c>
      <c r="L51" s="385">
        <f t="shared" si="3"/>
        <v>249.41116499999998</v>
      </c>
      <c r="M51" s="817"/>
      <c r="N51" s="819" t="e">
        <f>IF(B51&lt;&gt;0,VLOOKUP(B51,#REF!,2,FALSE),"")</f>
        <v>#REF!</v>
      </c>
      <c r="AZ51" s="163">
        <f t="shared" ref="AZ51" si="20">F51</f>
        <v>1011.81</v>
      </c>
      <c r="BA51" s="163">
        <f>G51</f>
        <v>0.2465</v>
      </c>
      <c r="BB51" s="163">
        <f>ROUND(BA51*(1+$J$14),2)</f>
        <v>0.31</v>
      </c>
      <c r="BC51" s="163">
        <f>ROUND(BB51*F51,2)</f>
        <v>313.66000000000003</v>
      </c>
      <c r="BD51" s="858"/>
      <c r="BE51" s="858"/>
      <c r="BF51" s="858"/>
    </row>
    <row r="52" spans="1:58" s="239" customFormat="1" ht="15" customHeight="1">
      <c r="A52" s="150" t="s">
        <v>671</v>
      </c>
      <c r="B52" s="150"/>
      <c r="C52" s="150" t="s">
        <v>33</v>
      </c>
      <c r="D52" s="553"/>
      <c r="E52" s="553"/>
      <c r="F52" s="553"/>
      <c r="G52" s="158"/>
      <c r="H52" s="553"/>
      <c r="I52" s="834"/>
      <c r="J52" s="859"/>
      <c r="K52" s="860"/>
      <c r="L52" s="558">
        <f t="shared" si="3"/>
        <v>0</v>
      </c>
      <c r="M52" s="859"/>
      <c r="AY52" s="854"/>
      <c r="AZ52" s="481"/>
      <c r="BC52" s="481"/>
      <c r="BD52" s="481"/>
      <c r="BE52" s="481"/>
      <c r="BF52" s="481"/>
    </row>
    <row r="53" spans="1:58" s="552" customFormat="1" ht="30">
      <c r="A53" s="856" t="s">
        <v>672</v>
      </c>
      <c r="B53" s="857">
        <v>79480</v>
      </c>
      <c r="C53" s="856" t="s">
        <v>34</v>
      </c>
      <c r="D53" s="840" t="s">
        <v>1915</v>
      </c>
      <c r="E53" s="840" t="s">
        <v>35</v>
      </c>
      <c r="F53" s="580">
        <v>982.96</v>
      </c>
      <c r="G53" s="580">
        <f t="shared" si="2"/>
        <v>2.0995000000000004</v>
      </c>
      <c r="H53" s="580">
        <f>ROUND(G53*(1+$J$14),2)</f>
        <v>2.66</v>
      </c>
      <c r="I53" s="580">
        <f>ROUND(H53*F53,2)</f>
        <v>2614.67</v>
      </c>
      <c r="J53" s="829">
        <f>'COMPOSIÇÃO DE CUSTOS'!G11</f>
        <v>2.1</v>
      </c>
      <c r="K53" s="830">
        <v>2.4700000000000002</v>
      </c>
      <c r="L53" s="385">
        <f t="shared" si="3"/>
        <v>2063.7245200000002</v>
      </c>
      <c r="M53" s="829"/>
      <c r="N53" s="552" t="e">
        <f>IF(B53&lt;&gt;0,VLOOKUP(B53,#REF!,2,FALSE),"")</f>
        <v>#REF!</v>
      </c>
      <c r="AZ53" s="163">
        <f t="shared" ref="AZ53" si="21">F53</f>
        <v>982.96</v>
      </c>
      <c r="BA53" s="163">
        <f>G53</f>
        <v>2.0995000000000004</v>
      </c>
      <c r="BB53" s="163">
        <f>ROUND(BA53*(1+$J$14),2)</f>
        <v>2.66</v>
      </c>
      <c r="BC53" s="163">
        <f>ROUND(BB53*F53,2)</f>
        <v>2614.67</v>
      </c>
      <c r="BD53" s="858"/>
      <c r="BE53" s="858"/>
      <c r="BF53" s="858"/>
    </row>
    <row r="54" spans="1:58" s="481" customFormat="1" ht="15" customHeight="1">
      <c r="A54" s="150" t="s">
        <v>673</v>
      </c>
      <c r="B54" s="150"/>
      <c r="C54" s="150" t="s">
        <v>36</v>
      </c>
      <c r="D54" s="553"/>
      <c r="E54" s="553"/>
      <c r="F54" s="553"/>
      <c r="G54" s="158"/>
      <c r="H54" s="553"/>
      <c r="I54" s="834"/>
      <c r="J54" s="851"/>
      <c r="K54" s="850"/>
      <c r="L54" s="558">
        <f t="shared" si="3"/>
        <v>0</v>
      </c>
      <c r="M54" s="851"/>
      <c r="AY54" s="792"/>
    </row>
    <row r="55" spans="1:58" s="552" customFormat="1" ht="30">
      <c r="A55" s="153" t="s">
        <v>674</v>
      </c>
      <c r="B55" s="154">
        <v>93382</v>
      </c>
      <c r="C55" s="153" t="s">
        <v>1522</v>
      </c>
      <c r="D55" s="841" t="s">
        <v>12</v>
      </c>
      <c r="E55" s="841" t="s">
        <v>35</v>
      </c>
      <c r="F55" s="159">
        <v>848.71</v>
      </c>
      <c r="G55" s="159">
        <f t="shared" si="2"/>
        <v>20.612500000000001</v>
      </c>
      <c r="H55" s="159">
        <f>ROUND(G55*(1+$J$14),2)</f>
        <v>26.14</v>
      </c>
      <c r="I55" s="159">
        <f>ROUND(H55*F55,2)</f>
        <v>22185.279999999999</v>
      </c>
      <c r="J55" s="829" t="e">
        <f>IF(B55&lt;&gt;0,VLOOKUP(B55,#REF!,4,FALSE),"")</f>
        <v>#REF!</v>
      </c>
      <c r="K55" s="830" t="s">
        <v>3309</v>
      </c>
      <c r="L55" s="385">
        <f t="shared" si="3"/>
        <v>17494.034875000001</v>
      </c>
      <c r="M55" s="829"/>
      <c r="N55" s="552" t="e">
        <f>IF(B55&lt;&gt;0,VLOOKUP(B55,#REF!,2,FALSE),"")</f>
        <v>#REF!</v>
      </c>
      <c r="AZ55" s="163">
        <f t="shared" ref="AZ55:AZ56" si="22">F55</f>
        <v>848.71</v>
      </c>
      <c r="BA55" s="163">
        <f>G55</f>
        <v>20.612500000000001</v>
      </c>
      <c r="BB55" s="163">
        <f>ROUND(BA55*(1+$J$14),2)</f>
        <v>26.14</v>
      </c>
      <c r="BC55" s="163">
        <f>ROUND(BB55*F55,2)</f>
        <v>22185.279999999999</v>
      </c>
      <c r="BD55" s="827"/>
      <c r="BE55" s="827"/>
      <c r="BF55" s="827"/>
    </row>
    <row r="56" spans="1:58" s="552" customFormat="1" ht="45">
      <c r="A56" s="161" t="s">
        <v>675</v>
      </c>
      <c r="B56" s="160">
        <v>97083</v>
      </c>
      <c r="C56" s="161" t="s">
        <v>1523</v>
      </c>
      <c r="D56" s="839" t="s">
        <v>12</v>
      </c>
      <c r="E56" s="839" t="s">
        <v>26</v>
      </c>
      <c r="F56" s="155">
        <v>65.680999999999997</v>
      </c>
      <c r="G56" s="155">
        <f t="shared" si="2"/>
        <v>1.87</v>
      </c>
      <c r="H56" s="155">
        <f>ROUND(G56*(1+$J$14),2)</f>
        <v>2.37</v>
      </c>
      <c r="I56" s="155">
        <f>ROUND(H56*F56,2)</f>
        <v>155.66</v>
      </c>
      <c r="J56" s="829" t="e">
        <f>IF(B56&lt;&gt;0,VLOOKUP(B56,#REF!,4,FALSE),"")</f>
        <v>#REF!</v>
      </c>
      <c r="K56" s="830" t="s">
        <v>1841</v>
      </c>
      <c r="L56" s="385">
        <f t="shared" si="3"/>
        <v>122.82347</v>
      </c>
      <c r="M56" s="829"/>
      <c r="N56" s="552" t="e">
        <f>IF(B56&lt;&gt;0,VLOOKUP(B56,#REF!,2,FALSE),"")</f>
        <v>#REF!</v>
      </c>
      <c r="AZ56" s="163">
        <f t="shared" si="22"/>
        <v>65.680999999999997</v>
      </c>
      <c r="BA56" s="163">
        <f>G56</f>
        <v>1.87</v>
      </c>
      <c r="BB56" s="163">
        <f>ROUND(BA56*(1+$J$14),2)</f>
        <v>2.37</v>
      </c>
      <c r="BC56" s="163">
        <f>ROUND(BB56*F56,2)</f>
        <v>155.66</v>
      </c>
      <c r="BD56" s="820"/>
      <c r="BE56" s="820"/>
      <c r="BF56" s="820"/>
    </row>
    <row r="57" spans="1:58" s="481" customFormat="1" ht="15" customHeight="1">
      <c r="A57" s="150" t="s">
        <v>676</v>
      </c>
      <c r="B57" s="150"/>
      <c r="C57" s="150" t="s">
        <v>37</v>
      </c>
      <c r="D57" s="553"/>
      <c r="E57" s="553"/>
      <c r="F57" s="553"/>
      <c r="G57" s="158"/>
      <c r="H57" s="553"/>
      <c r="I57" s="834"/>
      <c r="J57" s="851"/>
      <c r="K57" s="850"/>
      <c r="L57" s="558">
        <f t="shared" si="3"/>
        <v>0</v>
      </c>
      <c r="M57" s="851"/>
      <c r="AY57" s="792"/>
    </row>
    <row r="58" spans="1:58" s="552" customFormat="1" ht="45">
      <c r="A58" s="153" t="s">
        <v>677</v>
      </c>
      <c r="B58" s="154">
        <v>72895</v>
      </c>
      <c r="C58" s="153" t="s">
        <v>38</v>
      </c>
      <c r="D58" s="841" t="s">
        <v>1915</v>
      </c>
      <c r="E58" s="841" t="s">
        <v>35</v>
      </c>
      <c r="F58" s="159">
        <v>614.91300000000001</v>
      </c>
      <c r="G58" s="159">
        <f t="shared" si="2"/>
        <v>15.8355</v>
      </c>
      <c r="H58" s="159">
        <f>ROUND(G58*(1+$J$14),2)</f>
        <v>20.079999999999998</v>
      </c>
      <c r="I58" s="159">
        <f>ROUND(H58*F58,2)</f>
        <v>12347.45</v>
      </c>
      <c r="J58" s="829">
        <f>'COMPOSIÇÃO DE CUSTOS'!G16</f>
        <v>15.84</v>
      </c>
      <c r="K58" s="830">
        <v>18.63</v>
      </c>
      <c r="L58" s="385">
        <f t="shared" si="3"/>
        <v>9737.4548114999998</v>
      </c>
      <c r="M58" s="829"/>
      <c r="N58" s="552" t="e">
        <f>IF(B58&lt;&gt;0,VLOOKUP(B58,#REF!,2,FALSE),"")</f>
        <v>#REF!</v>
      </c>
      <c r="AZ58" s="163">
        <f t="shared" ref="AZ58:AZ59" si="23">F58</f>
        <v>614.91300000000001</v>
      </c>
      <c r="BA58" s="163">
        <f>G58</f>
        <v>15.8355</v>
      </c>
      <c r="BB58" s="163">
        <f>ROUND(BA58*(1+$J$14),2)</f>
        <v>20.079999999999998</v>
      </c>
      <c r="BC58" s="163">
        <f>ROUND(BB58*F58,2)</f>
        <v>12347.45</v>
      </c>
      <c r="BD58" s="827"/>
      <c r="BE58" s="827"/>
      <c r="BF58" s="827"/>
    </row>
    <row r="59" spans="1:58" s="552" customFormat="1" ht="45">
      <c r="A59" s="161" t="s">
        <v>678</v>
      </c>
      <c r="B59" s="160">
        <v>83344</v>
      </c>
      <c r="C59" s="161" t="s">
        <v>39</v>
      </c>
      <c r="D59" s="811" t="s">
        <v>1915</v>
      </c>
      <c r="E59" s="811" t="s">
        <v>35</v>
      </c>
      <c r="F59" s="155">
        <v>614.91300000000001</v>
      </c>
      <c r="G59" s="155">
        <f t="shared" si="2"/>
        <v>0.79049999999999998</v>
      </c>
      <c r="H59" s="155">
        <f>ROUND(G59*(1+$J$14),2)</f>
        <v>1</v>
      </c>
      <c r="I59" s="155">
        <f>ROUND(H59*F59,2)</f>
        <v>614.91</v>
      </c>
      <c r="J59" s="829">
        <f>'COMPOSIÇÃO DE CUSTOS'!G22</f>
        <v>0.79</v>
      </c>
      <c r="K59" s="830">
        <v>0.92999999999999994</v>
      </c>
      <c r="L59" s="385">
        <f t="shared" si="3"/>
        <v>486.08872650000001</v>
      </c>
      <c r="M59" s="829"/>
      <c r="N59" s="552" t="e">
        <f>IF(B59&lt;&gt;0,VLOOKUP(B59,#REF!,2,FALSE),"")</f>
        <v>#REF!</v>
      </c>
      <c r="AZ59" s="163">
        <f t="shared" si="23"/>
        <v>614.91300000000001</v>
      </c>
      <c r="BA59" s="163">
        <f>G59</f>
        <v>0.79049999999999998</v>
      </c>
      <c r="BB59" s="163">
        <f>ROUND(BA59*(1+$J$14),2)</f>
        <v>1</v>
      </c>
      <c r="BC59" s="163">
        <f>ROUND(BB59*F59,2)</f>
        <v>614.91</v>
      </c>
      <c r="BD59" s="820"/>
      <c r="BE59" s="820"/>
      <c r="BF59" s="820"/>
    </row>
    <row r="60" spans="1:58" s="239" customFormat="1" ht="29.25" customHeight="1">
      <c r="A60" s="149"/>
      <c r="B60" s="148"/>
      <c r="C60" s="149"/>
      <c r="D60" s="141"/>
      <c r="E60" s="141"/>
      <c r="F60" s="158"/>
      <c r="G60" s="158"/>
      <c r="H60" s="158"/>
      <c r="I60" s="158"/>
      <c r="J60" s="832"/>
      <c r="K60" s="828"/>
      <c r="L60" s="558">
        <f t="shared" si="3"/>
        <v>0</v>
      </c>
      <c r="M60" s="832"/>
      <c r="AY60" s="854"/>
      <c r="AZ60" s="481"/>
      <c r="BC60" s="481"/>
      <c r="BD60" s="481"/>
      <c r="BE60" s="481"/>
      <c r="BF60" s="481"/>
    </row>
    <row r="61" spans="1:58" s="370" customFormat="1" ht="15" customHeight="1">
      <c r="A61" s="814" t="s">
        <v>679</v>
      </c>
      <c r="B61" s="814"/>
      <c r="C61" s="814" t="s">
        <v>40</v>
      </c>
      <c r="D61" s="815"/>
      <c r="E61" s="815"/>
      <c r="F61" s="815"/>
      <c r="G61" s="159"/>
      <c r="H61" s="815"/>
      <c r="I61" s="551">
        <f>ROUND(SUM(I63:I95),2)</f>
        <v>371269.86</v>
      </c>
      <c r="K61" s="383"/>
      <c r="L61" s="385">
        <f t="shared" si="3"/>
        <v>0</v>
      </c>
      <c r="AZ61" s="481"/>
      <c r="BA61" s="481"/>
      <c r="BB61" s="481"/>
      <c r="BC61" s="834">
        <f>ROUND(SUM(BC63:BC95),2)</f>
        <v>439494.15</v>
      </c>
      <c r="BD61" s="821"/>
      <c r="BE61" s="821"/>
      <c r="BF61" s="831"/>
    </row>
    <row r="62" spans="1:58" s="62" customFormat="1" ht="15" customHeight="1">
      <c r="A62" s="356" t="s">
        <v>680</v>
      </c>
      <c r="B62" s="356"/>
      <c r="C62" s="356" t="s">
        <v>41</v>
      </c>
      <c r="D62" s="357"/>
      <c r="E62" s="357"/>
      <c r="F62" s="357"/>
      <c r="G62" s="26"/>
      <c r="H62" s="357"/>
      <c r="I62" s="96"/>
      <c r="K62" s="379"/>
      <c r="L62" s="362">
        <f t="shared" si="3"/>
        <v>0</v>
      </c>
      <c r="AY62" s="221"/>
      <c r="AZ62" s="481"/>
      <c r="BA62" s="481"/>
      <c r="BB62" s="481"/>
      <c r="BC62" s="481"/>
      <c r="BD62" s="481"/>
      <c r="BE62" s="481"/>
      <c r="BF62" s="481"/>
    </row>
    <row r="63" spans="1:58" s="283" customFormat="1" ht="45">
      <c r="A63" s="23" t="s">
        <v>681</v>
      </c>
      <c r="B63" s="24">
        <v>94097</v>
      </c>
      <c r="C63" s="23" t="s">
        <v>1524</v>
      </c>
      <c r="D63" s="25" t="s">
        <v>1915</v>
      </c>
      <c r="E63" s="25" t="s">
        <v>26</v>
      </c>
      <c r="F63" s="26">
        <v>267.5</v>
      </c>
      <c r="G63" s="26">
        <f t="shared" si="2"/>
        <v>3.5529999999999999</v>
      </c>
      <c r="H63" s="26">
        <f t="shared" ref="H63:H70" si="24">ROUND(G63*(1+$J$14),2)</f>
        <v>4.51</v>
      </c>
      <c r="I63" s="26">
        <f t="shared" ref="I63:I70" si="25">ROUND(H63*F63,2)</f>
        <v>1206.43</v>
      </c>
      <c r="J63" s="282">
        <f>'COMPOSIÇÃO DE CUSTOS'!G30</f>
        <v>3.54</v>
      </c>
      <c r="K63" s="380">
        <v>4.18</v>
      </c>
      <c r="L63" s="362">
        <f t="shared" si="3"/>
        <v>950.42750000000001</v>
      </c>
      <c r="M63" s="282"/>
      <c r="N63" s="283" t="e">
        <f>IF(B63&lt;&gt;0,VLOOKUP(B63,#REF!,2,FALSE),"")</f>
        <v>#REF!</v>
      </c>
      <c r="AY63" s="819"/>
      <c r="AZ63" s="163">
        <f t="shared" ref="AZ63:AZ95" si="26">F63</f>
        <v>267.5</v>
      </c>
      <c r="BA63" s="163">
        <f t="shared" ref="BA63:BA70" si="27">G63</f>
        <v>3.5529999999999999</v>
      </c>
      <c r="BB63" s="163">
        <f t="shared" ref="BB63:BB70" si="28">ROUND(BA63*(1+$J$14),2)</f>
        <v>4.51</v>
      </c>
      <c r="BC63" s="163">
        <f t="shared" ref="BC63:BC70" si="29">ROUND(BB63*F63,2)</f>
        <v>1206.43</v>
      </c>
      <c r="BD63" s="163"/>
      <c r="BE63" s="163"/>
      <c r="BF63" s="163"/>
    </row>
    <row r="64" spans="1:58" s="283" customFormat="1" ht="45">
      <c r="A64" s="23" t="s">
        <v>682</v>
      </c>
      <c r="B64" s="24">
        <v>83534</v>
      </c>
      <c r="C64" s="23" t="s">
        <v>42</v>
      </c>
      <c r="D64" s="25" t="s">
        <v>1915</v>
      </c>
      <c r="E64" s="25" t="s">
        <v>35</v>
      </c>
      <c r="F64" s="26">
        <v>13.38</v>
      </c>
      <c r="G64" s="26">
        <f t="shared" si="2"/>
        <v>477.23250000000007</v>
      </c>
      <c r="H64" s="26">
        <f t="shared" si="24"/>
        <v>605.17999999999995</v>
      </c>
      <c r="I64" s="26">
        <f t="shared" si="25"/>
        <v>8097.31</v>
      </c>
      <c r="J64" s="282">
        <f>'COMPOSIÇÃO DE CUSTOS'!G38</f>
        <v>477.22999999999996</v>
      </c>
      <c r="K64" s="380">
        <v>561.45000000000005</v>
      </c>
      <c r="L64" s="362">
        <f t="shared" si="3"/>
        <v>6385.3708500000012</v>
      </c>
      <c r="M64" s="282"/>
      <c r="N64" s="283" t="e">
        <f>IF(B64&lt;&gt;0,VLOOKUP(B64,#REF!,2,FALSE),"")</f>
        <v>#REF!</v>
      </c>
      <c r="AY64" s="819"/>
      <c r="AZ64" s="163">
        <f t="shared" si="26"/>
        <v>13.38</v>
      </c>
      <c r="BA64" s="163">
        <f t="shared" si="27"/>
        <v>477.23250000000007</v>
      </c>
      <c r="BB64" s="163">
        <f t="shared" si="28"/>
        <v>605.17999999999995</v>
      </c>
      <c r="BC64" s="163">
        <f t="shared" si="29"/>
        <v>8097.31</v>
      </c>
      <c r="BD64" s="163"/>
      <c r="BE64" s="163"/>
      <c r="BF64" s="163"/>
    </row>
    <row r="65" spans="1:59" s="34" customFormat="1" ht="30">
      <c r="A65" s="803" t="s">
        <v>4095</v>
      </c>
      <c r="B65" s="472" t="s">
        <v>2046</v>
      </c>
      <c r="C65" s="471" t="s">
        <v>43</v>
      </c>
      <c r="D65" s="472" t="s">
        <v>1915</v>
      </c>
      <c r="E65" s="472" t="s">
        <v>26</v>
      </c>
      <c r="F65" s="473">
        <v>206</v>
      </c>
      <c r="G65" s="473">
        <f t="shared" si="2"/>
        <v>96.72999999999999</v>
      </c>
      <c r="H65" s="473">
        <f t="shared" si="24"/>
        <v>122.66</v>
      </c>
      <c r="I65" s="473">
        <f t="shared" si="25"/>
        <v>25267.96</v>
      </c>
      <c r="J65" s="477">
        <f>'COMPOSIÇÃO DE CUSTOS'!G47</f>
        <v>96.72999999999999</v>
      </c>
      <c r="K65" s="476">
        <v>113.8</v>
      </c>
      <c r="L65" s="378">
        <f t="shared" si="3"/>
        <v>19926.379999999997</v>
      </c>
      <c r="M65" s="477"/>
      <c r="AY65" s="577"/>
      <c r="AZ65" s="523">
        <f t="shared" si="26"/>
        <v>206</v>
      </c>
      <c r="BA65" s="523">
        <f>BG65</f>
        <v>127.2</v>
      </c>
      <c r="BB65" s="523">
        <f>ROUND(BA65*(1+$J$14),2)</f>
        <v>161.30000000000001</v>
      </c>
      <c r="BC65" s="523">
        <f t="shared" si="29"/>
        <v>33227.800000000003</v>
      </c>
      <c r="BD65" s="523"/>
      <c r="BE65" s="523"/>
      <c r="BF65" s="523"/>
      <c r="BG65" s="34">
        <f>'COMP MEDIDOS'!G15</f>
        <v>127.2</v>
      </c>
    </row>
    <row r="66" spans="1:59" s="283" customFormat="1" ht="45">
      <c r="A66" s="23" t="s">
        <v>3393</v>
      </c>
      <c r="B66" s="24">
        <v>96543</v>
      </c>
      <c r="C66" s="23" t="s">
        <v>3200</v>
      </c>
      <c r="D66" s="25" t="s">
        <v>12</v>
      </c>
      <c r="E66" s="25" t="s">
        <v>45</v>
      </c>
      <c r="F66" s="26">
        <v>101</v>
      </c>
      <c r="G66" s="26">
        <f t="shared" si="2"/>
        <v>15.308500000000002</v>
      </c>
      <c r="H66" s="26">
        <f t="shared" si="24"/>
        <v>19.41</v>
      </c>
      <c r="I66" s="26">
        <f t="shared" ref="I66" si="30">ROUND(H66*F66,2)</f>
        <v>1960.41</v>
      </c>
      <c r="J66" s="283" t="e">
        <f>IF(B66&lt;&gt;0,VLOOKUP(B66,#REF!,4,FALSE),"")</f>
        <v>#REF!</v>
      </c>
      <c r="K66" s="380" t="s">
        <v>3103</v>
      </c>
      <c r="L66" s="362">
        <f t="shared" si="3"/>
        <v>1546.1585000000002</v>
      </c>
      <c r="N66" s="283" t="e">
        <f>IF(B66&lt;&gt;0,VLOOKUP(B66,#REF!,2,FALSE),"")</f>
        <v>#REF!</v>
      </c>
      <c r="AY66" s="819"/>
      <c r="AZ66" s="163">
        <f t="shared" si="26"/>
        <v>101</v>
      </c>
      <c r="BA66" s="163">
        <f t="shared" si="27"/>
        <v>15.308500000000002</v>
      </c>
      <c r="BB66" s="163">
        <f t="shared" si="28"/>
        <v>19.41</v>
      </c>
      <c r="BC66" s="163">
        <f t="shared" si="29"/>
        <v>1960.41</v>
      </c>
      <c r="BD66" s="163"/>
      <c r="BE66" s="163"/>
      <c r="BF66" s="163"/>
    </row>
    <row r="67" spans="1:59" s="34" customFormat="1" ht="45">
      <c r="A67" s="471" t="s">
        <v>3394</v>
      </c>
      <c r="B67" s="475">
        <v>96547</v>
      </c>
      <c r="C67" s="471" t="s">
        <v>1527</v>
      </c>
      <c r="D67" s="472" t="s">
        <v>12</v>
      </c>
      <c r="E67" s="472" t="s">
        <v>45</v>
      </c>
      <c r="F67" s="473">
        <v>3027</v>
      </c>
      <c r="G67" s="473">
        <f t="shared" si="2"/>
        <v>10.981999999999999</v>
      </c>
      <c r="H67" s="473">
        <f t="shared" si="24"/>
        <v>13.93</v>
      </c>
      <c r="I67" s="473">
        <f t="shared" si="25"/>
        <v>42166.11</v>
      </c>
      <c r="J67" s="34" t="e">
        <f>IF(B67&lt;&gt;0,VLOOKUP(B67,#REF!,4,FALSE),"")</f>
        <v>#REF!</v>
      </c>
      <c r="K67" s="476" t="s">
        <v>3219</v>
      </c>
      <c r="L67" s="378">
        <f t="shared" si="3"/>
        <v>33242.513999999996</v>
      </c>
      <c r="N67" s="34" t="e">
        <f>IF(B67&lt;&gt;0,VLOOKUP(B67,#REF!,2,FALSE),"")</f>
        <v>#REF!</v>
      </c>
      <c r="AY67" s="577"/>
      <c r="AZ67" s="523">
        <f t="shared" si="26"/>
        <v>3027</v>
      </c>
      <c r="BA67" s="523">
        <f>BG67</f>
        <v>13.969999999999999</v>
      </c>
      <c r="BB67" s="523">
        <f t="shared" si="28"/>
        <v>17.72</v>
      </c>
      <c r="BC67" s="523">
        <f t="shared" si="29"/>
        <v>53638.44</v>
      </c>
      <c r="BD67" s="523"/>
      <c r="BE67" s="523"/>
      <c r="BF67" s="523"/>
      <c r="BG67" s="34">
        <f>'COMP MEDIDOS'!G46</f>
        <v>13.969999999999999</v>
      </c>
    </row>
    <row r="68" spans="1:59" s="34" customFormat="1" ht="45">
      <c r="A68" s="471" t="s">
        <v>3395</v>
      </c>
      <c r="B68" s="475">
        <v>96548</v>
      </c>
      <c r="C68" s="471" t="s">
        <v>1528</v>
      </c>
      <c r="D68" s="472" t="s">
        <v>12</v>
      </c>
      <c r="E68" s="472" t="s">
        <v>45</v>
      </c>
      <c r="F68" s="473">
        <v>1634</v>
      </c>
      <c r="G68" s="473">
        <f t="shared" si="2"/>
        <v>10.557</v>
      </c>
      <c r="H68" s="473">
        <f t="shared" si="24"/>
        <v>13.39</v>
      </c>
      <c r="I68" s="473">
        <f t="shared" si="25"/>
        <v>21879.26</v>
      </c>
      <c r="J68" s="34" t="e">
        <f>IF(B68&lt;&gt;0,VLOOKUP(B68,#REF!,4,FALSE),"")</f>
        <v>#REF!</v>
      </c>
      <c r="K68" s="476" t="s">
        <v>3034</v>
      </c>
      <c r="L68" s="378">
        <f t="shared" si="3"/>
        <v>17250.137999999999</v>
      </c>
      <c r="N68" s="34" t="e">
        <f>IF(B68&lt;&gt;0,VLOOKUP(B68,#REF!,2,FALSE),"")</f>
        <v>#REF!</v>
      </c>
      <c r="AY68" s="577"/>
      <c r="AZ68" s="523">
        <f t="shared" si="26"/>
        <v>1634</v>
      </c>
      <c r="BA68" s="523">
        <f>BG68</f>
        <v>13.55</v>
      </c>
      <c r="BB68" s="523">
        <f t="shared" si="28"/>
        <v>17.18</v>
      </c>
      <c r="BC68" s="523">
        <f t="shared" si="29"/>
        <v>28072.12</v>
      </c>
      <c r="BD68" s="523"/>
      <c r="BE68" s="523"/>
      <c r="BF68" s="523"/>
      <c r="BG68" s="34">
        <f>'COMP MEDIDOS'!G58</f>
        <v>13.55</v>
      </c>
    </row>
    <row r="69" spans="1:59" s="34" customFormat="1" ht="45">
      <c r="A69" s="471" t="s">
        <v>3396</v>
      </c>
      <c r="B69" s="475">
        <v>94966</v>
      </c>
      <c r="C69" s="471" t="s">
        <v>1530</v>
      </c>
      <c r="D69" s="472" t="s">
        <v>12</v>
      </c>
      <c r="E69" s="472" t="s">
        <v>35</v>
      </c>
      <c r="F69" s="473">
        <v>101.03</v>
      </c>
      <c r="G69" s="473">
        <f t="shared" si="2"/>
        <v>360.38300000000004</v>
      </c>
      <c r="H69" s="473">
        <f t="shared" si="24"/>
        <v>457</v>
      </c>
      <c r="I69" s="473">
        <f t="shared" si="25"/>
        <v>46170.71</v>
      </c>
      <c r="J69" s="34" t="e">
        <f>IF(B69&lt;&gt;0,VLOOKUP(B69,#REF!,4,FALSE),"")</f>
        <v>#REF!</v>
      </c>
      <c r="K69" s="476" t="s">
        <v>3220</v>
      </c>
      <c r="L69" s="378">
        <f t="shared" si="3"/>
        <v>36409.494490000005</v>
      </c>
      <c r="N69" s="34" t="e">
        <f>IF(B69&lt;&gt;0,VLOOKUP(B69,#REF!,2,FALSE),"")</f>
        <v>#REF!</v>
      </c>
      <c r="AY69" s="577"/>
      <c r="AZ69" s="523">
        <f t="shared" si="26"/>
        <v>101.03</v>
      </c>
      <c r="BA69" s="523">
        <f>BG69</f>
        <v>417.1699999999999</v>
      </c>
      <c r="BB69" s="523">
        <f t="shared" si="28"/>
        <v>529.01</v>
      </c>
      <c r="BC69" s="523">
        <f t="shared" si="29"/>
        <v>53445.88</v>
      </c>
      <c r="BD69" s="523"/>
      <c r="BE69" s="523"/>
      <c r="BF69" s="523"/>
      <c r="BG69" s="34">
        <f>'COMP MEDIDOS'!G69</f>
        <v>417.1699999999999</v>
      </c>
    </row>
    <row r="70" spans="1:59" s="283" customFormat="1" ht="30">
      <c r="A70" s="23" t="s">
        <v>3397</v>
      </c>
      <c r="B70" s="25" t="s">
        <v>46</v>
      </c>
      <c r="C70" s="23" t="s">
        <v>47</v>
      </c>
      <c r="D70" s="25" t="s">
        <v>1915</v>
      </c>
      <c r="E70" s="25" t="s">
        <v>35</v>
      </c>
      <c r="F70" s="26">
        <v>101.03</v>
      </c>
      <c r="G70" s="26">
        <f t="shared" si="2"/>
        <v>78.472000000000008</v>
      </c>
      <c r="H70" s="26">
        <f t="shared" si="24"/>
        <v>99.51</v>
      </c>
      <c r="I70" s="26">
        <f t="shared" si="25"/>
        <v>10053.5</v>
      </c>
      <c r="J70" s="282">
        <f>'COMPOSIÇÃO DE CUSTOS'!G55</f>
        <v>78.470000000000013</v>
      </c>
      <c r="K70" s="380">
        <v>92.320000000000007</v>
      </c>
      <c r="L70" s="362">
        <f t="shared" si="3"/>
        <v>7928.0261600000013</v>
      </c>
      <c r="M70" s="282"/>
      <c r="AY70" s="819"/>
      <c r="AZ70" s="163">
        <f t="shared" si="26"/>
        <v>101.03</v>
      </c>
      <c r="BA70" s="163">
        <f t="shared" si="27"/>
        <v>78.472000000000008</v>
      </c>
      <c r="BB70" s="163">
        <f t="shared" si="28"/>
        <v>99.51</v>
      </c>
      <c r="BC70" s="163">
        <f t="shared" si="29"/>
        <v>10053.5</v>
      </c>
      <c r="BD70" s="163"/>
      <c r="BE70" s="163"/>
      <c r="BF70" s="163"/>
    </row>
    <row r="71" spans="1:59" s="62" customFormat="1" ht="15" customHeight="1">
      <c r="A71" s="356" t="s">
        <v>684</v>
      </c>
      <c r="B71" s="356"/>
      <c r="C71" s="356" t="s">
        <v>48</v>
      </c>
      <c r="D71" s="357"/>
      <c r="E71" s="357"/>
      <c r="F71" s="357"/>
      <c r="G71" s="26"/>
      <c r="H71" s="357"/>
      <c r="I71" s="96"/>
      <c r="J71" s="63"/>
      <c r="K71" s="379"/>
      <c r="L71" s="362">
        <f t="shared" si="3"/>
        <v>0</v>
      </c>
      <c r="M71" s="63"/>
      <c r="AY71" s="221"/>
      <c r="AZ71" s="481"/>
      <c r="BA71" s="481"/>
      <c r="BB71" s="481"/>
      <c r="BC71" s="481"/>
      <c r="BD71" s="481"/>
      <c r="BE71" s="481"/>
      <c r="BF71" s="481"/>
    </row>
    <row r="72" spans="1:59" s="283" customFormat="1" ht="45">
      <c r="A72" s="23" t="s">
        <v>685</v>
      </c>
      <c r="B72" s="24">
        <v>94097</v>
      </c>
      <c r="C72" s="23" t="s">
        <v>1524</v>
      </c>
      <c r="D72" s="25" t="s">
        <v>1915</v>
      </c>
      <c r="E72" s="25" t="s">
        <v>26</v>
      </c>
      <c r="F72" s="26">
        <v>55.38</v>
      </c>
      <c r="G72" s="26">
        <f t="shared" si="2"/>
        <v>3.5529999999999999</v>
      </c>
      <c r="H72" s="26">
        <f t="shared" ref="H72:H83" si="31">ROUND(G72*(1+$J$14),2)</f>
        <v>4.51</v>
      </c>
      <c r="I72" s="26">
        <f t="shared" ref="I72:I83" si="32">ROUND(H72*F72,2)</f>
        <v>249.76</v>
      </c>
      <c r="J72" s="284">
        <f>J63</f>
        <v>3.54</v>
      </c>
      <c r="K72" s="363">
        <v>4.18</v>
      </c>
      <c r="L72" s="362">
        <f t="shared" si="3"/>
        <v>196.76514</v>
      </c>
      <c r="M72" s="284"/>
      <c r="N72" s="283" t="e">
        <f>IF(B72&lt;&gt;0,VLOOKUP(B72,#REF!,2,FALSE),"")</f>
        <v>#REF!</v>
      </c>
      <c r="AY72" s="819"/>
      <c r="AZ72" s="163">
        <f t="shared" si="26"/>
        <v>55.38</v>
      </c>
      <c r="BA72" s="163">
        <f t="shared" ref="BA72:BA83" si="33">G72</f>
        <v>3.5529999999999999</v>
      </c>
      <c r="BB72" s="163">
        <f t="shared" ref="BB72:BB83" si="34">ROUND(BA72*(1+$J$14),2)</f>
        <v>4.51</v>
      </c>
      <c r="BC72" s="163">
        <f t="shared" ref="BC72:BC83" si="35">ROUND(BB72*F72,2)</f>
        <v>249.76</v>
      </c>
      <c r="BD72" s="163"/>
      <c r="BE72" s="163"/>
      <c r="BF72" s="163"/>
    </row>
    <row r="73" spans="1:59" s="283" customFormat="1" ht="45">
      <c r="A73" s="23" t="s">
        <v>686</v>
      </c>
      <c r="B73" s="24">
        <v>83534</v>
      </c>
      <c r="C73" s="23" t="s">
        <v>49</v>
      </c>
      <c r="D73" s="25" t="s">
        <v>1915</v>
      </c>
      <c r="E73" s="25" t="s">
        <v>35</v>
      </c>
      <c r="F73" s="26">
        <v>2.77</v>
      </c>
      <c r="G73" s="26">
        <f t="shared" si="2"/>
        <v>477.23250000000007</v>
      </c>
      <c r="H73" s="26">
        <f t="shared" si="31"/>
        <v>605.17999999999995</v>
      </c>
      <c r="I73" s="26">
        <f t="shared" si="32"/>
        <v>1676.35</v>
      </c>
      <c r="J73" s="284">
        <f>J64</f>
        <v>477.22999999999996</v>
      </c>
      <c r="K73" s="363">
        <v>561.45000000000005</v>
      </c>
      <c r="L73" s="362">
        <f t="shared" si="3"/>
        <v>1321.9340250000002</v>
      </c>
      <c r="M73" s="284"/>
      <c r="N73" s="283" t="e">
        <f>IF(B73&lt;&gt;0,VLOOKUP(B73,#REF!,2,FALSE),"")</f>
        <v>#REF!</v>
      </c>
      <c r="AY73" s="819"/>
      <c r="AZ73" s="163">
        <f t="shared" si="26"/>
        <v>2.77</v>
      </c>
      <c r="BA73" s="163">
        <f t="shared" si="33"/>
        <v>477.23250000000007</v>
      </c>
      <c r="BB73" s="163">
        <f t="shared" si="34"/>
        <v>605.17999999999995</v>
      </c>
      <c r="BC73" s="163">
        <f t="shared" si="35"/>
        <v>1676.35</v>
      </c>
      <c r="BD73" s="163"/>
      <c r="BE73" s="163"/>
      <c r="BF73" s="163"/>
    </row>
    <row r="74" spans="1:59" s="34" customFormat="1" ht="30">
      <c r="A74" s="471" t="s">
        <v>687</v>
      </c>
      <c r="B74" s="472" t="s">
        <v>2046</v>
      </c>
      <c r="C74" s="471" t="s">
        <v>43</v>
      </c>
      <c r="D74" s="472" t="s">
        <v>1915</v>
      </c>
      <c r="E74" s="472" t="s">
        <v>26</v>
      </c>
      <c r="F74" s="473">
        <v>332.27</v>
      </c>
      <c r="G74" s="473">
        <f t="shared" si="2"/>
        <v>96.72999999999999</v>
      </c>
      <c r="H74" s="473">
        <f t="shared" si="31"/>
        <v>122.66</v>
      </c>
      <c r="I74" s="473">
        <f t="shared" si="32"/>
        <v>40756.239999999998</v>
      </c>
      <c r="J74" s="474">
        <f>J65</f>
        <v>96.72999999999999</v>
      </c>
      <c r="K74" s="378">
        <v>113.8</v>
      </c>
      <c r="L74" s="378">
        <f t="shared" si="3"/>
        <v>32140.477099999996</v>
      </c>
      <c r="M74" s="474"/>
      <c r="N74" s="34" t="e">
        <f>IF(B74&lt;&gt;0,VLOOKUP(B74,#REF!,2,FALSE),"")</f>
        <v>#REF!</v>
      </c>
      <c r="AY74" s="577"/>
      <c r="AZ74" s="523">
        <f t="shared" si="26"/>
        <v>332.27</v>
      </c>
      <c r="BA74" s="523">
        <f>BG74</f>
        <v>127.2</v>
      </c>
      <c r="BB74" s="523">
        <f t="shared" si="34"/>
        <v>161.30000000000001</v>
      </c>
      <c r="BC74" s="523">
        <f t="shared" si="35"/>
        <v>53595.15</v>
      </c>
      <c r="BD74" s="523"/>
      <c r="BE74" s="523"/>
      <c r="BF74" s="523"/>
      <c r="BG74" s="34">
        <f>'COMP MEDIDOS'!G15</f>
        <v>127.2</v>
      </c>
    </row>
    <row r="75" spans="1:59" s="283" customFormat="1" ht="30">
      <c r="A75" s="23" t="s">
        <v>688</v>
      </c>
      <c r="B75" s="24">
        <v>96543</v>
      </c>
      <c r="C75" s="23" t="s">
        <v>1531</v>
      </c>
      <c r="D75" s="25" t="s">
        <v>12</v>
      </c>
      <c r="E75" s="25" t="s">
        <v>45</v>
      </c>
      <c r="F75" s="26">
        <v>458</v>
      </c>
      <c r="G75" s="26">
        <f t="shared" si="2"/>
        <v>15.308500000000002</v>
      </c>
      <c r="H75" s="26">
        <f t="shared" si="31"/>
        <v>19.41</v>
      </c>
      <c r="I75" s="26">
        <f t="shared" si="32"/>
        <v>8889.7800000000007</v>
      </c>
      <c r="J75" s="283" t="e">
        <f>IF(B75&lt;&gt;0,VLOOKUP(B75,#REF!,4,FALSE),"")</f>
        <v>#REF!</v>
      </c>
      <c r="K75" s="380" t="s">
        <v>3103</v>
      </c>
      <c r="L75" s="362">
        <f t="shared" si="3"/>
        <v>7011.2930000000006</v>
      </c>
      <c r="N75" s="283" t="e">
        <f>IF(B75&lt;&gt;0,VLOOKUP(B75,#REF!,2,FALSE),"")</f>
        <v>#REF!</v>
      </c>
      <c r="AY75" s="819"/>
      <c r="AZ75" s="163">
        <f t="shared" si="26"/>
        <v>458</v>
      </c>
      <c r="BA75" s="163">
        <f t="shared" si="33"/>
        <v>15.308500000000002</v>
      </c>
      <c r="BB75" s="163">
        <f t="shared" si="34"/>
        <v>19.41</v>
      </c>
      <c r="BC75" s="163">
        <f t="shared" si="35"/>
        <v>8889.7800000000007</v>
      </c>
      <c r="BD75" s="163"/>
      <c r="BE75" s="163"/>
      <c r="BF75" s="163"/>
    </row>
    <row r="76" spans="1:59" s="283" customFormat="1" ht="45">
      <c r="A76" s="23" t="s">
        <v>689</v>
      </c>
      <c r="B76" s="24">
        <v>96544</v>
      </c>
      <c r="C76" s="23" t="s">
        <v>1525</v>
      </c>
      <c r="D76" s="25" t="s">
        <v>12</v>
      </c>
      <c r="E76" s="25" t="s">
        <v>45</v>
      </c>
      <c r="F76" s="26">
        <v>601</v>
      </c>
      <c r="G76" s="26">
        <f t="shared" si="2"/>
        <v>14.866499999999998</v>
      </c>
      <c r="H76" s="26">
        <f t="shared" si="31"/>
        <v>18.850000000000001</v>
      </c>
      <c r="I76" s="26">
        <f t="shared" si="32"/>
        <v>11328.85</v>
      </c>
      <c r="J76" s="283" t="e">
        <f>IF(B76&lt;&gt;0,VLOOKUP(B76,#REF!,4,FALSE),"")</f>
        <v>#REF!</v>
      </c>
      <c r="K76" s="380" t="s">
        <v>3109</v>
      </c>
      <c r="L76" s="362">
        <f t="shared" si="3"/>
        <v>8934.7664999999997</v>
      </c>
      <c r="N76" s="283" t="e">
        <f>IF(B76&lt;&gt;0,VLOOKUP(B76,#REF!,2,FALSE),"")</f>
        <v>#REF!</v>
      </c>
      <c r="AY76" s="819"/>
      <c r="AZ76" s="163">
        <f t="shared" si="26"/>
        <v>601</v>
      </c>
      <c r="BA76" s="163">
        <f t="shared" si="33"/>
        <v>14.866499999999998</v>
      </c>
      <c r="BB76" s="163">
        <f t="shared" si="34"/>
        <v>18.850000000000001</v>
      </c>
      <c r="BC76" s="163">
        <f t="shared" si="35"/>
        <v>11328.85</v>
      </c>
      <c r="BD76" s="163"/>
      <c r="BE76" s="163"/>
      <c r="BF76" s="163"/>
    </row>
    <row r="77" spans="1:59" s="283" customFormat="1" ht="45">
      <c r="A77" s="23" t="s">
        <v>690</v>
      </c>
      <c r="B77" s="24">
        <v>96545</v>
      </c>
      <c r="C77" s="23" t="s">
        <v>1526</v>
      </c>
      <c r="D77" s="25" t="s">
        <v>12</v>
      </c>
      <c r="E77" s="25" t="s">
        <v>45</v>
      </c>
      <c r="F77" s="26">
        <v>8</v>
      </c>
      <c r="G77" s="26">
        <f t="shared" si="2"/>
        <v>14.2545</v>
      </c>
      <c r="H77" s="26">
        <f t="shared" si="31"/>
        <v>18.079999999999998</v>
      </c>
      <c r="I77" s="26">
        <f t="shared" si="32"/>
        <v>144.63999999999999</v>
      </c>
      <c r="J77" s="283" t="e">
        <f>IF(B77&lt;&gt;0,VLOOKUP(B77,#REF!,4,FALSE),"")</f>
        <v>#REF!</v>
      </c>
      <c r="K77" s="380" t="s">
        <v>2645</v>
      </c>
      <c r="L77" s="362">
        <f t="shared" si="3"/>
        <v>114.036</v>
      </c>
      <c r="N77" s="283" t="e">
        <f>IF(B77&lt;&gt;0,VLOOKUP(B77,#REF!,2,FALSE),"")</f>
        <v>#REF!</v>
      </c>
      <c r="AY77" s="819"/>
      <c r="AZ77" s="163">
        <f t="shared" si="26"/>
        <v>8</v>
      </c>
      <c r="BA77" s="163">
        <f t="shared" si="33"/>
        <v>14.2545</v>
      </c>
      <c r="BB77" s="163">
        <f t="shared" si="34"/>
        <v>18.079999999999998</v>
      </c>
      <c r="BC77" s="163">
        <f t="shared" si="35"/>
        <v>144.63999999999999</v>
      </c>
      <c r="BD77" s="163"/>
      <c r="BE77" s="163"/>
      <c r="BF77" s="163"/>
    </row>
    <row r="78" spans="1:59" s="283" customFormat="1" ht="45">
      <c r="A78" s="23" t="s">
        <v>691</v>
      </c>
      <c r="B78" s="24">
        <v>96546</v>
      </c>
      <c r="C78" s="23" t="s">
        <v>1532</v>
      </c>
      <c r="D78" s="25" t="s">
        <v>12</v>
      </c>
      <c r="E78" s="25" t="s">
        <v>45</v>
      </c>
      <c r="F78" s="26">
        <v>557</v>
      </c>
      <c r="G78" s="26">
        <f t="shared" si="2"/>
        <v>12.894500000000001</v>
      </c>
      <c r="H78" s="26">
        <f t="shared" si="31"/>
        <v>16.350000000000001</v>
      </c>
      <c r="I78" s="26">
        <f t="shared" si="32"/>
        <v>9106.9500000000007</v>
      </c>
      <c r="J78" s="283" t="e">
        <f>IF(B78&lt;&gt;0,VLOOKUP(B78,#REF!,4,FALSE),"")</f>
        <v>#REF!</v>
      </c>
      <c r="K78" s="380" t="s">
        <v>3171</v>
      </c>
      <c r="L78" s="362">
        <f t="shared" si="3"/>
        <v>7182.2365</v>
      </c>
      <c r="N78" s="283" t="e">
        <f>IF(B78&lt;&gt;0,VLOOKUP(B78,#REF!,2,FALSE),"")</f>
        <v>#REF!</v>
      </c>
      <c r="AY78" s="819"/>
      <c r="AZ78" s="163">
        <f t="shared" si="26"/>
        <v>557</v>
      </c>
      <c r="BA78" s="163">
        <f t="shared" si="33"/>
        <v>12.894500000000001</v>
      </c>
      <c r="BB78" s="163">
        <f t="shared" si="34"/>
        <v>16.350000000000001</v>
      </c>
      <c r="BC78" s="163">
        <f t="shared" si="35"/>
        <v>9106.9500000000007</v>
      </c>
      <c r="BD78" s="163"/>
      <c r="BE78" s="163"/>
      <c r="BF78" s="163"/>
    </row>
    <row r="79" spans="1:59" s="34" customFormat="1" ht="45">
      <c r="A79" s="471" t="s">
        <v>692</v>
      </c>
      <c r="B79" s="475">
        <v>96547</v>
      </c>
      <c r="C79" s="471" t="s">
        <v>1527</v>
      </c>
      <c r="D79" s="472" t="s">
        <v>12</v>
      </c>
      <c r="E79" s="472" t="s">
        <v>45</v>
      </c>
      <c r="F79" s="473">
        <v>214</v>
      </c>
      <c r="G79" s="473">
        <f t="shared" si="2"/>
        <v>10.981999999999999</v>
      </c>
      <c r="H79" s="473">
        <f t="shared" si="31"/>
        <v>13.93</v>
      </c>
      <c r="I79" s="473">
        <f t="shared" si="32"/>
        <v>2981.02</v>
      </c>
      <c r="J79" s="34" t="e">
        <f>IF(B79&lt;&gt;0,VLOOKUP(B79,#REF!,4,FALSE),"")</f>
        <v>#REF!</v>
      </c>
      <c r="K79" s="476" t="s">
        <v>3219</v>
      </c>
      <c r="L79" s="378">
        <f t="shared" si="3"/>
        <v>2350.1479999999997</v>
      </c>
      <c r="N79" s="34" t="e">
        <f>IF(B79&lt;&gt;0,VLOOKUP(B79,#REF!,2,FALSE),"")</f>
        <v>#REF!</v>
      </c>
      <c r="AY79" s="577"/>
      <c r="AZ79" s="523">
        <f t="shared" si="26"/>
        <v>214</v>
      </c>
      <c r="BA79" s="523">
        <f>BG79</f>
        <v>13.969999999999999</v>
      </c>
      <c r="BB79" s="523">
        <f t="shared" si="34"/>
        <v>17.72</v>
      </c>
      <c r="BC79" s="523">
        <f t="shared" si="35"/>
        <v>3792.08</v>
      </c>
      <c r="BD79" s="523"/>
      <c r="BE79" s="523"/>
      <c r="BF79" s="523"/>
      <c r="BG79" s="34">
        <f>BG67</f>
        <v>13.969999999999999</v>
      </c>
    </row>
    <row r="80" spans="1:59" s="34" customFormat="1" ht="45">
      <c r="A80" s="471" t="s">
        <v>693</v>
      </c>
      <c r="B80" s="475">
        <v>96548</v>
      </c>
      <c r="C80" s="471" t="s">
        <v>1528</v>
      </c>
      <c r="D80" s="472" t="s">
        <v>12</v>
      </c>
      <c r="E80" s="472" t="s">
        <v>45</v>
      </c>
      <c r="F80" s="473">
        <v>345</v>
      </c>
      <c r="G80" s="473">
        <f t="shared" si="2"/>
        <v>10.557</v>
      </c>
      <c r="H80" s="473">
        <f t="shared" si="31"/>
        <v>13.39</v>
      </c>
      <c r="I80" s="473">
        <f t="shared" si="32"/>
        <v>4619.55</v>
      </c>
      <c r="J80" s="34" t="e">
        <f>IF(B80&lt;&gt;0,VLOOKUP(B80,#REF!,4,FALSE),"")</f>
        <v>#REF!</v>
      </c>
      <c r="K80" s="476" t="s">
        <v>3034</v>
      </c>
      <c r="L80" s="378">
        <f t="shared" si="3"/>
        <v>3642.165</v>
      </c>
      <c r="N80" s="34" t="e">
        <f>IF(B80&lt;&gt;0,VLOOKUP(B80,#REF!,2,FALSE),"")</f>
        <v>#REF!</v>
      </c>
      <c r="AY80" s="577"/>
      <c r="AZ80" s="523">
        <f t="shared" si="26"/>
        <v>345</v>
      </c>
      <c r="BA80" s="523">
        <f>BG80</f>
        <v>13.55</v>
      </c>
      <c r="BB80" s="523">
        <f t="shared" si="34"/>
        <v>17.18</v>
      </c>
      <c r="BC80" s="523">
        <f t="shared" si="35"/>
        <v>5927.1</v>
      </c>
      <c r="BD80" s="523"/>
      <c r="BE80" s="523"/>
      <c r="BF80" s="523"/>
      <c r="BG80" s="34">
        <f>BG68</f>
        <v>13.55</v>
      </c>
    </row>
    <row r="81" spans="1:59" s="283" customFormat="1" ht="45">
      <c r="A81" s="23" t="s">
        <v>694</v>
      </c>
      <c r="B81" s="24">
        <v>96549</v>
      </c>
      <c r="C81" s="23" t="s">
        <v>1529</v>
      </c>
      <c r="D81" s="25" t="s">
        <v>12</v>
      </c>
      <c r="E81" s="25" t="s">
        <v>45</v>
      </c>
      <c r="F81" s="26">
        <v>26</v>
      </c>
      <c r="G81" s="26">
        <f t="shared" si="2"/>
        <v>11.942500000000001</v>
      </c>
      <c r="H81" s="26">
        <f t="shared" si="31"/>
        <v>15.14</v>
      </c>
      <c r="I81" s="26">
        <f t="shared" si="32"/>
        <v>393.64</v>
      </c>
      <c r="J81" s="283" t="e">
        <f>IF(B81&lt;&gt;0,VLOOKUP(B81,#REF!,4,FALSE),"")</f>
        <v>#REF!</v>
      </c>
      <c r="K81" s="380" t="s">
        <v>3210</v>
      </c>
      <c r="L81" s="362">
        <f t="shared" si="3"/>
        <v>310.505</v>
      </c>
      <c r="N81" s="283" t="e">
        <f>IF(B81&lt;&gt;0,VLOOKUP(B81,#REF!,2,FALSE),"")</f>
        <v>#REF!</v>
      </c>
      <c r="AY81" s="819"/>
      <c r="AZ81" s="163">
        <f t="shared" si="26"/>
        <v>26</v>
      </c>
      <c r="BA81" s="163">
        <f t="shared" si="33"/>
        <v>11.942500000000001</v>
      </c>
      <c r="BB81" s="163">
        <f t="shared" si="34"/>
        <v>15.14</v>
      </c>
      <c r="BC81" s="163">
        <f t="shared" si="35"/>
        <v>393.64</v>
      </c>
      <c r="BD81" s="163"/>
      <c r="BE81" s="163"/>
      <c r="BF81" s="163"/>
    </row>
    <row r="82" spans="1:59" s="34" customFormat="1" ht="45">
      <c r="A82" s="471" t="s">
        <v>695</v>
      </c>
      <c r="B82" s="475">
        <v>94966</v>
      </c>
      <c r="C82" s="471" t="s">
        <v>2496</v>
      </c>
      <c r="D82" s="472" t="s">
        <v>12</v>
      </c>
      <c r="E82" s="472" t="s">
        <v>35</v>
      </c>
      <c r="F82" s="473">
        <v>33.229999999999997</v>
      </c>
      <c r="G82" s="473">
        <f t="shared" si="2"/>
        <v>360.38300000000004</v>
      </c>
      <c r="H82" s="473">
        <f t="shared" si="31"/>
        <v>457</v>
      </c>
      <c r="I82" s="473">
        <f t="shared" si="32"/>
        <v>15186.11</v>
      </c>
      <c r="J82" s="34" t="e">
        <f>IF(B82&lt;&gt;0,VLOOKUP(B82,#REF!,4,FALSE),"")</f>
        <v>#REF!</v>
      </c>
      <c r="K82" s="476" t="s">
        <v>3220</v>
      </c>
      <c r="L82" s="378">
        <f t="shared" si="3"/>
        <v>11975.52709</v>
      </c>
      <c r="N82" s="34" t="e">
        <f>IF(B82&lt;&gt;0,VLOOKUP(B82,#REF!,2,FALSE),"")</f>
        <v>#REF!</v>
      </c>
      <c r="AY82" s="577"/>
      <c r="AZ82" s="523">
        <f t="shared" si="26"/>
        <v>33.229999999999997</v>
      </c>
      <c r="BA82" s="523">
        <f>BG82</f>
        <v>417.1699999999999</v>
      </c>
      <c r="BB82" s="523">
        <f t="shared" si="34"/>
        <v>529.01</v>
      </c>
      <c r="BC82" s="523">
        <f t="shared" si="35"/>
        <v>17579</v>
      </c>
      <c r="BD82" s="523"/>
      <c r="BE82" s="523"/>
      <c r="BF82" s="523"/>
      <c r="BG82" s="34">
        <f>BG69</f>
        <v>417.1699999999999</v>
      </c>
    </row>
    <row r="83" spans="1:59" s="283" customFormat="1" ht="30">
      <c r="A83" s="23" t="s">
        <v>696</v>
      </c>
      <c r="B83" s="25" t="s">
        <v>46</v>
      </c>
      <c r="C83" s="23" t="s">
        <v>47</v>
      </c>
      <c r="D83" s="25" t="s">
        <v>1915</v>
      </c>
      <c r="E83" s="25" t="s">
        <v>35</v>
      </c>
      <c r="F83" s="26">
        <v>33.229999999999997</v>
      </c>
      <c r="G83" s="26">
        <f t="shared" si="2"/>
        <v>78.472000000000008</v>
      </c>
      <c r="H83" s="26">
        <f t="shared" si="31"/>
        <v>99.51</v>
      </c>
      <c r="I83" s="26">
        <f t="shared" si="32"/>
        <v>3306.72</v>
      </c>
      <c r="J83" s="284">
        <f>J70</f>
        <v>78.470000000000013</v>
      </c>
      <c r="K83" s="363">
        <v>92.320000000000007</v>
      </c>
      <c r="L83" s="362">
        <f t="shared" si="3"/>
        <v>2607.6245600000002</v>
      </c>
      <c r="M83" s="284"/>
      <c r="N83" s="283" t="e">
        <f>IF(B83&lt;&gt;0,VLOOKUP(B83,#REF!,2,FALSE),"")</f>
        <v>#REF!</v>
      </c>
      <c r="AY83" s="819"/>
      <c r="AZ83" s="163">
        <f t="shared" si="26"/>
        <v>33.229999999999997</v>
      </c>
      <c r="BA83" s="163">
        <f t="shared" si="33"/>
        <v>78.472000000000008</v>
      </c>
      <c r="BB83" s="163">
        <f t="shared" si="34"/>
        <v>99.51</v>
      </c>
      <c r="BC83" s="163">
        <f t="shared" si="35"/>
        <v>3306.72</v>
      </c>
      <c r="BD83" s="163"/>
      <c r="BE83" s="163"/>
      <c r="BF83" s="163"/>
    </row>
    <row r="84" spans="1:59" s="28" customFormat="1">
      <c r="A84" s="356" t="s">
        <v>697</v>
      </c>
      <c r="B84" s="356"/>
      <c r="C84" s="356" t="s">
        <v>50</v>
      </c>
      <c r="D84" s="357"/>
      <c r="E84" s="357"/>
      <c r="F84" s="357"/>
      <c r="G84" s="26"/>
      <c r="H84" s="357"/>
      <c r="I84" s="96"/>
      <c r="J84" s="37"/>
      <c r="K84" s="374"/>
      <c r="L84" s="362">
        <f t="shared" si="3"/>
        <v>0</v>
      </c>
      <c r="M84" s="37"/>
      <c r="AY84" s="370"/>
      <c r="AZ84" s="481"/>
      <c r="BA84" s="481"/>
      <c r="BB84" s="481"/>
      <c r="BC84" s="481"/>
      <c r="BD84" s="481"/>
      <c r="BE84" s="481"/>
      <c r="BF84" s="481"/>
    </row>
    <row r="85" spans="1:59" s="283" customFormat="1" ht="45">
      <c r="A85" s="23" t="s">
        <v>698</v>
      </c>
      <c r="B85" s="24">
        <v>97086</v>
      </c>
      <c r="C85" s="23" t="s">
        <v>1533</v>
      </c>
      <c r="D85" s="25" t="s">
        <v>12</v>
      </c>
      <c r="E85" s="25" t="s">
        <v>26</v>
      </c>
      <c r="F85" s="26">
        <v>9.48</v>
      </c>
      <c r="G85" s="26">
        <f t="shared" si="2"/>
        <v>73.618499999999997</v>
      </c>
      <c r="H85" s="26">
        <f t="shared" ref="H85:H95" si="36">ROUND(G85*(1+$J$14),2)</f>
        <v>93.36</v>
      </c>
      <c r="I85" s="26">
        <f t="shared" ref="I85:I95" si="37">ROUND(H85*F85,2)</f>
        <v>885.05</v>
      </c>
      <c r="J85" s="285" t="e">
        <f>IF(B85&lt;&gt;0,VLOOKUP(B85,#REF!,4,FALSE),"")</f>
        <v>#REF!</v>
      </c>
      <c r="K85" s="363" t="s">
        <v>3214</v>
      </c>
      <c r="L85" s="362">
        <f t="shared" si="3"/>
        <v>697.90337999999997</v>
      </c>
      <c r="M85" s="285"/>
      <c r="N85" s="283" t="e">
        <f>IF(B85&lt;&gt;0,VLOOKUP(B85,#REF!,2,FALSE),"")</f>
        <v>#REF!</v>
      </c>
      <c r="AY85" s="819"/>
      <c r="AZ85" s="163">
        <f t="shared" si="26"/>
        <v>9.48</v>
      </c>
      <c r="BA85" s="163">
        <f t="shared" ref="BA85:BA94" si="38">G85</f>
        <v>73.618499999999997</v>
      </c>
      <c r="BB85" s="163">
        <f t="shared" ref="BB85:BB95" si="39">ROUND(BA85*(1+$J$14),2)</f>
        <v>93.36</v>
      </c>
      <c r="BC85" s="163">
        <f t="shared" ref="BC85:BC95" si="40">ROUND(BB85*F85,2)</f>
        <v>885.05</v>
      </c>
      <c r="BD85" s="163"/>
      <c r="BE85" s="163"/>
      <c r="BF85" s="163"/>
    </row>
    <row r="86" spans="1:59" s="283" customFormat="1" ht="45">
      <c r="A86" s="23" t="s">
        <v>699</v>
      </c>
      <c r="B86" s="24">
        <v>91005</v>
      </c>
      <c r="C86" s="23" t="s">
        <v>1534</v>
      </c>
      <c r="D86" s="25" t="s">
        <v>12</v>
      </c>
      <c r="E86" s="25" t="s">
        <v>26</v>
      </c>
      <c r="F86" s="26">
        <v>304.67</v>
      </c>
      <c r="G86" s="26">
        <f t="shared" si="2"/>
        <v>12.7075</v>
      </c>
      <c r="H86" s="26">
        <f t="shared" si="36"/>
        <v>16.11</v>
      </c>
      <c r="I86" s="26">
        <f t="shared" si="37"/>
        <v>4908.2299999999996</v>
      </c>
      <c r="J86" s="285" t="e">
        <f>IF(B86&lt;&gt;0,VLOOKUP(B86,#REF!,4,FALSE),"")</f>
        <v>#REF!</v>
      </c>
      <c r="K86" s="363" t="s">
        <v>3150</v>
      </c>
      <c r="L86" s="362">
        <f t="shared" si="3"/>
        <v>3871.5940249999999</v>
      </c>
      <c r="M86" s="285"/>
      <c r="N86" s="283" t="e">
        <f>IF(B86&lt;&gt;0,VLOOKUP(B86,#REF!,2,FALSE),"")</f>
        <v>#REF!</v>
      </c>
      <c r="AY86" s="819"/>
      <c r="AZ86" s="163">
        <f t="shared" si="26"/>
        <v>304.67</v>
      </c>
      <c r="BA86" s="163">
        <f t="shared" si="38"/>
        <v>12.7075</v>
      </c>
      <c r="BB86" s="163">
        <f t="shared" si="39"/>
        <v>16.11</v>
      </c>
      <c r="BC86" s="163">
        <f t="shared" si="40"/>
        <v>4908.2299999999996</v>
      </c>
      <c r="BD86" s="163"/>
      <c r="BE86" s="163"/>
      <c r="BF86" s="163"/>
    </row>
    <row r="87" spans="1:59" s="34" customFormat="1" ht="60">
      <c r="A87" s="803" t="s">
        <v>4096</v>
      </c>
      <c r="B87" s="475">
        <v>92481</v>
      </c>
      <c r="C87" s="471" t="s">
        <v>1535</v>
      </c>
      <c r="D87" s="472" t="s">
        <v>1915</v>
      </c>
      <c r="E87" s="472" t="s">
        <v>26</v>
      </c>
      <c r="F87" s="473">
        <v>84.34</v>
      </c>
      <c r="G87" s="473">
        <f t="shared" si="2"/>
        <v>197.89700000000002</v>
      </c>
      <c r="H87" s="473">
        <f t="shared" si="36"/>
        <v>250.95</v>
      </c>
      <c r="I87" s="473">
        <f t="shared" si="37"/>
        <v>21165.119999999999</v>
      </c>
      <c r="J87" s="477">
        <f>'COMPOSIÇÃO DE CUSTOS'!G67</f>
        <v>197.9</v>
      </c>
      <c r="K87" s="476">
        <v>232.82000000000002</v>
      </c>
      <c r="L87" s="378">
        <f t="shared" si="3"/>
        <v>16690.632980000002</v>
      </c>
      <c r="M87" s="477"/>
      <c r="N87" s="34" t="e">
        <f>IF(B87&lt;&gt;0,VLOOKUP(B87,#REF!,2,FALSE),"")</f>
        <v>#REF!</v>
      </c>
      <c r="AY87" s="577"/>
      <c r="AZ87" s="523">
        <f t="shared" si="26"/>
        <v>84.34</v>
      </c>
      <c r="BA87" s="523">
        <f>BG87</f>
        <v>234.24</v>
      </c>
      <c r="BB87" s="523">
        <f t="shared" si="39"/>
        <v>297.04000000000002</v>
      </c>
      <c r="BC87" s="523">
        <f t="shared" si="40"/>
        <v>25052.35</v>
      </c>
      <c r="BD87" s="523"/>
      <c r="BE87" s="523"/>
      <c r="BF87" s="523"/>
      <c r="BG87" s="34">
        <f>'COMP MEDIDOS'!G209</f>
        <v>234.24</v>
      </c>
    </row>
    <row r="88" spans="1:59" ht="60">
      <c r="A88" s="23" t="s">
        <v>701</v>
      </c>
      <c r="B88" s="24">
        <v>92759</v>
      </c>
      <c r="C88" s="23" t="s">
        <v>1536</v>
      </c>
      <c r="D88" s="25" t="s">
        <v>12</v>
      </c>
      <c r="E88" s="25" t="s">
        <v>45</v>
      </c>
      <c r="F88" s="26">
        <v>267</v>
      </c>
      <c r="G88" s="26">
        <f t="shared" ref="G88:G151" si="41">K88-(K88*$K$15)</f>
        <v>13.5915</v>
      </c>
      <c r="H88" s="26">
        <f t="shared" si="36"/>
        <v>17.239999999999998</v>
      </c>
      <c r="I88" s="26">
        <f t="shared" si="37"/>
        <v>4603.08</v>
      </c>
      <c r="J88" s="2" t="e">
        <f>IF(B88&lt;&gt;0,VLOOKUP(B88,#REF!,4,FALSE),"")</f>
        <v>#REF!</v>
      </c>
      <c r="K88" s="368" t="s">
        <v>1854</v>
      </c>
      <c r="L88" s="362">
        <f t="shared" ref="L88:L151" si="42">F88*G88</f>
        <v>3628.9304999999999</v>
      </c>
      <c r="N88" s="2" t="e">
        <f>IF(B88&lt;&gt;0,VLOOKUP(B88,#REF!,2,FALSE),"")</f>
        <v>#REF!</v>
      </c>
      <c r="AY88" s="21"/>
      <c r="AZ88" s="163">
        <f t="shared" si="26"/>
        <v>267</v>
      </c>
      <c r="BA88" s="163">
        <f t="shared" si="38"/>
        <v>13.5915</v>
      </c>
      <c r="BB88" s="163">
        <f t="shared" si="39"/>
        <v>17.239999999999998</v>
      </c>
      <c r="BC88" s="163">
        <f t="shared" si="40"/>
        <v>4603.08</v>
      </c>
      <c r="BD88" s="163"/>
      <c r="BE88" s="163"/>
      <c r="BF88" s="163"/>
    </row>
    <row r="89" spans="1:59" s="34" customFormat="1" ht="60">
      <c r="A89" s="803" t="s">
        <v>4097</v>
      </c>
      <c r="B89" s="475">
        <v>92760</v>
      </c>
      <c r="C89" s="471" t="s">
        <v>1537</v>
      </c>
      <c r="D89" s="472" t="s">
        <v>12</v>
      </c>
      <c r="E89" s="472" t="s">
        <v>45</v>
      </c>
      <c r="F89" s="473">
        <v>1192</v>
      </c>
      <c r="G89" s="473">
        <f t="shared" si="41"/>
        <v>13.5915</v>
      </c>
      <c r="H89" s="473">
        <f t="shared" si="36"/>
        <v>17.239999999999998</v>
      </c>
      <c r="I89" s="473">
        <f t="shared" si="37"/>
        <v>20550.080000000002</v>
      </c>
      <c r="J89" s="34" t="e">
        <f>IF(B89&lt;&gt;0,VLOOKUP(B89,#REF!,4,FALSE),"")</f>
        <v>#REF!</v>
      </c>
      <c r="K89" s="476" t="s">
        <v>1854</v>
      </c>
      <c r="L89" s="378">
        <f t="shared" si="42"/>
        <v>16201.067999999999</v>
      </c>
      <c r="N89" s="34" t="e">
        <f>IF(B89&lt;&gt;0,VLOOKUP(B89,#REF!,2,FALSE),"")</f>
        <v>#REF!</v>
      </c>
      <c r="AY89" s="577"/>
      <c r="AZ89" s="523">
        <f t="shared" si="26"/>
        <v>1192</v>
      </c>
      <c r="BA89" s="523">
        <f>BG89</f>
        <v>14.78</v>
      </c>
      <c r="BB89" s="523">
        <f t="shared" si="39"/>
        <v>18.739999999999998</v>
      </c>
      <c r="BC89" s="523">
        <f t="shared" si="40"/>
        <v>22338.080000000002</v>
      </c>
      <c r="BD89" s="523"/>
      <c r="BE89" s="523"/>
      <c r="BF89" s="523"/>
      <c r="BG89" s="34">
        <f>'COMP MEDIDOS'!G81</f>
        <v>14.78</v>
      </c>
    </row>
    <row r="90" spans="1:59" ht="60">
      <c r="A90" s="23" t="s">
        <v>703</v>
      </c>
      <c r="B90" s="24">
        <v>92761</v>
      </c>
      <c r="C90" s="23" t="s">
        <v>1538</v>
      </c>
      <c r="D90" s="25" t="s">
        <v>12</v>
      </c>
      <c r="E90" s="25" t="s">
        <v>45</v>
      </c>
      <c r="F90" s="26">
        <v>17</v>
      </c>
      <c r="G90" s="26">
        <f t="shared" si="41"/>
        <v>13.276999999999999</v>
      </c>
      <c r="H90" s="26">
        <f t="shared" si="36"/>
        <v>16.84</v>
      </c>
      <c r="I90" s="26">
        <f t="shared" si="37"/>
        <v>286.27999999999997</v>
      </c>
      <c r="J90" s="2" t="e">
        <f>IF(B90&lt;&gt;0,VLOOKUP(B90,#REF!,4,FALSE),"")</f>
        <v>#REF!</v>
      </c>
      <c r="K90" s="368" t="s">
        <v>3217</v>
      </c>
      <c r="L90" s="362">
        <f t="shared" si="42"/>
        <v>225.70899999999997</v>
      </c>
      <c r="N90" s="2" t="e">
        <f>IF(B90&lt;&gt;0,VLOOKUP(B90,#REF!,2,FALSE),"")</f>
        <v>#REF!</v>
      </c>
      <c r="AY90" s="21"/>
      <c r="AZ90" s="163">
        <f t="shared" si="26"/>
        <v>17</v>
      </c>
      <c r="BA90" s="163">
        <f t="shared" si="38"/>
        <v>13.276999999999999</v>
      </c>
      <c r="BB90" s="163">
        <f t="shared" si="39"/>
        <v>16.84</v>
      </c>
      <c r="BC90" s="163">
        <f t="shared" si="40"/>
        <v>286.27999999999997</v>
      </c>
      <c r="BD90" s="163"/>
      <c r="BE90" s="163"/>
      <c r="BF90" s="163"/>
    </row>
    <row r="91" spans="1:59" s="34" customFormat="1" ht="60">
      <c r="A91" s="471" t="s">
        <v>704</v>
      </c>
      <c r="B91" s="475">
        <v>92762</v>
      </c>
      <c r="C91" s="471" t="s">
        <v>1539</v>
      </c>
      <c r="D91" s="472" t="s">
        <v>12</v>
      </c>
      <c r="E91" s="472" t="s">
        <v>45</v>
      </c>
      <c r="F91" s="473">
        <v>750</v>
      </c>
      <c r="G91" s="473">
        <f t="shared" si="41"/>
        <v>12.1295</v>
      </c>
      <c r="H91" s="473">
        <f t="shared" si="36"/>
        <v>15.38</v>
      </c>
      <c r="I91" s="473">
        <f t="shared" si="37"/>
        <v>11535</v>
      </c>
      <c r="J91" s="34" t="e">
        <f>IF(B91&lt;&gt;0,VLOOKUP(B91,#REF!,4,FALSE),"")</f>
        <v>#REF!</v>
      </c>
      <c r="K91" s="476" t="s">
        <v>3154</v>
      </c>
      <c r="L91" s="378">
        <f t="shared" si="42"/>
        <v>9097.125</v>
      </c>
      <c r="N91" s="34" t="e">
        <f>IF(B91&lt;&gt;0,VLOOKUP(B91,#REF!,2,FALSE),"")</f>
        <v>#REF!</v>
      </c>
      <c r="AY91" s="577"/>
      <c r="AZ91" s="523">
        <f t="shared" si="26"/>
        <v>750</v>
      </c>
      <c r="BA91" s="523">
        <f>BG91</f>
        <v>14.259999999999998</v>
      </c>
      <c r="BB91" s="523">
        <f t="shared" si="39"/>
        <v>18.079999999999998</v>
      </c>
      <c r="BC91" s="523">
        <f t="shared" si="40"/>
        <v>13560</v>
      </c>
      <c r="BD91" s="523"/>
      <c r="BE91" s="523"/>
      <c r="BF91" s="523"/>
      <c r="BG91" s="34">
        <f>'COMP MEDIDOS'!G93</f>
        <v>14.259999999999998</v>
      </c>
    </row>
    <row r="92" spans="1:59" s="34" customFormat="1" ht="60">
      <c r="A92" s="471" t="s">
        <v>705</v>
      </c>
      <c r="B92" s="475">
        <v>92763</v>
      </c>
      <c r="C92" s="471" t="s">
        <v>1540</v>
      </c>
      <c r="D92" s="472" t="s">
        <v>12</v>
      </c>
      <c r="E92" s="472" t="s">
        <v>45</v>
      </c>
      <c r="F92" s="473">
        <v>1118</v>
      </c>
      <c r="G92" s="473">
        <f t="shared" si="41"/>
        <v>10.361499999999999</v>
      </c>
      <c r="H92" s="473">
        <f t="shared" si="36"/>
        <v>13.14</v>
      </c>
      <c r="I92" s="473">
        <f t="shared" si="37"/>
        <v>14690.52</v>
      </c>
      <c r="J92" s="34" t="e">
        <f>IF(B92&lt;&gt;0,VLOOKUP(B92,#REF!,4,FALSE),"")</f>
        <v>#REF!</v>
      </c>
      <c r="K92" s="476" t="s">
        <v>3134</v>
      </c>
      <c r="L92" s="378">
        <f t="shared" si="42"/>
        <v>11584.156999999999</v>
      </c>
      <c r="N92" s="34" t="e">
        <f>IF(B92&lt;&gt;0,VLOOKUP(B92,#REF!,2,FALSE),"")</f>
        <v>#REF!</v>
      </c>
      <c r="AY92" s="577"/>
      <c r="AZ92" s="523">
        <f t="shared" si="26"/>
        <v>1118</v>
      </c>
      <c r="BA92" s="523">
        <f>BG92</f>
        <v>13.25121</v>
      </c>
      <c r="BB92" s="523">
        <f t="shared" si="39"/>
        <v>16.8</v>
      </c>
      <c r="BC92" s="523">
        <f t="shared" si="40"/>
        <v>18782.400000000001</v>
      </c>
      <c r="BD92" s="523"/>
      <c r="BE92" s="523"/>
      <c r="BF92" s="523"/>
      <c r="BG92" s="34">
        <f>'COMP MEDIDOS'!G105</f>
        <v>13.25121</v>
      </c>
    </row>
    <row r="93" spans="1:59" s="34" customFormat="1" ht="60">
      <c r="A93" s="471" t="s">
        <v>706</v>
      </c>
      <c r="B93" s="475">
        <v>92764</v>
      </c>
      <c r="C93" s="471" t="s">
        <v>1541</v>
      </c>
      <c r="D93" s="472" t="s">
        <v>12</v>
      </c>
      <c r="E93" s="472" t="s">
        <v>45</v>
      </c>
      <c r="F93" s="473">
        <v>448</v>
      </c>
      <c r="G93" s="473">
        <f t="shared" si="41"/>
        <v>10.064</v>
      </c>
      <c r="H93" s="473">
        <f t="shared" si="36"/>
        <v>12.76</v>
      </c>
      <c r="I93" s="473">
        <f t="shared" si="37"/>
        <v>5716.48</v>
      </c>
      <c r="J93" s="34" t="e">
        <f>IF(B93&lt;&gt;0,VLOOKUP(B93,#REF!,4,FALSE),"")</f>
        <v>#REF!</v>
      </c>
      <c r="K93" s="476" t="s">
        <v>3044</v>
      </c>
      <c r="L93" s="378">
        <f t="shared" si="42"/>
        <v>4508.6720000000005</v>
      </c>
      <c r="N93" s="34" t="e">
        <f>IF(B93&lt;&gt;0,VLOOKUP(B93,#REF!,2,FALSE),"")</f>
        <v>#REF!</v>
      </c>
      <c r="AY93" s="577"/>
      <c r="AZ93" s="523">
        <f t="shared" si="26"/>
        <v>448</v>
      </c>
      <c r="BA93" s="523">
        <f>BG93</f>
        <v>13.06</v>
      </c>
      <c r="BB93" s="523">
        <f t="shared" si="39"/>
        <v>16.559999999999999</v>
      </c>
      <c r="BC93" s="523">
        <f t="shared" si="40"/>
        <v>7418.88</v>
      </c>
      <c r="BD93" s="523"/>
      <c r="BE93" s="523"/>
      <c r="BF93" s="523"/>
      <c r="BG93" s="34">
        <f>'COMP MEDIDOS'!G116</f>
        <v>13.06</v>
      </c>
    </row>
    <row r="94" spans="1:59" s="283" customFormat="1" ht="60">
      <c r="A94" s="41" t="s">
        <v>3629</v>
      </c>
      <c r="B94" s="24">
        <v>97094</v>
      </c>
      <c r="C94" s="470" t="s">
        <v>3742</v>
      </c>
      <c r="D94" s="25" t="s">
        <v>12</v>
      </c>
      <c r="E94" s="25" t="s">
        <v>35</v>
      </c>
      <c r="F94" s="26">
        <v>25.68</v>
      </c>
      <c r="G94" s="26">
        <f t="shared" si="41"/>
        <v>410.89850000000001</v>
      </c>
      <c r="H94" s="26">
        <f t="shared" si="36"/>
        <v>521.05999999999995</v>
      </c>
      <c r="I94" s="26">
        <f t="shared" ref="I94" si="43">ROUND(H94*F94,2)</f>
        <v>13380.82</v>
      </c>
      <c r="J94" s="283" t="e">
        <f>IF(B94&lt;&gt;0,VLOOKUP(B94,#REF!,4,FALSE),"")</f>
        <v>#REF!</v>
      </c>
      <c r="K94" s="380" t="s">
        <v>3215</v>
      </c>
      <c r="L94" s="362">
        <f t="shared" si="42"/>
        <v>10551.87348</v>
      </c>
      <c r="N94" s="283" t="e">
        <f>IF(B94&lt;&gt;0,VLOOKUP(B94,#REF!,2,FALSE),"")</f>
        <v>#REF!</v>
      </c>
      <c r="AY94" s="819"/>
      <c r="AZ94" s="163">
        <f t="shared" si="26"/>
        <v>25.68</v>
      </c>
      <c r="BA94" s="163">
        <f t="shared" si="38"/>
        <v>410.89850000000001</v>
      </c>
      <c r="BB94" s="163">
        <f t="shared" si="39"/>
        <v>521.05999999999995</v>
      </c>
      <c r="BC94" s="163">
        <f t="shared" si="40"/>
        <v>13380.82</v>
      </c>
      <c r="BD94" s="163"/>
      <c r="BE94" s="163"/>
      <c r="BF94" s="163"/>
    </row>
    <row r="95" spans="1:59" s="34" customFormat="1" ht="75">
      <c r="A95" s="471" t="s">
        <v>3419</v>
      </c>
      <c r="B95" s="472" t="s">
        <v>2051</v>
      </c>
      <c r="C95" s="471" t="s">
        <v>1542</v>
      </c>
      <c r="D95" s="472" t="s">
        <v>1915</v>
      </c>
      <c r="E95" s="472" t="s">
        <v>35</v>
      </c>
      <c r="F95" s="473">
        <v>36.21</v>
      </c>
      <c r="G95" s="473">
        <f t="shared" si="41"/>
        <v>394.35750000000007</v>
      </c>
      <c r="H95" s="473">
        <f t="shared" si="36"/>
        <v>500.08</v>
      </c>
      <c r="I95" s="473">
        <f t="shared" si="37"/>
        <v>18107.900000000001</v>
      </c>
      <c r="J95" s="474">
        <f>'COMPOSIÇÃO DE CUSTOS'!G78</f>
        <v>394.36</v>
      </c>
      <c r="K95" s="378">
        <v>463.95000000000005</v>
      </c>
      <c r="L95" s="378">
        <f t="shared" si="42"/>
        <v>14279.685075000003</v>
      </c>
      <c r="M95" s="474"/>
      <c r="AY95" s="577"/>
      <c r="AZ95" s="523">
        <f t="shared" si="26"/>
        <v>36.21</v>
      </c>
      <c r="BA95" s="523">
        <f>BG95</f>
        <v>491.9</v>
      </c>
      <c r="BB95" s="523">
        <f t="shared" si="39"/>
        <v>623.78</v>
      </c>
      <c r="BC95" s="523">
        <f t="shared" si="40"/>
        <v>22587.07</v>
      </c>
      <c r="BD95" s="523"/>
      <c r="BE95" s="523"/>
      <c r="BF95" s="523"/>
      <c r="BG95" s="34">
        <f>'COMP MEDIDOS'!G220</f>
        <v>491.9</v>
      </c>
    </row>
    <row r="96" spans="1:59" ht="34.5" customHeight="1">
      <c r="A96" s="23"/>
      <c r="B96" s="25"/>
      <c r="C96" s="23"/>
      <c r="D96" s="25"/>
      <c r="E96" s="25"/>
      <c r="F96" s="26"/>
      <c r="G96" s="26"/>
      <c r="H96" s="26"/>
      <c r="I96" s="26"/>
      <c r="L96" s="362">
        <f t="shared" si="42"/>
        <v>0</v>
      </c>
      <c r="AY96" s="21"/>
      <c r="AZ96" s="481"/>
      <c r="BA96" s="239"/>
      <c r="BB96" s="239"/>
      <c r="BC96" s="481"/>
      <c r="BD96" s="481"/>
      <c r="BE96" s="481"/>
      <c r="BF96" s="481"/>
      <c r="BG96" s="2">
        <f>(I97+'PLANILHA ORÇA - EJUD'!I63)*0.5</f>
        <v>327816.73499999999</v>
      </c>
    </row>
    <row r="97" spans="1:59" s="28" customFormat="1" ht="15" customHeight="1">
      <c r="A97" s="356" t="s">
        <v>707</v>
      </c>
      <c r="B97" s="356"/>
      <c r="C97" s="356" t="s">
        <v>51</v>
      </c>
      <c r="D97" s="357"/>
      <c r="E97" s="357"/>
      <c r="F97" s="357"/>
      <c r="G97" s="26"/>
      <c r="H97" s="357"/>
      <c r="I97" s="96">
        <f>ROUND(SUM(I98:I110),2)</f>
        <v>313910.87</v>
      </c>
      <c r="K97" s="377"/>
      <c r="L97" s="362">
        <f t="shared" si="42"/>
        <v>0</v>
      </c>
      <c r="AY97" s="370"/>
      <c r="AZ97" s="481"/>
      <c r="BA97" s="481"/>
      <c r="BB97" s="481"/>
      <c r="BC97" s="834">
        <f>ROUND(SUM(BC98:BC110),2)</f>
        <v>165643.94</v>
      </c>
      <c r="BD97" s="481"/>
      <c r="BE97" s="481"/>
      <c r="BF97" s="96">
        <f>ROUND(SUM(BF98:BF110),2)</f>
        <v>220020.44</v>
      </c>
    </row>
    <row r="98" spans="1:59" s="34" customFormat="1" ht="75">
      <c r="A98" s="471" t="s">
        <v>708</v>
      </c>
      <c r="B98" s="475">
        <v>87508</v>
      </c>
      <c r="C98" s="471" t="s">
        <v>1543</v>
      </c>
      <c r="D98" s="472" t="s">
        <v>12</v>
      </c>
      <c r="E98" s="472" t="s">
        <v>26</v>
      </c>
      <c r="F98" s="473">
        <v>1852.06</v>
      </c>
      <c r="G98" s="473">
        <f t="shared" si="41"/>
        <v>60.987499999999997</v>
      </c>
      <c r="H98" s="473">
        <f t="shared" ref="H98:H110" si="44">ROUND(G98*(1+$J$14),2)</f>
        <v>77.34</v>
      </c>
      <c r="I98" s="473">
        <f t="shared" ref="I98:I110" si="45">ROUND(H98*F98,2)</f>
        <v>143238.32</v>
      </c>
      <c r="J98" s="34" t="e">
        <f>IF(B98&lt;&gt;0,VLOOKUP(B98,#REF!,4,FALSE),"")</f>
        <v>#REF!</v>
      </c>
      <c r="K98" s="476" t="s">
        <v>3182</v>
      </c>
      <c r="L98" s="378">
        <f t="shared" si="42"/>
        <v>112952.50924999999</v>
      </c>
      <c r="N98" s="34" t="e">
        <f>IF(B98&lt;&gt;0,VLOOKUP(B98,#REF!,2,FALSE),"")</f>
        <v>#REF!</v>
      </c>
      <c r="AY98" s="577"/>
      <c r="AZ98" s="523">
        <f>F98*0.8</f>
        <v>1481.6480000000001</v>
      </c>
      <c r="BA98" s="523">
        <f>G98</f>
        <v>60.987499999999997</v>
      </c>
      <c r="BB98" s="523">
        <f t="shared" ref="BB98:BB99" si="46">ROUND(BA98*(1+$J$14),2)</f>
        <v>77.34</v>
      </c>
      <c r="BC98" s="523">
        <f t="shared" ref="BC98:BC99" si="47">ROUND(BB98*AZ98,2)</f>
        <v>114590.66</v>
      </c>
      <c r="BD98" s="523">
        <f>BG98</f>
        <v>76.849999999999994</v>
      </c>
      <c r="BE98" s="523">
        <f>ROUND(BD98*(1+$J$14),2)</f>
        <v>97.45</v>
      </c>
      <c r="BF98" s="523">
        <f t="shared" ref="BF98:BF99" si="48">ROUND(BE98*(F98-AZ98),2)</f>
        <v>36096.65</v>
      </c>
      <c r="BG98" s="474">
        <f>'COMPOSIÇÃO AB'!G257</f>
        <v>76.849999999999994</v>
      </c>
    </row>
    <row r="99" spans="1:59" ht="30">
      <c r="A99" s="23" t="s">
        <v>709</v>
      </c>
      <c r="B99" s="24">
        <v>93202</v>
      </c>
      <c r="C99" s="23" t="s">
        <v>1544</v>
      </c>
      <c r="D99" s="25" t="s">
        <v>12</v>
      </c>
      <c r="E99" s="25" t="s">
        <v>52</v>
      </c>
      <c r="F99" s="26">
        <v>783.2</v>
      </c>
      <c r="G99" s="26">
        <f t="shared" si="41"/>
        <v>17.713999999999999</v>
      </c>
      <c r="H99" s="26">
        <f t="shared" si="44"/>
        <v>22.46</v>
      </c>
      <c r="I99" s="26">
        <f t="shared" si="45"/>
        <v>17590.669999999998</v>
      </c>
      <c r="J99" s="2" t="e">
        <f>IF(B99&lt;&gt;0,VLOOKUP(B99,#REF!,4,FALSE),"")</f>
        <v>#REF!</v>
      </c>
      <c r="K99" s="368" t="s">
        <v>3140</v>
      </c>
      <c r="L99" s="362">
        <f t="shared" si="42"/>
        <v>13873.604799999999</v>
      </c>
      <c r="N99" s="2" t="e">
        <f>IF(B99&lt;&gt;0,VLOOKUP(B99,#REF!,2,FALSE),"")</f>
        <v>#REF!</v>
      </c>
      <c r="AY99" s="21"/>
      <c r="AZ99" s="163">
        <f>F99*0.8</f>
        <v>626.56000000000006</v>
      </c>
      <c r="BA99" s="163">
        <f>G99</f>
        <v>17.713999999999999</v>
      </c>
      <c r="BB99" s="163">
        <f t="shared" si="46"/>
        <v>22.46</v>
      </c>
      <c r="BC99" s="163">
        <f t="shared" si="47"/>
        <v>14072.54</v>
      </c>
      <c r="BD99" s="163">
        <f t="shared" ref="BD99" si="49">ROUND(G99*$BH$19,2)</f>
        <v>19.73</v>
      </c>
      <c r="BE99" s="163">
        <f>ROUND(BD99*(1+$J$14),2)</f>
        <v>25.02</v>
      </c>
      <c r="BF99" s="163">
        <f t="shared" si="48"/>
        <v>3919.13</v>
      </c>
      <c r="BG99" s="38"/>
    </row>
    <row r="100" spans="1:59" s="27" customFormat="1" ht="75">
      <c r="A100" s="41" t="s">
        <v>3554</v>
      </c>
      <c r="B100" s="24">
        <v>96363</v>
      </c>
      <c r="C100" s="470" t="s">
        <v>3743</v>
      </c>
      <c r="D100" s="25" t="s">
        <v>12</v>
      </c>
      <c r="E100" s="25" t="s">
        <v>26</v>
      </c>
      <c r="F100" s="26">
        <v>124.32</v>
      </c>
      <c r="G100" s="26">
        <f t="shared" si="41"/>
        <v>86.674499999999995</v>
      </c>
      <c r="H100" s="26">
        <f t="shared" si="44"/>
        <v>109.91</v>
      </c>
      <c r="I100" s="26">
        <f t="shared" si="45"/>
        <v>13664.01</v>
      </c>
      <c r="J100" s="27" t="e">
        <f>IF(B100&lt;&gt;0,VLOOKUP(B100,#REF!,4,FALSE),"")</f>
        <v>#REF!</v>
      </c>
      <c r="K100" s="376" t="s">
        <v>3310</v>
      </c>
      <c r="L100" s="362">
        <f t="shared" si="42"/>
        <v>10775.373839999998</v>
      </c>
      <c r="N100" s="27" t="e">
        <f>IF(B100&lt;&gt;0,VLOOKUP(B100,#REF!,2,FALSE),"")</f>
        <v>#REF!</v>
      </c>
      <c r="AY100" s="552"/>
      <c r="AZ100" s="481"/>
      <c r="BA100" s="481"/>
      <c r="BB100" s="481"/>
      <c r="BC100" s="481"/>
      <c r="BD100" s="163">
        <f>ROUND(G100*$BH$19,2)</f>
        <v>96.56</v>
      </c>
      <c r="BE100" s="163">
        <f>ROUND(BD100*(1+$J$14),2)</f>
        <v>122.45</v>
      </c>
      <c r="BF100" s="163">
        <f>ROUND(BE100*F100,2)</f>
        <v>15222.98</v>
      </c>
      <c r="BG100" s="43"/>
    </row>
    <row r="101" spans="1:59" s="34" customFormat="1" ht="63" customHeight="1">
      <c r="A101" s="471" t="s">
        <v>710</v>
      </c>
      <c r="B101" s="475">
        <v>96359</v>
      </c>
      <c r="C101" s="471" t="s">
        <v>3323</v>
      </c>
      <c r="D101" s="472" t="s">
        <v>12</v>
      </c>
      <c r="E101" s="472" t="s">
        <v>26</v>
      </c>
      <c r="F101" s="473">
        <v>850.18</v>
      </c>
      <c r="G101" s="473">
        <f t="shared" si="41"/>
        <v>72.658000000000001</v>
      </c>
      <c r="H101" s="473">
        <f t="shared" si="44"/>
        <v>92.14</v>
      </c>
      <c r="I101" s="473">
        <f t="shared" si="45"/>
        <v>78335.59</v>
      </c>
      <c r="J101" s="34" t="e">
        <f>IF(B101&lt;&gt;0,VLOOKUP(B101,#REF!,4,FALSE),"")</f>
        <v>#REF!</v>
      </c>
      <c r="K101" s="476" t="s">
        <v>3304</v>
      </c>
      <c r="L101" s="378">
        <f t="shared" si="42"/>
        <v>61772.37844</v>
      </c>
      <c r="N101" s="34" t="e">
        <f>IF(B101&lt;&gt;0,VLOOKUP(B101,#REF!,2,FALSE),"")</f>
        <v>#REF!</v>
      </c>
      <c r="AY101" s="577"/>
      <c r="AZ101" s="502"/>
      <c r="BA101" s="502"/>
      <c r="BB101" s="502"/>
      <c r="BC101" s="502"/>
      <c r="BD101" s="523">
        <f>BG101</f>
        <v>127.94</v>
      </c>
      <c r="BE101" s="523">
        <f>ROUND(BD101*(1+$J$14),2)</f>
        <v>162.24</v>
      </c>
      <c r="BF101" s="523">
        <f t="shared" ref="BF101:BF110" si="50">ROUND(BE101*F101,2)</f>
        <v>137933.20000000001</v>
      </c>
      <c r="BG101" s="474">
        <f>'COMPOSIÇÃO AB'!G273</f>
        <v>127.94</v>
      </c>
    </row>
    <row r="102" spans="1:59" ht="30">
      <c r="A102" s="23" t="s">
        <v>711</v>
      </c>
      <c r="B102" s="24">
        <v>93188</v>
      </c>
      <c r="C102" s="23" t="s">
        <v>1545</v>
      </c>
      <c r="D102" s="25" t="s">
        <v>12</v>
      </c>
      <c r="E102" s="25" t="s">
        <v>52</v>
      </c>
      <c r="F102" s="26">
        <v>62.864000000000004</v>
      </c>
      <c r="G102" s="26">
        <f t="shared" si="41"/>
        <v>55.173499999999997</v>
      </c>
      <c r="H102" s="26">
        <f t="shared" si="44"/>
        <v>69.97</v>
      </c>
      <c r="I102" s="26">
        <f t="shared" si="45"/>
        <v>4398.59</v>
      </c>
      <c r="J102" s="2" t="e">
        <f>IF(B102&lt;&gt;0,VLOOKUP(B102,#REF!,4,FALSE),"")</f>
        <v>#REF!</v>
      </c>
      <c r="K102" s="368" t="s">
        <v>3173</v>
      </c>
      <c r="L102" s="362">
        <f t="shared" si="42"/>
        <v>3468.4269039999999</v>
      </c>
      <c r="N102" s="2" t="e">
        <f>IF(B102&lt;&gt;0,VLOOKUP(B102,#REF!,2,FALSE),"")</f>
        <v>#REF!</v>
      </c>
      <c r="AY102" s="21"/>
      <c r="AZ102" s="163">
        <f>F102*0.8</f>
        <v>50.291200000000003</v>
      </c>
      <c r="BA102" s="163">
        <f t="shared" ref="BA102:BA107" si="51">G102</f>
        <v>55.173499999999997</v>
      </c>
      <c r="BB102" s="163">
        <f t="shared" ref="BB102" si="52">ROUND(BA102*(1+$J$14),2)</f>
        <v>69.97</v>
      </c>
      <c r="BC102" s="163">
        <f t="shared" ref="BC102" si="53">ROUND(BB102*AZ102,2)</f>
        <v>3518.88</v>
      </c>
      <c r="BD102" s="163">
        <f>ROUND(G102*$BH$19,2)</f>
        <v>61.46</v>
      </c>
      <c r="BE102" s="163">
        <f>ROUND(BD102*(1+$J$14),2)</f>
        <v>77.94</v>
      </c>
      <c r="BF102" s="163">
        <f t="shared" ref="BF102:BF107" si="54">ROUND(BE102*(F102-AZ102),2)</f>
        <v>979.92</v>
      </c>
    </row>
    <row r="103" spans="1:59" ht="30">
      <c r="A103" s="23" t="s">
        <v>712</v>
      </c>
      <c r="B103" s="24">
        <v>93189</v>
      </c>
      <c r="C103" s="23" t="s">
        <v>1546</v>
      </c>
      <c r="D103" s="25" t="s">
        <v>12</v>
      </c>
      <c r="E103" s="25" t="s">
        <v>52</v>
      </c>
      <c r="F103" s="26">
        <v>33.344000000000001</v>
      </c>
      <c r="G103" s="26">
        <f t="shared" si="41"/>
        <v>70.133499999999998</v>
      </c>
      <c r="H103" s="26">
        <f t="shared" si="44"/>
        <v>88.94</v>
      </c>
      <c r="I103" s="26">
        <f t="shared" si="45"/>
        <v>2965.62</v>
      </c>
      <c r="J103" s="2" t="e">
        <f>IF(B103&lt;&gt;0,VLOOKUP(B103,#REF!,4,FALSE),"")</f>
        <v>#REF!</v>
      </c>
      <c r="K103" s="368" t="s">
        <v>3221</v>
      </c>
      <c r="L103" s="362">
        <f t="shared" si="42"/>
        <v>2338.5314239999998</v>
      </c>
      <c r="N103" s="2" t="e">
        <f>IF(B103&lt;&gt;0,VLOOKUP(B103,#REF!,2,FALSE),"")</f>
        <v>#REF!</v>
      </c>
      <c r="AY103" s="21"/>
      <c r="AZ103" s="163">
        <f t="shared" ref="AZ103:AZ107" si="55">F103*0.8</f>
        <v>26.675200000000004</v>
      </c>
      <c r="BA103" s="163">
        <f t="shared" si="51"/>
        <v>70.133499999999998</v>
      </c>
      <c r="BB103" s="163">
        <f t="shared" ref="BB103:BB107" si="56">ROUND(BA103*(1+$J$14),2)</f>
        <v>88.94</v>
      </c>
      <c r="BC103" s="163">
        <f t="shared" ref="BC103:BC107" si="57">ROUND(BB103*AZ103,2)</f>
        <v>2372.4899999999998</v>
      </c>
      <c r="BD103" s="163">
        <f t="shared" ref="BD103:BD107" si="58">ROUND(G103*$BH$19,2)</f>
        <v>78.13</v>
      </c>
      <c r="BE103" s="163">
        <f t="shared" ref="BE103:BE110" si="59">ROUND(BD103*(1+$J$14),2)</f>
        <v>99.08</v>
      </c>
      <c r="BF103" s="163">
        <f t="shared" si="54"/>
        <v>660.74</v>
      </c>
    </row>
    <row r="104" spans="1:59" ht="30">
      <c r="A104" s="23" t="s">
        <v>713</v>
      </c>
      <c r="B104" s="24">
        <v>93186</v>
      </c>
      <c r="C104" s="23" t="s">
        <v>1547</v>
      </c>
      <c r="D104" s="25" t="s">
        <v>12</v>
      </c>
      <c r="E104" s="25" t="s">
        <v>52</v>
      </c>
      <c r="F104" s="26">
        <v>44.616000000000007</v>
      </c>
      <c r="G104" s="26">
        <f t="shared" si="41"/>
        <v>59.729499999999994</v>
      </c>
      <c r="H104" s="26">
        <f t="shared" si="44"/>
        <v>75.739999999999995</v>
      </c>
      <c r="I104" s="26">
        <f t="shared" si="45"/>
        <v>3379.22</v>
      </c>
      <c r="J104" s="2" t="e">
        <f>IF(B104&lt;&gt;0,VLOOKUP(B104,#REF!,4,FALSE),"")</f>
        <v>#REF!</v>
      </c>
      <c r="K104" s="368" t="s">
        <v>3139</v>
      </c>
      <c r="L104" s="362">
        <f t="shared" si="42"/>
        <v>2664.891372</v>
      </c>
      <c r="N104" s="2" t="e">
        <f>IF(B104&lt;&gt;0,VLOOKUP(B104,#REF!,2,FALSE),"")</f>
        <v>#REF!</v>
      </c>
      <c r="AY104" s="21"/>
      <c r="AZ104" s="163">
        <f t="shared" si="55"/>
        <v>35.692800000000005</v>
      </c>
      <c r="BA104" s="163">
        <f t="shared" si="51"/>
        <v>59.729499999999994</v>
      </c>
      <c r="BB104" s="163">
        <f t="shared" si="56"/>
        <v>75.739999999999995</v>
      </c>
      <c r="BC104" s="163">
        <f t="shared" si="57"/>
        <v>2703.37</v>
      </c>
      <c r="BD104" s="163">
        <f t="shared" si="58"/>
        <v>66.540000000000006</v>
      </c>
      <c r="BE104" s="163">
        <f t="shared" si="59"/>
        <v>84.38</v>
      </c>
      <c r="BF104" s="163">
        <f t="shared" si="54"/>
        <v>752.94</v>
      </c>
    </row>
    <row r="105" spans="1:59" ht="30">
      <c r="A105" s="23" t="s">
        <v>714</v>
      </c>
      <c r="B105" s="24">
        <v>93196</v>
      </c>
      <c r="C105" s="23" t="s">
        <v>1548</v>
      </c>
      <c r="D105" s="25" t="s">
        <v>12</v>
      </c>
      <c r="E105" s="25" t="s">
        <v>52</v>
      </c>
      <c r="F105" s="26">
        <v>42.480000000000004</v>
      </c>
      <c r="G105" s="26">
        <f t="shared" si="41"/>
        <v>57.808500000000002</v>
      </c>
      <c r="H105" s="26">
        <f t="shared" si="44"/>
        <v>73.31</v>
      </c>
      <c r="I105" s="26">
        <f t="shared" si="45"/>
        <v>3114.21</v>
      </c>
      <c r="J105" s="2" t="e">
        <f>IF(B105&lt;&gt;0,VLOOKUP(B105,#REF!,4,FALSE),"")</f>
        <v>#REF!</v>
      </c>
      <c r="K105" s="368" t="s">
        <v>3222</v>
      </c>
      <c r="L105" s="362">
        <f t="shared" si="42"/>
        <v>2455.7050800000002</v>
      </c>
      <c r="N105" s="2" t="e">
        <f>IF(B105&lt;&gt;0,VLOOKUP(B105,#REF!,2,FALSE),"")</f>
        <v>#REF!</v>
      </c>
      <c r="AY105" s="21"/>
      <c r="AZ105" s="163">
        <f t="shared" si="55"/>
        <v>33.984000000000002</v>
      </c>
      <c r="BA105" s="163">
        <f t="shared" si="51"/>
        <v>57.808500000000002</v>
      </c>
      <c r="BB105" s="163">
        <f t="shared" si="56"/>
        <v>73.31</v>
      </c>
      <c r="BC105" s="163">
        <f t="shared" si="57"/>
        <v>2491.37</v>
      </c>
      <c r="BD105" s="163">
        <f t="shared" si="58"/>
        <v>64.400000000000006</v>
      </c>
      <c r="BE105" s="163">
        <f t="shared" si="59"/>
        <v>81.67</v>
      </c>
      <c r="BF105" s="163">
        <f t="shared" si="54"/>
        <v>693.87</v>
      </c>
    </row>
    <row r="106" spans="1:59" ht="30">
      <c r="A106" s="23" t="s">
        <v>715</v>
      </c>
      <c r="B106" s="24">
        <v>93187</v>
      </c>
      <c r="C106" s="23" t="s">
        <v>1549</v>
      </c>
      <c r="D106" s="25" t="s">
        <v>12</v>
      </c>
      <c r="E106" s="25" t="s">
        <v>52</v>
      </c>
      <c r="F106" s="26">
        <v>210.39200000000002</v>
      </c>
      <c r="G106" s="26">
        <f t="shared" si="41"/>
        <v>69.478999999999999</v>
      </c>
      <c r="H106" s="26">
        <f t="shared" si="44"/>
        <v>88.11</v>
      </c>
      <c r="I106" s="26">
        <f t="shared" si="45"/>
        <v>18537.64</v>
      </c>
      <c r="J106" s="2" t="e">
        <f>IF(B106&lt;&gt;0,VLOOKUP(B106,#REF!,4,FALSE),"")</f>
        <v>#REF!</v>
      </c>
      <c r="K106" s="368" t="s">
        <v>3167</v>
      </c>
      <c r="L106" s="362">
        <f t="shared" si="42"/>
        <v>14617.825768000002</v>
      </c>
      <c r="N106" s="2" t="e">
        <f>IF(B106&lt;&gt;0,VLOOKUP(B106,#REF!,2,FALSE),"")</f>
        <v>#REF!</v>
      </c>
      <c r="AY106" s="21"/>
      <c r="AZ106" s="163">
        <f t="shared" si="55"/>
        <v>168.31360000000004</v>
      </c>
      <c r="BA106" s="163">
        <f t="shared" si="51"/>
        <v>69.478999999999999</v>
      </c>
      <c r="BB106" s="163">
        <f t="shared" si="56"/>
        <v>88.11</v>
      </c>
      <c r="BC106" s="163">
        <f t="shared" si="57"/>
        <v>14830.11</v>
      </c>
      <c r="BD106" s="163">
        <f t="shared" si="58"/>
        <v>77.400000000000006</v>
      </c>
      <c r="BE106" s="163">
        <f t="shared" si="59"/>
        <v>98.15</v>
      </c>
      <c r="BF106" s="163">
        <f t="shared" si="54"/>
        <v>4129.99</v>
      </c>
    </row>
    <row r="107" spans="1:59" s="62" customFormat="1" ht="30">
      <c r="A107" s="23" t="s">
        <v>716</v>
      </c>
      <c r="B107" s="24">
        <v>93197</v>
      </c>
      <c r="C107" s="23" t="s">
        <v>1550</v>
      </c>
      <c r="D107" s="25" t="s">
        <v>12</v>
      </c>
      <c r="E107" s="25" t="s">
        <v>52</v>
      </c>
      <c r="F107" s="26">
        <v>168.42000000000002</v>
      </c>
      <c r="G107" s="26">
        <f t="shared" si="41"/>
        <v>64.761499999999998</v>
      </c>
      <c r="H107" s="26">
        <f t="shared" si="44"/>
        <v>82.12</v>
      </c>
      <c r="I107" s="26">
        <f t="shared" si="45"/>
        <v>13830.65</v>
      </c>
      <c r="J107" s="62" t="e">
        <f>IF(B107&lt;&gt;0,VLOOKUP(B107,#REF!,4,FALSE),"")</f>
        <v>#REF!</v>
      </c>
      <c r="K107" s="379" t="s">
        <v>3223</v>
      </c>
      <c r="L107" s="362">
        <f t="shared" si="42"/>
        <v>10907.13183</v>
      </c>
      <c r="N107" s="62" t="e">
        <f>IF(B107&lt;&gt;0,VLOOKUP(B107,#REF!,2,FALSE),"")</f>
        <v>#REF!</v>
      </c>
      <c r="AY107" s="221"/>
      <c r="AZ107" s="163">
        <f t="shared" si="55"/>
        <v>134.73600000000002</v>
      </c>
      <c r="BA107" s="163">
        <f t="shared" si="51"/>
        <v>64.761499999999998</v>
      </c>
      <c r="BB107" s="163">
        <f t="shared" si="56"/>
        <v>82.12</v>
      </c>
      <c r="BC107" s="163">
        <f t="shared" si="57"/>
        <v>11064.52</v>
      </c>
      <c r="BD107" s="163">
        <f t="shared" si="58"/>
        <v>72.14</v>
      </c>
      <c r="BE107" s="163">
        <f t="shared" si="59"/>
        <v>91.48</v>
      </c>
      <c r="BF107" s="163">
        <f t="shared" si="54"/>
        <v>3081.41</v>
      </c>
    </row>
    <row r="108" spans="1:59" s="62" customFormat="1" ht="30">
      <c r="A108" s="23" t="s">
        <v>717</v>
      </c>
      <c r="B108" s="25" t="s">
        <v>2053</v>
      </c>
      <c r="C108" s="23" t="s">
        <v>53</v>
      </c>
      <c r="D108" s="25" t="s">
        <v>1915</v>
      </c>
      <c r="E108" s="25" t="s">
        <v>52</v>
      </c>
      <c r="F108" s="26">
        <v>273.03200000000004</v>
      </c>
      <c r="G108" s="26">
        <f t="shared" si="41"/>
        <v>33.073499999999996</v>
      </c>
      <c r="H108" s="26">
        <f t="shared" si="44"/>
        <v>41.94</v>
      </c>
      <c r="I108" s="26">
        <f t="shared" si="45"/>
        <v>11450.96</v>
      </c>
      <c r="J108" s="64">
        <f>'COMPOSIÇÃO DE CUSTOS'!G88</f>
        <v>33.08</v>
      </c>
      <c r="K108" s="362">
        <v>38.909999999999997</v>
      </c>
      <c r="L108" s="362">
        <f t="shared" si="42"/>
        <v>9030.1238520000006</v>
      </c>
      <c r="M108" s="64"/>
      <c r="N108" s="62" t="e">
        <f>IF(B108&lt;&gt;0,VLOOKUP(B108,#REF!,2,FALSE),"")</f>
        <v>#REF!</v>
      </c>
      <c r="AY108" s="221"/>
      <c r="AZ108" s="481"/>
      <c r="BA108" s="481"/>
      <c r="BB108" s="481"/>
      <c r="BC108" s="481"/>
      <c r="BD108" s="163">
        <f>ROUND(G108*$BH$19,2)</f>
        <v>36.840000000000003</v>
      </c>
      <c r="BE108" s="163">
        <f t="shared" si="59"/>
        <v>46.72</v>
      </c>
      <c r="BF108" s="163">
        <f t="shared" si="50"/>
        <v>12756.06</v>
      </c>
    </row>
    <row r="109" spans="1:59" s="62" customFormat="1" ht="45">
      <c r="A109" s="23" t="s">
        <v>718</v>
      </c>
      <c r="B109" s="25" t="s">
        <v>2040</v>
      </c>
      <c r="C109" s="23" t="s">
        <v>54</v>
      </c>
      <c r="D109" s="25" t="s">
        <v>1915</v>
      </c>
      <c r="E109" s="25" t="s">
        <v>26</v>
      </c>
      <c r="F109" s="26">
        <v>24</v>
      </c>
      <c r="G109" s="26">
        <f t="shared" si="41"/>
        <v>96.789500000000004</v>
      </c>
      <c r="H109" s="26">
        <f t="shared" si="44"/>
        <v>122.74</v>
      </c>
      <c r="I109" s="26">
        <f t="shared" si="45"/>
        <v>2945.76</v>
      </c>
      <c r="J109" s="64">
        <f>'COMPOSIÇÃO DE CUSTOS'!G2188</f>
        <v>96.79</v>
      </c>
      <c r="K109" s="362">
        <v>113.87</v>
      </c>
      <c r="L109" s="362">
        <f t="shared" si="42"/>
        <v>2322.9480000000003</v>
      </c>
      <c r="M109" s="64"/>
      <c r="N109" s="62" t="e">
        <f>IF(B109&lt;&gt;0,VLOOKUP(B109,#REF!,2,FALSE),"")</f>
        <v>#REF!</v>
      </c>
      <c r="AY109" s="221"/>
      <c r="AZ109" s="481"/>
      <c r="BA109" s="481"/>
      <c r="BB109" s="481"/>
      <c r="BC109" s="481"/>
      <c r="BD109" s="163">
        <f>ROUND(G109*$BH$19,2)</f>
        <v>107.82</v>
      </c>
      <c r="BE109" s="163">
        <f t="shared" si="59"/>
        <v>136.72999999999999</v>
      </c>
      <c r="BF109" s="163">
        <f t="shared" si="50"/>
        <v>3281.52</v>
      </c>
    </row>
    <row r="110" spans="1:59" s="62" customFormat="1" ht="75">
      <c r="A110" s="23" t="s">
        <v>719</v>
      </c>
      <c r="B110" s="24">
        <v>72175</v>
      </c>
      <c r="C110" s="23" t="s">
        <v>55</v>
      </c>
      <c r="D110" s="25" t="s">
        <v>1915</v>
      </c>
      <c r="E110" s="25" t="s">
        <v>26</v>
      </c>
      <c r="F110" s="26">
        <v>0.75</v>
      </c>
      <c r="G110" s="26">
        <f t="shared" si="41"/>
        <v>483.27600000000007</v>
      </c>
      <c r="H110" s="26">
        <f t="shared" si="44"/>
        <v>612.84</v>
      </c>
      <c r="I110" s="26">
        <f t="shared" si="45"/>
        <v>459.63</v>
      </c>
      <c r="J110" s="64">
        <f>'COMPOSIÇÃO DE CUSTOS'!G99</f>
        <v>483.28000000000003</v>
      </c>
      <c r="K110" s="362">
        <v>568.56000000000006</v>
      </c>
      <c r="L110" s="362">
        <f t="shared" si="42"/>
        <v>362.45700000000005</v>
      </c>
      <c r="M110" s="64"/>
      <c r="N110" s="62" t="e">
        <f>IF(B110&lt;&gt;0,VLOOKUP(B110,#REF!,2,FALSE),"")</f>
        <v>#REF!</v>
      </c>
      <c r="AY110" s="221"/>
      <c r="AZ110" s="481"/>
      <c r="BA110" s="481"/>
      <c r="BB110" s="481"/>
      <c r="BC110" s="481"/>
      <c r="BD110" s="163">
        <f>ROUND(G110*$BH$19,2)</f>
        <v>538.37</v>
      </c>
      <c r="BE110" s="163">
        <f t="shared" si="59"/>
        <v>682.71</v>
      </c>
      <c r="BF110" s="163">
        <f t="shared" si="50"/>
        <v>512.03</v>
      </c>
    </row>
    <row r="111" spans="1:59" ht="30" customHeight="1">
      <c r="A111" s="23"/>
      <c r="B111" s="24"/>
      <c r="C111" s="23"/>
      <c r="D111" s="25"/>
      <c r="E111" s="25"/>
      <c r="F111" s="26"/>
      <c r="G111" s="26"/>
      <c r="H111" s="26"/>
      <c r="I111" s="26"/>
      <c r="L111" s="362">
        <f t="shared" si="42"/>
        <v>0</v>
      </c>
      <c r="AY111" s="21"/>
      <c r="AZ111" s="481"/>
      <c r="BA111" s="239"/>
      <c r="BB111" s="239"/>
      <c r="BC111" s="481">
        <f>BC112+'PLANILHA ORÇA - EJUD'!AH79</f>
        <v>1189939.3199999998</v>
      </c>
      <c r="BD111" s="481"/>
      <c r="BE111" s="481"/>
      <c r="BF111" s="481"/>
      <c r="BG111" s="21"/>
    </row>
    <row r="112" spans="1:59" ht="15" customHeight="1">
      <c r="A112" s="356" t="s">
        <v>720</v>
      </c>
      <c r="B112" s="356"/>
      <c r="C112" s="356" t="s">
        <v>56</v>
      </c>
      <c r="D112" s="357"/>
      <c r="E112" s="357"/>
      <c r="F112" s="357"/>
      <c r="G112" s="26"/>
      <c r="H112" s="357"/>
      <c r="I112" s="96">
        <f>ROUND(SUM(I115:I169),2)</f>
        <v>1293532.56</v>
      </c>
      <c r="L112" s="362">
        <f t="shared" si="42"/>
        <v>0</v>
      </c>
      <c r="AY112" s="21"/>
      <c r="AZ112" s="481"/>
      <c r="BA112" s="239"/>
      <c r="BB112" s="239"/>
      <c r="BC112" s="834">
        <f>ROUND(SUM(BC115:BC169),2)</f>
        <v>564553.88</v>
      </c>
      <c r="BD112" s="481"/>
      <c r="BE112" s="481"/>
      <c r="BF112" s="834">
        <f>ROUND(SUM(BF115:BF169),2)</f>
        <v>1002019.11</v>
      </c>
      <c r="BG112" s="21"/>
    </row>
    <row r="113" spans="1:59" ht="15" customHeight="1">
      <c r="A113" s="356" t="s">
        <v>721</v>
      </c>
      <c r="B113" s="356"/>
      <c r="C113" s="356" t="s">
        <v>57</v>
      </c>
      <c r="D113" s="357"/>
      <c r="E113" s="357"/>
      <c r="F113" s="357"/>
      <c r="G113" s="26"/>
      <c r="H113" s="357"/>
      <c r="I113" s="96"/>
      <c r="L113" s="362">
        <f t="shared" si="42"/>
        <v>0</v>
      </c>
      <c r="AY113" s="21"/>
      <c r="AZ113" s="481"/>
      <c r="BA113" s="239"/>
      <c r="BB113" s="239"/>
      <c r="BC113" s="481"/>
      <c r="BD113" s="481"/>
      <c r="BE113" s="481"/>
      <c r="BF113" s="481"/>
      <c r="BG113" s="21"/>
    </row>
    <row r="114" spans="1:59">
      <c r="A114" s="356" t="s">
        <v>722</v>
      </c>
      <c r="B114" s="356"/>
      <c r="C114" s="356" t="s">
        <v>58</v>
      </c>
      <c r="D114" s="357"/>
      <c r="E114" s="357"/>
      <c r="F114" s="357"/>
      <c r="G114" s="26"/>
      <c r="H114" s="357"/>
      <c r="I114" s="96"/>
      <c r="L114" s="362">
        <f t="shared" si="42"/>
        <v>0</v>
      </c>
      <c r="AY114" s="21"/>
      <c r="AZ114" s="481"/>
      <c r="BA114" s="239"/>
      <c r="BB114" s="239"/>
      <c r="BC114" s="481"/>
      <c r="BD114" s="481"/>
      <c r="BE114" s="481"/>
      <c r="BF114" s="481"/>
      <c r="BG114" s="21"/>
    </row>
    <row r="115" spans="1:59" s="34" customFormat="1" ht="75">
      <c r="A115" s="803" t="s">
        <v>4098</v>
      </c>
      <c r="B115" s="475">
        <v>92408</v>
      </c>
      <c r="C115" s="471" t="s">
        <v>1551</v>
      </c>
      <c r="D115" s="472" t="s">
        <v>1915</v>
      </c>
      <c r="E115" s="472" t="s">
        <v>26</v>
      </c>
      <c r="F115" s="473">
        <v>97.97</v>
      </c>
      <c r="G115" s="473">
        <f t="shared" si="41"/>
        <v>202.05349999999999</v>
      </c>
      <c r="H115" s="473">
        <f t="shared" ref="H115:H124" si="60">ROUND(G115*(1+$J$14),2)</f>
        <v>256.22000000000003</v>
      </c>
      <c r="I115" s="473">
        <f t="shared" ref="I115:I124" si="61">ROUND(H115*F115,2)</f>
        <v>25101.87</v>
      </c>
      <c r="J115" s="477">
        <f>'COMPOSIÇÃO DE CUSTOS'!G108</f>
        <v>202.05</v>
      </c>
      <c r="K115" s="476">
        <v>237.70999999999998</v>
      </c>
      <c r="L115" s="378">
        <f t="shared" si="42"/>
        <v>19795.181395</v>
      </c>
      <c r="M115" s="477"/>
      <c r="N115" s="34" t="e">
        <f>IF(B115&lt;&gt;0,VLOOKUP(B115,#REF!,2,FALSE),"")</f>
        <v>#REF!</v>
      </c>
      <c r="AY115" s="577"/>
      <c r="AZ115" s="523">
        <f>F115*0.7</f>
        <v>68.578999999999994</v>
      </c>
      <c r="BA115" s="523">
        <f>'COMP MEDIDOS'!G143</f>
        <v>198.69000000000003</v>
      </c>
      <c r="BB115" s="523">
        <f t="shared" ref="BB115" si="62">ROUND(BA115*(1+$J$14),2)</f>
        <v>251.96</v>
      </c>
      <c r="BC115" s="523">
        <f t="shared" ref="BC115" si="63">ROUND(BB115*AZ115,2)</f>
        <v>17279.16</v>
      </c>
      <c r="BD115" s="523">
        <f>BG115</f>
        <v>300.26</v>
      </c>
      <c r="BE115" s="523">
        <f>ROUND(BD115*(1+$J$14),2)</f>
        <v>380.76</v>
      </c>
      <c r="BF115" s="523">
        <f t="shared" ref="BF115:BF124" si="64">ROUND(BE115*(F115-AZ115),2)</f>
        <v>11190.92</v>
      </c>
      <c r="BG115" s="577">
        <f>'COMPOSIÇÃO AB'!G142</f>
        <v>300.26</v>
      </c>
    </row>
    <row r="116" spans="1:59" s="27" customFormat="1" ht="60">
      <c r="A116" s="23" t="s">
        <v>724</v>
      </c>
      <c r="B116" s="24">
        <v>92759</v>
      </c>
      <c r="C116" s="23" t="s">
        <v>1536</v>
      </c>
      <c r="D116" s="25" t="s">
        <v>12</v>
      </c>
      <c r="E116" s="25" t="s">
        <v>45</v>
      </c>
      <c r="F116" s="26">
        <v>140</v>
      </c>
      <c r="G116" s="26">
        <f t="shared" si="41"/>
        <v>13.5915</v>
      </c>
      <c r="H116" s="26">
        <f t="shared" si="60"/>
        <v>17.239999999999998</v>
      </c>
      <c r="I116" s="26">
        <f t="shared" si="61"/>
        <v>2413.6</v>
      </c>
      <c r="J116" s="27" t="e">
        <f>IF(B116&lt;&gt;0,VLOOKUP(B116,#REF!,4,FALSE),"")</f>
        <v>#REF!</v>
      </c>
      <c r="K116" s="376" t="s">
        <v>1854</v>
      </c>
      <c r="L116" s="365">
        <f t="shared" si="42"/>
        <v>1902.81</v>
      </c>
      <c r="N116" s="27" t="e">
        <f>IF(B116&lt;&gt;0,VLOOKUP(B116,#REF!,2,FALSE),"")</f>
        <v>#REF!</v>
      </c>
      <c r="AY116" s="552"/>
      <c r="AZ116" s="163">
        <f t="shared" ref="AZ116:AZ124" si="65">F116*0.8</f>
        <v>112</v>
      </c>
      <c r="BA116" s="163">
        <f>G116</f>
        <v>13.5915</v>
      </c>
      <c r="BB116" s="163">
        <f t="shared" ref="BB116" si="66">ROUND(BA116*(1+$J$14),2)</f>
        <v>17.239999999999998</v>
      </c>
      <c r="BC116" s="163">
        <f t="shared" ref="BC116" si="67">ROUND(BB116*AZ116,2)</f>
        <v>1930.88</v>
      </c>
      <c r="BD116" s="163">
        <f t="shared" ref="BD116" si="68">ROUND(G116*$BH$19,2)</f>
        <v>15.14</v>
      </c>
      <c r="BE116" s="163">
        <f t="shared" ref="BE116" si="69">ROUND(BD116*(1+$J$14),2)</f>
        <v>19.2</v>
      </c>
      <c r="BF116" s="163">
        <f t="shared" si="64"/>
        <v>537.6</v>
      </c>
      <c r="BG116" s="552"/>
    </row>
    <row r="117" spans="1:59" s="34" customFormat="1" ht="60">
      <c r="A117" s="471" t="s">
        <v>725</v>
      </c>
      <c r="B117" s="475">
        <v>92760</v>
      </c>
      <c r="C117" s="471" t="s">
        <v>1537</v>
      </c>
      <c r="D117" s="472" t="s">
        <v>12</v>
      </c>
      <c r="E117" s="472" t="s">
        <v>45</v>
      </c>
      <c r="F117" s="473">
        <v>868</v>
      </c>
      <c r="G117" s="473">
        <f t="shared" si="41"/>
        <v>13.5915</v>
      </c>
      <c r="H117" s="473">
        <f t="shared" si="60"/>
        <v>17.239999999999998</v>
      </c>
      <c r="I117" s="473">
        <f t="shared" si="61"/>
        <v>14964.32</v>
      </c>
      <c r="J117" s="34" t="e">
        <f>IF(B117&lt;&gt;0,VLOOKUP(B117,#REF!,4,FALSE),"")</f>
        <v>#REF!</v>
      </c>
      <c r="K117" s="476" t="s">
        <v>1854</v>
      </c>
      <c r="L117" s="378">
        <f t="shared" si="42"/>
        <v>11797.422</v>
      </c>
      <c r="N117" s="34" t="e">
        <f>IF(B117&lt;&gt;0,VLOOKUP(B117,#REF!,2,FALSE),"")</f>
        <v>#REF!</v>
      </c>
      <c r="AY117" s="577"/>
      <c r="AZ117" s="523">
        <f t="shared" si="65"/>
        <v>694.40000000000009</v>
      </c>
      <c r="BA117" s="523">
        <f>'COMP MEDIDOS'!G81</f>
        <v>14.78</v>
      </c>
      <c r="BB117" s="523">
        <f t="shared" ref="BB117:BB118" si="70">ROUND(BA117*(1+$J$14),2)</f>
        <v>18.739999999999998</v>
      </c>
      <c r="BC117" s="523">
        <f t="shared" ref="BC117:BC118" si="71">ROUND(BB117*AZ117,2)</f>
        <v>13013.06</v>
      </c>
      <c r="BD117" s="523">
        <f>BG117</f>
        <v>13.069999999999999</v>
      </c>
      <c r="BE117" s="523">
        <f>ROUND(BD117*(1+$J$14),2)</f>
        <v>16.57</v>
      </c>
      <c r="BF117" s="523">
        <f t="shared" si="64"/>
        <v>2876.55</v>
      </c>
      <c r="BG117" s="577">
        <f>'COMPOSIÇÃO AB'!G80</f>
        <v>13.069999999999999</v>
      </c>
    </row>
    <row r="118" spans="1:59" s="27" customFormat="1" ht="60">
      <c r="A118" s="23" t="s">
        <v>726</v>
      </c>
      <c r="B118" s="24">
        <v>92761</v>
      </c>
      <c r="C118" s="23" t="s">
        <v>1538</v>
      </c>
      <c r="D118" s="25" t="s">
        <v>12</v>
      </c>
      <c r="E118" s="25" t="s">
        <v>45</v>
      </c>
      <c r="F118" s="26">
        <v>37</v>
      </c>
      <c r="G118" s="26">
        <f t="shared" si="41"/>
        <v>13.276999999999999</v>
      </c>
      <c r="H118" s="26">
        <f t="shared" si="60"/>
        <v>16.84</v>
      </c>
      <c r="I118" s="26">
        <f t="shared" si="61"/>
        <v>623.08000000000004</v>
      </c>
      <c r="J118" s="27" t="e">
        <f>IF(B118&lt;&gt;0,VLOOKUP(B118,#REF!,4,FALSE),"")</f>
        <v>#REF!</v>
      </c>
      <c r="K118" s="376" t="s">
        <v>3217</v>
      </c>
      <c r="L118" s="365">
        <f t="shared" si="42"/>
        <v>491.24899999999997</v>
      </c>
      <c r="N118" s="27" t="e">
        <f>IF(B118&lt;&gt;0,VLOOKUP(B118,#REF!,2,FALSE),"")</f>
        <v>#REF!</v>
      </c>
      <c r="AY118" s="552"/>
      <c r="AZ118" s="163">
        <f t="shared" si="65"/>
        <v>29.6</v>
      </c>
      <c r="BA118" s="163">
        <f>G118</f>
        <v>13.276999999999999</v>
      </c>
      <c r="BB118" s="163">
        <f t="shared" si="70"/>
        <v>16.84</v>
      </c>
      <c r="BC118" s="163">
        <f t="shared" si="71"/>
        <v>498.46</v>
      </c>
      <c r="BD118" s="163">
        <f t="shared" ref="BD118" si="72">ROUND(G118*$BH$19,2)</f>
        <v>14.79</v>
      </c>
      <c r="BE118" s="163">
        <f t="shared" ref="BE118" si="73">ROUND(BD118*(1+$J$14),2)</f>
        <v>18.760000000000002</v>
      </c>
      <c r="BF118" s="163">
        <f t="shared" si="64"/>
        <v>138.82</v>
      </c>
      <c r="BG118" s="552"/>
    </row>
    <row r="119" spans="1:59" s="34" customFormat="1" ht="60">
      <c r="A119" s="471" t="s">
        <v>727</v>
      </c>
      <c r="B119" s="475">
        <v>92762</v>
      </c>
      <c r="C119" s="471" t="s">
        <v>1539</v>
      </c>
      <c r="D119" s="472" t="s">
        <v>12</v>
      </c>
      <c r="E119" s="472" t="s">
        <v>45</v>
      </c>
      <c r="F119" s="473">
        <v>301</v>
      </c>
      <c r="G119" s="473">
        <f t="shared" si="41"/>
        <v>12.1295</v>
      </c>
      <c r="H119" s="473">
        <f t="shared" si="60"/>
        <v>15.38</v>
      </c>
      <c r="I119" s="473">
        <f t="shared" si="61"/>
        <v>4629.38</v>
      </c>
      <c r="J119" s="34" t="e">
        <f>IF(B119&lt;&gt;0,VLOOKUP(B119,#REF!,4,FALSE),"")</f>
        <v>#REF!</v>
      </c>
      <c r="K119" s="476" t="s">
        <v>3154</v>
      </c>
      <c r="L119" s="378">
        <f t="shared" si="42"/>
        <v>3650.9794999999999</v>
      </c>
      <c r="N119" s="34" t="e">
        <f>IF(B119&lt;&gt;0,VLOOKUP(B119,#REF!,2,FALSE),"")</f>
        <v>#REF!</v>
      </c>
      <c r="AY119" s="577"/>
      <c r="AZ119" s="523">
        <f t="shared" si="65"/>
        <v>240.8</v>
      </c>
      <c r="BA119" s="523">
        <f>'COMP MEDIDOS'!G93</f>
        <v>14.259999999999998</v>
      </c>
      <c r="BB119" s="523">
        <f t="shared" ref="BB119:BB124" si="74">ROUND(BA119*(1+$J$14),2)</f>
        <v>18.079999999999998</v>
      </c>
      <c r="BC119" s="523">
        <f t="shared" ref="BC119:BC124" si="75">ROUND(BB119*AZ119,2)</f>
        <v>4353.66</v>
      </c>
      <c r="BD119" s="523">
        <f>BG119</f>
        <v>11.49</v>
      </c>
      <c r="BE119" s="523">
        <f>ROUND(BD119*(1+$J$14),2)</f>
        <v>14.57</v>
      </c>
      <c r="BF119" s="523">
        <f t="shared" si="64"/>
        <v>877.11</v>
      </c>
      <c r="BG119" s="577">
        <f>'COMPOSIÇÃO AB'!G92</f>
        <v>11.49</v>
      </c>
    </row>
    <row r="120" spans="1:59" s="34" customFormat="1" ht="60">
      <c r="A120" s="471" t="s">
        <v>728</v>
      </c>
      <c r="B120" s="475">
        <v>92763</v>
      </c>
      <c r="C120" s="471" t="s">
        <v>1540</v>
      </c>
      <c r="D120" s="472" t="s">
        <v>12</v>
      </c>
      <c r="E120" s="472" t="s">
        <v>45</v>
      </c>
      <c r="F120" s="473">
        <v>1581</v>
      </c>
      <c r="G120" s="473">
        <f t="shared" si="41"/>
        <v>10.361499999999999</v>
      </c>
      <c r="H120" s="473">
        <f t="shared" si="60"/>
        <v>13.14</v>
      </c>
      <c r="I120" s="473">
        <f t="shared" si="61"/>
        <v>20774.34</v>
      </c>
      <c r="J120" s="34" t="e">
        <f>IF(B120&lt;&gt;0,VLOOKUP(B120,#REF!,4,FALSE),"")</f>
        <v>#REF!</v>
      </c>
      <c r="K120" s="476" t="s">
        <v>3134</v>
      </c>
      <c r="L120" s="378">
        <f t="shared" si="42"/>
        <v>16381.531499999999</v>
      </c>
      <c r="N120" s="34" t="e">
        <f>IF(B120&lt;&gt;0,VLOOKUP(B120,#REF!,2,FALSE),"")</f>
        <v>#REF!</v>
      </c>
      <c r="AY120" s="577"/>
      <c r="AZ120" s="523">
        <f t="shared" si="65"/>
        <v>1264.8000000000002</v>
      </c>
      <c r="BA120" s="523">
        <f>'COMP MEDIDOS'!G105</f>
        <v>13.25121</v>
      </c>
      <c r="BB120" s="523">
        <f t="shared" si="74"/>
        <v>16.8</v>
      </c>
      <c r="BC120" s="523">
        <f t="shared" si="75"/>
        <v>21248.639999999999</v>
      </c>
      <c r="BD120" s="523">
        <f>BG120</f>
        <v>10.50122</v>
      </c>
      <c r="BE120" s="523">
        <f>ROUND(BD120*(1+$J$14),2)</f>
        <v>13.32</v>
      </c>
      <c r="BF120" s="523">
        <f t="shared" si="64"/>
        <v>4211.78</v>
      </c>
      <c r="BG120" s="577">
        <f>'COMPOSIÇÃO AB'!G104</f>
        <v>10.50122</v>
      </c>
    </row>
    <row r="121" spans="1:59" s="34" customFormat="1" ht="60">
      <c r="A121" s="471" t="s">
        <v>729</v>
      </c>
      <c r="B121" s="475">
        <v>92764</v>
      </c>
      <c r="C121" s="471" t="s">
        <v>1541</v>
      </c>
      <c r="D121" s="472" t="s">
        <v>12</v>
      </c>
      <c r="E121" s="472" t="s">
        <v>45</v>
      </c>
      <c r="F121" s="473">
        <v>323</v>
      </c>
      <c r="G121" s="473">
        <f t="shared" si="41"/>
        <v>10.064</v>
      </c>
      <c r="H121" s="473">
        <f t="shared" si="60"/>
        <v>12.76</v>
      </c>
      <c r="I121" s="473">
        <f t="shared" si="61"/>
        <v>4121.4799999999996</v>
      </c>
      <c r="J121" s="34" t="e">
        <f>IF(B121&lt;&gt;0,VLOOKUP(B121,#REF!,4,FALSE),"")</f>
        <v>#REF!</v>
      </c>
      <c r="K121" s="476" t="s">
        <v>3044</v>
      </c>
      <c r="L121" s="378">
        <f t="shared" si="42"/>
        <v>3250.672</v>
      </c>
      <c r="N121" s="34" t="e">
        <f>IF(B121&lt;&gt;0,VLOOKUP(B121,#REF!,2,FALSE),"")</f>
        <v>#REF!</v>
      </c>
      <c r="AY121" s="577"/>
      <c r="AZ121" s="523">
        <f t="shared" si="65"/>
        <v>258.40000000000003</v>
      </c>
      <c r="BA121" s="523">
        <f>'COMP MEDIDOS'!G116</f>
        <v>13.06</v>
      </c>
      <c r="BB121" s="523">
        <f t="shared" si="74"/>
        <v>16.559999999999999</v>
      </c>
      <c r="BC121" s="523">
        <f t="shared" si="75"/>
        <v>4279.1000000000004</v>
      </c>
      <c r="BD121" s="523">
        <f>BG121</f>
        <v>10.28</v>
      </c>
      <c r="BE121" s="523">
        <f>ROUND(BD121*(1+$J$14),2)</f>
        <v>13.04</v>
      </c>
      <c r="BF121" s="523">
        <f t="shared" si="64"/>
        <v>842.38</v>
      </c>
      <c r="BG121" s="577">
        <f>'COMPOSIÇÃO AB'!G115</f>
        <v>10.28</v>
      </c>
    </row>
    <row r="122" spans="1:59" s="577" customFormat="1" ht="60">
      <c r="A122" s="846" t="s">
        <v>730</v>
      </c>
      <c r="B122" s="847">
        <v>92765</v>
      </c>
      <c r="C122" s="846" t="s">
        <v>1552</v>
      </c>
      <c r="D122" s="842" t="s">
        <v>12</v>
      </c>
      <c r="E122" s="842" t="s">
        <v>45</v>
      </c>
      <c r="F122" s="848">
        <v>743</v>
      </c>
      <c r="G122" s="848">
        <f t="shared" si="41"/>
        <v>11.542999999999999</v>
      </c>
      <c r="H122" s="848">
        <f t="shared" si="60"/>
        <v>14.64</v>
      </c>
      <c r="I122" s="848">
        <f t="shared" si="61"/>
        <v>10877.52</v>
      </c>
      <c r="J122" s="577" t="e">
        <f>IF(B122&lt;&gt;0,VLOOKUP(B122,#REF!,4,FALSE),"")</f>
        <v>#REF!</v>
      </c>
      <c r="K122" s="849" t="s">
        <v>1872</v>
      </c>
      <c r="L122" s="575">
        <f t="shared" si="42"/>
        <v>8576.4489999999987</v>
      </c>
      <c r="N122" s="577" t="e">
        <f>IF(B122&lt;&gt;0,VLOOKUP(B122,#REF!,2,FALSE),"")</f>
        <v>#REF!</v>
      </c>
      <c r="AZ122" s="523">
        <f t="shared" si="65"/>
        <v>594.4</v>
      </c>
      <c r="BA122" s="523">
        <f>'COMP MEDIDOS'!G127</f>
        <v>13.18</v>
      </c>
      <c r="BB122" s="523">
        <f t="shared" si="74"/>
        <v>16.71</v>
      </c>
      <c r="BC122" s="523">
        <f t="shared" si="75"/>
        <v>9932.42</v>
      </c>
      <c r="BD122" s="523">
        <f>BG122</f>
        <v>10.6</v>
      </c>
      <c r="BE122" s="523">
        <f>ROUND(BD122*(1+$J$14),2)</f>
        <v>13.44</v>
      </c>
      <c r="BF122" s="523">
        <f t="shared" si="64"/>
        <v>1997.18</v>
      </c>
      <c r="BG122" s="577">
        <f>'COMPOSIÇÃO AB'!G126</f>
        <v>10.6</v>
      </c>
    </row>
    <row r="123" spans="1:59" s="481" customFormat="1" ht="60">
      <c r="A123" s="149" t="s">
        <v>731</v>
      </c>
      <c r="B123" s="148">
        <v>92766</v>
      </c>
      <c r="C123" s="149" t="s">
        <v>1553</v>
      </c>
      <c r="D123" s="141" t="s">
        <v>12</v>
      </c>
      <c r="E123" s="141" t="s">
        <v>45</v>
      </c>
      <c r="F123" s="158">
        <v>468</v>
      </c>
      <c r="G123" s="158">
        <f t="shared" si="41"/>
        <v>11.39</v>
      </c>
      <c r="H123" s="158">
        <f t="shared" si="60"/>
        <v>14.44</v>
      </c>
      <c r="I123" s="158">
        <f t="shared" si="61"/>
        <v>6757.92</v>
      </c>
      <c r="J123" s="481" t="e">
        <f>IF(B123&lt;&gt;0,VLOOKUP(B123,#REF!,4,FALSE),"")</f>
        <v>#REF!</v>
      </c>
      <c r="K123" s="822" t="s">
        <v>3192</v>
      </c>
      <c r="L123" s="850">
        <f t="shared" si="42"/>
        <v>5330.52</v>
      </c>
      <c r="N123" s="481" t="e">
        <f>IF(B123&lt;&gt;0,VLOOKUP(B123,#REF!,2,FALSE),"")</f>
        <v>#REF!</v>
      </c>
      <c r="AY123" s="792"/>
      <c r="AZ123" s="163">
        <f t="shared" si="65"/>
        <v>374.40000000000003</v>
      </c>
      <c r="BA123" s="163">
        <f>G123</f>
        <v>11.39</v>
      </c>
      <c r="BB123" s="163">
        <f t="shared" si="74"/>
        <v>14.44</v>
      </c>
      <c r="BC123" s="163">
        <f t="shared" si="75"/>
        <v>5406.34</v>
      </c>
      <c r="BD123" s="163">
        <f t="shared" ref="BD123:BD124" si="76">ROUND(G123*$BH$19,2)</f>
        <v>12.69</v>
      </c>
      <c r="BE123" s="163">
        <f t="shared" ref="BE123:BE124" si="77">ROUND(BD123*(1+$J$14),2)</f>
        <v>16.09</v>
      </c>
      <c r="BF123" s="163">
        <f t="shared" si="64"/>
        <v>1506.02</v>
      </c>
      <c r="BG123" s="855"/>
    </row>
    <row r="124" spans="1:59" s="481" customFormat="1" ht="60">
      <c r="A124" s="149" t="s">
        <v>732</v>
      </c>
      <c r="B124" s="148">
        <v>92720</v>
      </c>
      <c r="C124" s="149" t="s">
        <v>1554</v>
      </c>
      <c r="D124" s="141" t="s">
        <v>1915</v>
      </c>
      <c r="E124" s="141" t="s">
        <v>35</v>
      </c>
      <c r="F124" s="158">
        <v>45.89</v>
      </c>
      <c r="G124" s="158">
        <f t="shared" si="41"/>
        <v>396.94150000000002</v>
      </c>
      <c r="H124" s="158">
        <f t="shared" si="60"/>
        <v>503.36</v>
      </c>
      <c r="I124" s="158">
        <f t="shared" si="61"/>
        <v>23099.19</v>
      </c>
      <c r="J124" s="851">
        <f>'COMPOSIÇÃO DE CUSTOS'!G119</f>
        <v>396.95</v>
      </c>
      <c r="K124" s="850">
        <v>466.99</v>
      </c>
      <c r="L124" s="850">
        <f t="shared" si="42"/>
        <v>18215.645435000002</v>
      </c>
      <c r="M124" s="851"/>
      <c r="AY124" s="792"/>
      <c r="AZ124" s="163">
        <f t="shared" si="65"/>
        <v>36.712000000000003</v>
      </c>
      <c r="BA124" s="163">
        <f>G124</f>
        <v>396.94150000000002</v>
      </c>
      <c r="BB124" s="163">
        <f t="shared" si="74"/>
        <v>503.36</v>
      </c>
      <c r="BC124" s="163">
        <f t="shared" si="75"/>
        <v>18479.349999999999</v>
      </c>
      <c r="BD124" s="163">
        <f t="shared" si="76"/>
        <v>442.2</v>
      </c>
      <c r="BE124" s="163">
        <f t="shared" si="77"/>
        <v>560.75</v>
      </c>
      <c r="BF124" s="163">
        <f t="shared" si="64"/>
        <v>5146.5600000000004</v>
      </c>
      <c r="BG124" s="855"/>
    </row>
    <row r="125" spans="1:59" s="552" customFormat="1" ht="27.75" customHeight="1">
      <c r="A125" s="843" t="s">
        <v>733</v>
      </c>
      <c r="B125" s="843"/>
      <c r="C125" s="843" t="s">
        <v>59</v>
      </c>
      <c r="D125" s="844"/>
      <c r="E125" s="844"/>
      <c r="F125" s="844"/>
      <c r="G125" s="159"/>
      <c r="H125" s="844"/>
      <c r="I125" s="551"/>
      <c r="J125" s="552" t="str">
        <f>IF(B125&lt;&gt;0,VLOOKUP(B125,#REF!,4,FALSE),"")</f>
        <v/>
      </c>
      <c r="K125" s="852"/>
      <c r="L125" s="830">
        <f t="shared" si="42"/>
        <v>0</v>
      </c>
      <c r="N125" s="552" t="str">
        <f>IF(B125&lt;&gt;0,VLOOKUP(B125,#REF!,2,FALSE),"")</f>
        <v/>
      </c>
      <c r="AZ125" s="481"/>
      <c r="BA125" s="481"/>
      <c r="BB125" s="481"/>
      <c r="BC125" s="481"/>
      <c r="BD125" s="481"/>
      <c r="BE125" s="481"/>
      <c r="BF125" s="481"/>
    </row>
    <row r="126" spans="1:59" s="34" customFormat="1" ht="60">
      <c r="A126" s="803" t="s">
        <v>4099</v>
      </c>
      <c r="B126" s="478">
        <v>92452</v>
      </c>
      <c r="C126" s="471" t="s">
        <v>1833</v>
      </c>
      <c r="D126" s="472" t="s">
        <v>12</v>
      </c>
      <c r="E126" s="472" t="s">
        <v>26</v>
      </c>
      <c r="F126" s="473">
        <v>780.42</v>
      </c>
      <c r="G126" s="473">
        <f t="shared" si="41"/>
        <v>86.716999999999999</v>
      </c>
      <c r="H126" s="473">
        <f t="shared" ref="H126:H135" si="78">ROUND(G126*(1+$J$14),2)</f>
        <v>109.97</v>
      </c>
      <c r="I126" s="473">
        <f t="shared" ref="I126:I135" si="79">ROUND(H126*F126,2)</f>
        <v>85822.79</v>
      </c>
      <c r="J126" s="34" t="e">
        <f>IF(B126&lt;&gt;0,VLOOKUP(B126,#REF!,4,FALSE),"")</f>
        <v>#REF!</v>
      </c>
      <c r="K126" s="476" t="s">
        <v>3216</v>
      </c>
      <c r="L126" s="378">
        <f t="shared" si="42"/>
        <v>67675.681140000001</v>
      </c>
      <c r="N126" s="34" t="e">
        <f>IF(B126&lt;&gt;0,VLOOKUP(B126,#REF!,2,FALSE),"")</f>
        <v>#REF!</v>
      </c>
      <c r="AY126" s="577"/>
      <c r="AZ126" s="523">
        <f>F126*0.7</f>
        <v>546.29399999999998</v>
      </c>
      <c r="BA126" s="523">
        <f>'COMP MEDIDOS'!G165</f>
        <v>145.35000000000002</v>
      </c>
      <c r="BB126" s="523">
        <f t="shared" ref="BB126" si="80">ROUND(BA126*(1+$J$14),2)</f>
        <v>184.32</v>
      </c>
      <c r="BC126" s="523">
        <f t="shared" ref="BC126" si="81">ROUND(BB126*AZ126,2)</f>
        <v>100692.91</v>
      </c>
      <c r="BD126" s="523">
        <f>BG126</f>
        <v>124.60000000000001</v>
      </c>
      <c r="BE126" s="523">
        <f>ROUND(BD126*(1+$J$14),2)</f>
        <v>158.01</v>
      </c>
      <c r="BF126" s="523">
        <f t="shared" ref="BF126:BF135" si="82">ROUND(BE126*(F126-AZ126),2)</f>
        <v>36994.25</v>
      </c>
      <c r="BG126" s="577">
        <f>'COMPOSIÇÃO AB'!G164</f>
        <v>124.60000000000001</v>
      </c>
    </row>
    <row r="127" spans="1:59" s="27" customFormat="1" ht="60">
      <c r="A127" s="23" t="s">
        <v>735</v>
      </c>
      <c r="B127" s="24">
        <v>92759</v>
      </c>
      <c r="C127" s="23" t="s">
        <v>1536</v>
      </c>
      <c r="D127" s="25" t="s">
        <v>12</v>
      </c>
      <c r="E127" s="25" t="s">
        <v>45</v>
      </c>
      <c r="F127" s="26">
        <v>121</v>
      </c>
      <c r="G127" s="26">
        <f t="shared" si="41"/>
        <v>13.5915</v>
      </c>
      <c r="H127" s="26">
        <f t="shared" si="78"/>
        <v>17.239999999999998</v>
      </c>
      <c r="I127" s="26">
        <f t="shared" si="79"/>
        <v>2086.04</v>
      </c>
      <c r="J127" s="27" t="e">
        <f>IF(B127&lt;&gt;0,VLOOKUP(B127,#REF!,4,FALSE),"")</f>
        <v>#REF!</v>
      </c>
      <c r="K127" s="376" t="s">
        <v>1854</v>
      </c>
      <c r="L127" s="365">
        <f t="shared" si="42"/>
        <v>1644.5715</v>
      </c>
      <c r="N127" s="27" t="e">
        <f>IF(B127&lt;&gt;0,VLOOKUP(B127,#REF!,2,FALSE),"")</f>
        <v>#REF!</v>
      </c>
      <c r="AY127" s="552"/>
      <c r="AZ127" s="163">
        <f t="shared" ref="AZ127:AZ135" si="83">F127*0.7</f>
        <v>84.699999999999989</v>
      </c>
      <c r="BA127" s="163">
        <f>G127</f>
        <v>13.5915</v>
      </c>
      <c r="BB127" s="163">
        <f t="shared" ref="BB127" si="84">ROUND(BA127*(1+$J$14),2)</f>
        <v>17.239999999999998</v>
      </c>
      <c r="BC127" s="163">
        <f t="shared" ref="BC127" si="85">ROUND(BB127*AZ127,2)</f>
        <v>1460.23</v>
      </c>
      <c r="BD127" s="163">
        <f t="shared" ref="BD127" si="86">ROUND(G127*$BH$19,2)</f>
        <v>15.14</v>
      </c>
      <c r="BE127" s="163">
        <f t="shared" ref="BE127" si="87">ROUND(BD127*(1+$J$14),2)</f>
        <v>19.2</v>
      </c>
      <c r="BF127" s="163">
        <f t="shared" si="82"/>
        <v>696.96</v>
      </c>
      <c r="BG127" s="552"/>
    </row>
    <row r="128" spans="1:59" s="34" customFormat="1" ht="60">
      <c r="A128" s="471" t="s">
        <v>736</v>
      </c>
      <c r="B128" s="475">
        <v>92760</v>
      </c>
      <c r="C128" s="471" t="s">
        <v>1537</v>
      </c>
      <c r="D128" s="472" t="s">
        <v>12</v>
      </c>
      <c r="E128" s="472" t="s">
        <v>45</v>
      </c>
      <c r="F128" s="473">
        <v>1929</v>
      </c>
      <c r="G128" s="473">
        <f t="shared" si="41"/>
        <v>13.5915</v>
      </c>
      <c r="H128" s="473">
        <f t="shared" si="78"/>
        <v>17.239999999999998</v>
      </c>
      <c r="I128" s="473">
        <f t="shared" si="79"/>
        <v>33255.96</v>
      </c>
      <c r="J128" s="34" t="e">
        <f>IF(B128&lt;&gt;0,VLOOKUP(B128,#REF!,4,FALSE),"")</f>
        <v>#REF!</v>
      </c>
      <c r="K128" s="476" t="s">
        <v>1854</v>
      </c>
      <c r="L128" s="378">
        <f t="shared" si="42"/>
        <v>26218.003499999999</v>
      </c>
      <c r="N128" s="34" t="e">
        <f>IF(B128&lt;&gt;0,VLOOKUP(B128,#REF!,2,FALSE),"")</f>
        <v>#REF!</v>
      </c>
      <c r="AY128" s="577"/>
      <c r="AZ128" s="523">
        <f t="shared" si="83"/>
        <v>1350.3</v>
      </c>
      <c r="BA128" s="523">
        <f>BA117</f>
        <v>14.78</v>
      </c>
      <c r="BB128" s="523">
        <f t="shared" ref="BB128:BB129" si="88">ROUND(BA128*(1+$J$14),2)</f>
        <v>18.739999999999998</v>
      </c>
      <c r="BC128" s="523">
        <f t="shared" ref="BC128:BC129" si="89">ROUND(BB128*AZ128,2)</f>
        <v>25304.62</v>
      </c>
      <c r="BD128" s="523">
        <f>BG128</f>
        <v>13.069999999999999</v>
      </c>
      <c r="BE128" s="523">
        <f>ROUND(BD128*(1+$J$14),2)</f>
        <v>16.57</v>
      </c>
      <c r="BF128" s="523">
        <f t="shared" si="82"/>
        <v>9589.06</v>
      </c>
      <c r="BG128" s="577">
        <f>'COMPOSIÇÃO AB'!G80</f>
        <v>13.069999999999999</v>
      </c>
    </row>
    <row r="129" spans="1:59" s="27" customFormat="1" ht="60">
      <c r="A129" s="23" t="s">
        <v>737</v>
      </c>
      <c r="B129" s="24">
        <v>92761</v>
      </c>
      <c r="C129" s="23" t="s">
        <v>1538</v>
      </c>
      <c r="D129" s="25" t="s">
        <v>12</v>
      </c>
      <c r="E129" s="25" t="s">
        <v>45</v>
      </c>
      <c r="F129" s="26">
        <v>391</v>
      </c>
      <c r="G129" s="26">
        <f t="shared" si="41"/>
        <v>13.276999999999999</v>
      </c>
      <c r="H129" s="26">
        <f t="shared" si="78"/>
        <v>16.84</v>
      </c>
      <c r="I129" s="26">
        <f t="shared" si="79"/>
        <v>6584.44</v>
      </c>
      <c r="J129" s="27" t="e">
        <f>IF(B129&lt;&gt;0,VLOOKUP(B129,#REF!,4,FALSE),"")</f>
        <v>#REF!</v>
      </c>
      <c r="K129" s="376" t="s">
        <v>3217</v>
      </c>
      <c r="L129" s="365">
        <f t="shared" si="42"/>
        <v>5191.3069999999998</v>
      </c>
      <c r="N129" s="27" t="e">
        <f>IF(B129&lt;&gt;0,VLOOKUP(B129,#REF!,2,FALSE),"")</f>
        <v>#REF!</v>
      </c>
      <c r="AY129" s="552"/>
      <c r="AZ129" s="163">
        <f t="shared" si="83"/>
        <v>273.7</v>
      </c>
      <c r="BA129" s="163">
        <f>G129</f>
        <v>13.276999999999999</v>
      </c>
      <c r="BB129" s="163">
        <f t="shared" si="88"/>
        <v>16.84</v>
      </c>
      <c r="BC129" s="163">
        <f t="shared" si="89"/>
        <v>4609.1099999999997</v>
      </c>
      <c r="BD129" s="163">
        <f t="shared" ref="BD129" si="90">ROUND(G129*$BH$19,2)</f>
        <v>14.79</v>
      </c>
      <c r="BE129" s="163">
        <f t="shared" ref="BE129" si="91">ROUND(BD129*(1+$J$14),2)</f>
        <v>18.760000000000002</v>
      </c>
      <c r="BF129" s="163">
        <f t="shared" si="82"/>
        <v>2200.5500000000002</v>
      </c>
      <c r="BG129" s="552"/>
    </row>
    <row r="130" spans="1:59" s="34" customFormat="1" ht="60">
      <c r="A130" s="803" t="s">
        <v>4100</v>
      </c>
      <c r="B130" s="475">
        <v>92762</v>
      </c>
      <c r="C130" s="471" t="s">
        <v>1539</v>
      </c>
      <c r="D130" s="472" t="s">
        <v>12</v>
      </c>
      <c r="E130" s="472" t="s">
        <v>45</v>
      </c>
      <c r="F130" s="473">
        <v>1383</v>
      </c>
      <c r="G130" s="473">
        <f t="shared" si="41"/>
        <v>12.1295</v>
      </c>
      <c r="H130" s="473">
        <f t="shared" si="78"/>
        <v>15.38</v>
      </c>
      <c r="I130" s="473">
        <f t="shared" si="79"/>
        <v>21270.54</v>
      </c>
      <c r="J130" s="34" t="e">
        <f>IF(B130&lt;&gt;0,VLOOKUP(B130,#REF!,4,FALSE),"")</f>
        <v>#REF!</v>
      </c>
      <c r="K130" s="476" t="s">
        <v>3154</v>
      </c>
      <c r="L130" s="378">
        <f t="shared" si="42"/>
        <v>16775.0985</v>
      </c>
      <c r="N130" s="34" t="e">
        <f>IF(B130&lt;&gt;0,VLOOKUP(B130,#REF!,2,FALSE),"")</f>
        <v>#REF!</v>
      </c>
      <c r="AY130" s="577"/>
      <c r="AZ130" s="523">
        <f t="shared" si="83"/>
        <v>968.09999999999991</v>
      </c>
      <c r="BA130" s="523">
        <f>BA119</f>
        <v>14.259999999999998</v>
      </c>
      <c r="BB130" s="523">
        <f t="shared" ref="BB130:BB134" si="92">ROUND(BA130*(1+$J$14),2)</f>
        <v>18.079999999999998</v>
      </c>
      <c r="BC130" s="523">
        <f t="shared" ref="BC130:BC134" si="93">ROUND(BB130*AZ130,2)</f>
        <v>17503.25</v>
      </c>
      <c r="BD130" s="523">
        <f>BG130</f>
        <v>11.49</v>
      </c>
      <c r="BE130" s="523">
        <f>ROUND(BD130*(1+$J$14),2)</f>
        <v>14.57</v>
      </c>
      <c r="BF130" s="523">
        <f t="shared" si="82"/>
        <v>6045.09</v>
      </c>
      <c r="BG130" s="577">
        <f>'COMPOSIÇÃO AB'!G92</f>
        <v>11.49</v>
      </c>
    </row>
    <row r="131" spans="1:59" s="34" customFormat="1" ht="60">
      <c r="A131" s="471" t="s">
        <v>739</v>
      </c>
      <c r="B131" s="475">
        <v>92763</v>
      </c>
      <c r="C131" s="471" t="s">
        <v>1540</v>
      </c>
      <c r="D131" s="472" t="s">
        <v>12</v>
      </c>
      <c r="E131" s="472" t="s">
        <v>45</v>
      </c>
      <c r="F131" s="473">
        <v>3091</v>
      </c>
      <c r="G131" s="473">
        <f t="shared" si="41"/>
        <v>10.361499999999999</v>
      </c>
      <c r="H131" s="473">
        <f t="shared" si="78"/>
        <v>13.14</v>
      </c>
      <c r="I131" s="473">
        <f t="shared" si="79"/>
        <v>40615.74</v>
      </c>
      <c r="J131" s="34" t="e">
        <f>IF(B131&lt;&gt;0,VLOOKUP(B131,#REF!,4,FALSE),"")</f>
        <v>#REF!</v>
      </c>
      <c r="K131" s="476" t="s">
        <v>3134</v>
      </c>
      <c r="L131" s="378">
        <f t="shared" si="42"/>
        <v>32027.396499999999</v>
      </c>
      <c r="N131" s="34" t="e">
        <f>IF(B131&lt;&gt;0,VLOOKUP(B131,#REF!,2,FALSE),"")</f>
        <v>#REF!</v>
      </c>
      <c r="AY131" s="577"/>
      <c r="AZ131" s="523">
        <f t="shared" si="83"/>
        <v>2163.6999999999998</v>
      </c>
      <c r="BA131" s="523">
        <f>BA120</f>
        <v>13.25121</v>
      </c>
      <c r="BB131" s="523">
        <f t="shared" si="92"/>
        <v>16.8</v>
      </c>
      <c r="BC131" s="523">
        <f t="shared" si="93"/>
        <v>36350.160000000003</v>
      </c>
      <c r="BD131" s="523">
        <f>BG131</f>
        <v>10.50122</v>
      </c>
      <c r="BE131" s="523">
        <f>ROUND(BD131*(1+$J$14),2)</f>
        <v>13.32</v>
      </c>
      <c r="BF131" s="523">
        <f t="shared" si="82"/>
        <v>12351.64</v>
      </c>
      <c r="BG131" s="577">
        <f>'COMPOSIÇÃO AB'!G104</f>
        <v>10.50122</v>
      </c>
    </row>
    <row r="132" spans="1:59" s="34" customFormat="1" ht="60">
      <c r="A132" s="471" t="s">
        <v>740</v>
      </c>
      <c r="B132" s="475">
        <v>92764</v>
      </c>
      <c r="C132" s="471" t="s">
        <v>1541</v>
      </c>
      <c r="D132" s="472" t="s">
        <v>12</v>
      </c>
      <c r="E132" s="472" t="s">
        <v>45</v>
      </c>
      <c r="F132" s="473">
        <v>2207</v>
      </c>
      <c r="G132" s="473">
        <f t="shared" si="41"/>
        <v>10.064</v>
      </c>
      <c r="H132" s="473">
        <f t="shared" si="78"/>
        <v>12.76</v>
      </c>
      <c r="I132" s="473">
        <f t="shared" si="79"/>
        <v>28161.32</v>
      </c>
      <c r="J132" s="34" t="e">
        <f>IF(B132&lt;&gt;0,VLOOKUP(B132,#REF!,4,FALSE),"")</f>
        <v>#REF!</v>
      </c>
      <c r="K132" s="476" t="s">
        <v>3044</v>
      </c>
      <c r="L132" s="378">
        <f t="shared" si="42"/>
        <v>22211.248</v>
      </c>
      <c r="N132" s="34" t="e">
        <f>IF(B132&lt;&gt;0,VLOOKUP(B132,#REF!,2,FALSE),"")</f>
        <v>#REF!</v>
      </c>
      <c r="AY132" s="577"/>
      <c r="AZ132" s="523">
        <f t="shared" si="83"/>
        <v>1544.8999999999999</v>
      </c>
      <c r="BA132" s="523">
        <f>BA121</f>
        <v>13.06</v>
      </c>
      <c r="BB132" s="523">
        <f t="shared" si="92"/>
        <v>16.559999999999999</v>
      </c>
      <c r="BC132" s="523">
        <f t="shared" si="93"/>
        <v>25583.54</v>
      </c>
      <c r="BD132" s="523">
        <f>BG132</f>
        <v>10.28</v>
      </c>
      <c r="BE132" s="523">
        <f>ROUND(BD132*(1+$J$14),2)</f>
        <v>13.04</v>
      </c>
      <c r="BF132" s="523">
        <f t="shared" si="82"/>
        <v>8633.7800000000007</v>
      </c>
      <c r="BG132" s="577">
        <f>'COMPOSIÇÃO AB'!G115</f>
        <v>10.28</v>
      </c>
    </row>
    <row r="133" spans="1:59" s="34" customFormat="1" ht="60">
      <c r="A133" s="471" t="s">
        <v>741</v>
      </c>
      <c r="B133" s="475">
        <v>92765</v>
      </c>
      <c r="C133" s="471" t="s">
        <v>1552</v>
      </c>
      <c r="D133" s="472" t="s">
        <v>12</v>
      </c>
      <c r="E133" s="472" t="s">
        <v>45</v>
      </c>
      <c r="F133" s="473">
        <v>3002</v>
      </c>
      <c r="G133" s="473">
        <f t="shared" si="41"/>
        <v>11.542999999999999</v>
      </c>
      <c r="H133" s="473">
        <f t="shared" si="78"/>
        <v>14.64</v>
      </c>
      <c r="I133" s="473">
        <f t="shared" si="79"/>
        <v>43949.279999999999</v>
      </c>
      <c r="J133" s="34" t="e">
        <f>IF(B133&lt;&gt;0,VLOOKUP(B133,#REF!,4,FALSE),"")</f>
        <v>#REF!</v>
      </c>
      <c r="K133" s="476" t="s">
        <v>1872</v>
      </c>
      <c r="L133" s="378">
        <f t="shared" si="42"/>
        <v>34652.085999999996</v>
      </c>
      <c r="N133" s="34" t="e">
        <f>IF(B133&lt;&gt;0,VLOOKUP(B133,#REF!,2,FALSE),"")</f>
        <v>#REF!</v>
      </c>
      <c r="AY133" s="577"/>
      <c r="AZ133" s="523">
        <f t="shared" si="83"/>
        <v>2101.4</v>
      </c>
      <c r="BA133" s="523">
        <f>BA122</f>
        <v>13.18</v>
      </c>
      <c r="BB133" s="523">
        <f t="shared" si="92"/>
        <v>16.71</v>
      </c>
      <c r="BC133" s="523">
        <f t="shared" si="93"/>
        <v>35114.39</v>
      </c>
      <c r="BD133" s="523">
        <f>BG133</f>
        <v>10.6</v>
      </c>
      <c r="BE133" s="523">
        <f>ROUND(BD133*(1+$J$14),2)</f>
        <v>13.44</v>
      </c>
      <c r="BF133" s="523">
        <f t="shared" si="82"/>
        <v>12104.06</v>
      </c>
      <c r="BG133" s="577">
        <f>'COMPOSIÇÃO AB'!G126</f>
        <v>10.6</v>
      </c>
    </row>
    <row r="134" spans="1:59" s="27" customFormat="1" ht="60">
      <c r="A134" s="23" t="s">
        <v>742</v>
      </c>
      <c r="B134" s="24">
        <v>92766</v>
      </c>
      <c r="C134" s="23" t="s">
        <v>1553</v>
      </c>
      <c r="D134" s="25" t="s">
        <v>12</v>
      </c>
      <c r="E134" s="25" t="s">
        <v>45</v>
      </c>
      <c r="F134" s="26">
        <v>1007</v>
      </c>
      <c r="G134" s="26">
        <f t="shared" si="41"/>
        <v>11.39</v>
      </c>
      <c r="H134" s="26">
        <f t="shared" si="78"/>
        <v>14.44</v>
      </c>
      <c r="I134" s="26">
        <f t="shared" si="79"/>
        <v>14541.08</v>
      </c>
      <c r="J134" s="27" t="e">
        <f>IF(B134&lt;&gt;0,VLOOKUP(B134,#REF!,4,FALSE),"")</f>
        <v>#REF!</v>
      </c>
      <c r="K134" s="376" t="s">
        <v>3192</v>
      </c>
      <c r="L134" s="365">
        <f t="shared" si="42"/>
        <v>11469.730000000001</v>
      </c>
      <c r="N134" s="27" t="e">
        <f>IF(B134&lt;&gt;0,VLOOKUP(B134,#REF!,2,FALSE),"")</f>
        <v>#REF!</v>
      </c>
      <c r="AY134" s="552"/>
      <c r="AZ134" s="163">
        <f t="shared" si="83"/>
        <v>704.9</v>
      </c>
      <c r="BA134" s="163">
        <f>G134</f>
        <v>11.39</v>
      </c>
      <c r="BB134" s="163">
        <f t="shared" si="92"/>
        <v>14.44</v>
      </c>
      <c r="BC134" s="163">
        <f t="shared" si="93"/>
        <v>10178.76</v>
      </c>
      <c r="BD134" s="163">
        <f t="shared" ref="BD134" si="94">ROUND(G134*$BH$19,2)</f>
        <v>12.69</v>
      </c>
      <c r="BE134" s="163">
        <f t="shared" ref="BE134" si="95">ROUND(BD134*(1+$J$14),2)</f>
        <v>16.09</v>
      </c>
      <c r="BF134" s="163">
        <f t="shared" si="82"/>
        <v>4860.79</v>
      </c>
      <c r="BG134" s="552"/>
    </row>
    <row r="135" spans="1:59" s="34" customFormat="1" ht="75">
      <c r="A135" s="471" t="s">
        <v>743</v>
      </c>
      <c r="B135" s="475">
        <v>92725</v>
      </c>
      <c r="C135" s="471" t="s">
        <v>1542</v>
      </c>
      <c r="D135" s="472" t="s">
        <v>1915</v>
      </c>
      <c r="E135" s="472" t="s">
        <v>35</v>
      </c>
      <c r="F135" s="473">
        <v>79.81</v>
      </c>
      <c r="G135" s="473">
        <f t="shared" si="41"/>
        <v>394.35749999999996</v>
      </c>
      <c r="H135" s="473">
        <f t="shared" si="78"/>
        <v>500.08</v>
      </c>
      <c r="I135" s="473">
        <f t="shared" si="79"/>
        <v>39911.379999999997</v>
      </c>
      <c r="J135" s="474">
        <f>'COMPOSIÇÃO DE CUSTOS'!G130</f>
        <v>394.36</v>
      </c>
      <c r="K135" s="378">
        <v>463.95</v>
      </c>
      <c r="L135" s="378">
        <f t="shared" si="42"/>
        <v>31473.672074999999</v>
      </c>
      <c r="M135" s="474"/>
      <c r="AY135" s="577"/>
      <c r="AZ135" s="523">
        <f t="shared" si="83"/>
        <v>55.866999999999997</v>
      </c>
      <c r="BA135" s="523">
        <f>'COMP MEDIDOS'!G220</f>
        <v>491.9</v>
      </c>
      <c r="BB135" s="523">
        <f t="shared" ref="BB135" si="96">ROUND(BA135*(1+$J$14),2)</f>
        <v>623.78</v>
      </c>
      <c r="BC135" s="523">
        <f t="shared" ref="BC135" si="97">ROUND(BB135*AZ135,2)</f>
        <v>34848.720000000001</v>
      </c>
      <c r="BD135" s="523">
        <f>BG135</f>
        <v>600.08000000000004</v>
      </c>
      <c r="BE135" s="523">
        <f>ROUND(BD135*(1+$J$14),2)</f>
        <v>760.96</v>
      </c>
      <c r="BF135" s="523">
        <f t="shared" si="82"/>
        <v>18219.669999999998</v>
      </c>
      <c r="BG135" s="577">
        <f>'COMPOSIÇÃO AB'!G219</f>
        <v>600.08000000000004</v>
      </c>
    </row>
    <row r="136" spans="1:59" s="27" customFormat="1" ht="23.25" customHeight="1">
      <c r="A136" s="837" t="s">
        <v>744</v>
      </c>
      <c r="B136" s="837"/>
      <c r="C136" s="837" t="s">
        <v>60</v>
      </c>
      <c r="D136" s="838"/>
      <c r="E136" s="838"/>
      <c r="F136" s="838"/>
      <c r="G136" s="26"/>
      <c r="H136" s="838"/>
      <c r="I136" s="96"/>
      <c r="J136" s="27" t="str">
        <f>IF(B136&lt;&gt;0,VLOOKUP(B136,#REF!,4,FALSE),"")</f>
        <v/>
      </c>
      <c r="K136" s="376"/>
      <c r="L136" s="365">
        <f t="shared" si="42"/>
        <v>0</v>
      </c>
      <c r="N136" s="27" t="str">
        <f>IF(B136&lt;&gt;0,VLOOKUP(B136,#REF!,2,FALSE),"")</f>
        <v/>
      </c>
      <c r="AY136" s="552"/>
      <c r="AZ136" s="481"/>
      <c r="BA136" s="481"/>
      <c r="BB136" s="481"/>
      <c r="BC136" s="481"/>
      <c r="BD136" s="481"/>
      <c r="BE136" s="481"/>
      <c r="BF136" s="481"/>
      <c r="BG136" s="552"/>
    </row>
    <row r="137" spans="1:59" s="34" customFormat="1" ht="90">
      <c r="A137" s="803" t="s">
        <v>4101</v>
      </c>
      <c r="B137" s="475">
        <v>92489</v>
      </c>
      <c r="C137" s="471" t="s">
        <v>1834</v>
      </c>
      <c r="D137" s="472" t="s">
        <v>1915</v>
      </c>
      <c r="E137" s="472" t="s">
        <v>26</v>
      </c>
      <c r="F137" s="473">
        <v>1404.19</v>
      </c>
      <c r="G137" s="473">
        <f t="shared" si="41"/>
        <v>28.823499999999996</v>
      </c>
      <c r="H137" s="473">
        <f t="shared" ref="H137:H146" si="98">ROUND(G137*(1+$J$14),2)</f>
        <v>36.549999999999997</v>
      </c>
      <c r="I137" s="473">
        <f t="shared" ref="I137:I146" si="99">ROUND(H137*F137,2)</f>
        <v>51323.14</v>
      </c>
      <c r="J137" s="474">
        <f>'COMPOSIÇÃO DE CUSTOS'!G141</f>
        <v>28.84</v>
      </c>
      <c r="K137" s="378">
        <v>33.909999999999997</v>
      </c>
      <c r="L137" s="378">
        <f t="shared" si="42"/>
        <v>40473.670464999996</v>
      </c>
      <c r="M137" s="474"/>
      <c r="N137" s="34" t="e">
        <f>IF(B137&lt;&gt;0,VLOOKUP(B137,#REF!,2,FALSE),"")</f>
        <v>#REF!</v>
      </c>
      <c r="AY137" s="577"/>
      <c r="AZ137" s="523">
        <f>F137*0.45</f>
        <v>631.88550000000009</v>
      </c>
      <c r="BA137" s="523">
        <f>'COMP MEDIDOS'!G236</f>
        <v>42.66</v>
      </c>
      <c r="BB137" s="523">
        <f t="shared" ref="BB137" si="100">ROUND(BA137*(1+$J$14),2)</f>
        <v>54.1</v>
      </c>
      <c r="BC137" s="523">
        <f t="shared" ref="BC137" si="101">ROUND(BB137*AZ137,2)</f>
        <v>34185.01</v>
      </c>
      <c r="BD137" s="523">
        <f>BG137</f>
        <v>41.72</v>
      </c>
      <c r="BE137" s="523">
        <f>ROUND(BD137*(1+$J$14),2)</f>
        <v>52.91</v>
      </c>
      <c r="BF137" s="523">
        <f t="shared" ref="BF137:BF146" si="102">ROUND(BE137*(F137-AZ137),2)</f>
        <v>40862.629999999997</v>
      </c>
      <c r="BG137" s="577">
        <f>'COMPOSIÇÃO AB'!G235</f>
        <v>41.72</v>
      </c>
    </row>
    <row r="138" spans="1:59" s="34" customFormat="1" ht="60">
      <c r="A138" s="803" t="s">
        <v>4102</v>
      </c>
      <c r="B138" s="475">
        <v>92481</v>
      </c>
      <c r="C138" s="471" t="s">
        <v>1535</v>
      </c>
      <c r="D138" s="472" t="s">
        <v>1915</v>
      </c>
      <c r="E138" s="472" t="s">
        <v>26</v>
      </c>
      <c r="F138" s="473">
        <v>51.68</v>
      </c>
      <c r="G138" s="473">
        <f t="shared" si="41"/>
        <v>197.89699999999999</v>
      </c>
      <c r="H138" s="473">
        <f t="shared" si="98"/>
        <v>250.95</v>
      </c>
      <c r="I138" s="473">
        <f t="shared" si="99"/>
        <v>12969.1</v>
      </c>
      <c r="J138" s="474">
        <f>'COMPOSIÇÃO DE CUSTOS'!G152</f>
        <v>197.9</v>
      </c>
      <c r="K138" s="378">
        <v>232.82</v>
      </c>
      <c r="L138" s="378">
        <f t="shared" si="42"/>
        <v>10227.31696</v>
      </c>
      <c r="M138" s="474"/>
      <c r="N138" s="34" t="e">
        <f>IF(B138&lt;&gt;0,VLOOKUP(B138,#REF!,2,FALSE),"")</f>
        <v>#REF!</v>
      </c>
      <c r="AY138" s="577"/>
      <c r="AZ138" s="523">
        <f t="shared" ref="AZ138:AZ146" si="103">F138*0.45</f>
        <v>23.256</v>
      </c>
      <c r="BA138" s="523">
        <f>BA87</f>
        <v>234.24</v>
      </c>
      <c r="BB138" s="523">
        <f t="shared" ref="BB138" si="104">ROUND(BA138*(1+$J$14),2)</f>
        <v>297.04000000000002</v>
      </c>
      <c r="BC138" s="523">
        <f t="shared" ref="BC138" si="105">ROUND(BB138*AZ138,2)</f>
        <v>6907.96</v>
      </c>
      <c r="BD138" s="523">
        <f>BG138</f>
        <v>284.67</v>
      </c>
      <c r="BE138" s="523">
        <f>ROUND(BD138*(1+$J$14),2)</f>
        <v>360.99</v>
      </c>
      <c r="BF138" s="523">
        <f t="shared" si="102"/>
        <v>10260.780000000001</v>
      </c>
      <c r="BG138" s="577">
        <f>'COMPOSIÇÃO AB'!G208</f>
        <v>284.67</v>
      </c>
    </row>
    <row r="139" spans="1:59" s="27" customFormat="1" ht="60">
      <c r="A139" s="23" t="s">
        <v>3398</v>
      </c>
      <c r="B139" s="24">
        <v>92769</v>
      </c>
      <c r="C139" s="23" t="s">
        <v>1556</v>
      </c>
      <c r="D139" s="25" t="s">
        <v>12</v>
      </c>
      <c r="E139" s="25" t="s">
        <v>45</v>
      </c>
      <c r="F139" s="26">
        <v>195</v>
      </c>
      <c r="G139" s="26">
        <f t="shared" si="41"/>
        <v>12.954000000000001</v>
      </c>
      <c r="H139" s="26">
        <f t="shared" si="98"/>
        <v>16.43</v>
      </c>
      <c r="I139" s="26">
        <f t="shared" si="99"/>
        <v>3203.85</v>
      </c>
      <c r="J139" s="27" t="e">
        <f>IF(B139&lt;&gt;0,VLOOKUP(B139,#REF!,4,FALSE),"")</f>
        <v>#REF!</v>
      </c>
      <c r="K139" s="376" t="s">
        <v>3149</v>
      </c>
      <c r="L139" s="365">
        <f t="shared" si="42"/>
        <v>2526.0300000000002</v>
      </c>
      <c r="N139" s="27" t="e">
        <f>IF(B139&lt;&gt;0,VLOOKUP(B139,#REF!,2,FALSE),"")</f>
        <v>#REF!</v>
      </c>
      <c r="AY139" s="552"/>
      <c r="AZ139" s="163">
        <f t="shared" si="103"/>
        <v>87.75</v>
      </c>
      <c r="BA139" s="163">
        <f>G139</f>
        <v>12.954000000000001</v>
      </c>
      <c r="BB139" s="163">
        <f t="shared" ref="BB139:BB144" si="106">ROUND(BA139*(1+$J$14),2)</f>
        <v>16.43</v>
      </c>
      <c r="BC139" s="163">
        <f t="shared" ref="BC139:BC144" si="107">ROUND(BB139*AZ139,2)</f>
        <v>1441.73</v>
      </c>
      <c r="BD139" s="163">
        <f t="shared" ref="BD139" si="108">ROUND(G139*$BH$19,2)</f>
        <v>14.43</v>
      </c>
      <c r="BE139" s="163">
        <f t="shared" ref="BE139:BE142" si="109">ROUND(BD139*(1+$J$14),2)</f>
        <v>18.3</v>
      </c>
      <c r="BF139" s="163">
        <f t="shared" si="102"/>
        <v>1962.68</v>
      </c>
      <c r="BG139" s="552"/>
    </row>
    <row r="140" spans="1:59" s="27" customFormat="1" ht="60">
      <c r="A140" s="23" t="s">
        <v>3399</v>
      </c>
      <c r="B140" s="24">
        <v>92770</v>
      </c>
      <c r="C140" s="23" t="s">
        <v>1557</v>
      </c>
      <c r="D140" s="25" t="s">
        <v>12</v>
      </c>
      <c r="E140" s="25" t="s">
        <v>45</v>
      </c>
      <c r="F140" s="26">
        <v>206</v>
      </c>
      <c r="G140" s="26">
        <f t="shared" si="41"/>
        <v>12.783999999999999</v>
      </c>
      <c r="H140" s="26">
        <f t="shared" si="98"/>
        <v>16.21</v>
      </c>
      <c r="I140" s="26">
        <f t="shared" si="99"/>
        <v>3339.26</v>
      </c>
      <c r="J140" s="27" t="e">
        <f>IF(B140&lt;&gt;0,VLOOKUP(B140,#REF!,4,FALSE),"")</f>
        <v>#REF!</v>
      </c>
      <c r="K140" s="376" t="s">
        <v>1838</v>
      </c>
      <c r="L140" s="365">
        <f t="shared" si="42"/>
        <v>2633.5039999999999</v>
      </c>
      <c r="N140" s="27" t="e">
        <f>IF(B140&lt;&gt;0,VLOOKUP(B140,#REF!,2,FALSE),"")</f>
        <v>#REF!</v>
      </c>
      <c r="AY140" s="552"/>
      <c r="AZ140" s="163">
        <f t="shared" si="103"/>
        <v>92.7</v>
      </c>
      <c r="BA140" s="163">
        <f>G140</f>
        <v>12.783999999999999</v>
      </c>
      <c r="BB140" s="163">
        <f t="shared" si="106"/>
        <v>16.21</v>
      </c>
      <c r="BC140" s="163">
        <f t="shared" si="107"/>
        <v>1502.67</v>
      </c>
      <c r="BD140" s="163">
        <f t="shared" ref="BD140:BD142" si="110">ROUND(G140*$BH$19,2)</f>
        <v>14.24</v>
      </c>
      <c r="BE140" s="163">
        <f t="shared" si="109"/>
        <v>18.059999999999999</v>
      </c>
      <c r="BF140" s="163">
        <f t="shared" si="102"/>
        <v>2046.2</v>
      </c>
      <c r="BG140" s="552"/>
    </row>
    <row r="141" spans="1:59" s="27" customFormat="1" ht="60">
      <c r="A141" s="23" t="s">
        <v>3400</v>
      </c>
      <c r="B141" s="24">
        <v>92771</v>
      </c>
      <c r="C141" s="23" t="s">
        <v>1558</v>
      </c>
      <c r="D141" s="25" t="s">
        <v>12</v>
      </c>
      <c r="E141" s="25" t="s">
        <v>45</v>
      </c>
      <c r="F141" s="26">
        <v>1281</v>
      </c>
      <c r="G141" s="26">
        <f t="shared" si="41"/>
        <v>11.721499999999999</v>
      </c>
      <c r="H141" s="26">
        <f t="shared" si="98"/>
        <v>14.86</v>
      </c>
      <c r="I141" s="26">
        <f t="shared" si="99"/>
        <v>19035.66</v>
      </c>
      <c r="J141" s="27" t="e">
        <f>IF(B141&lt;&gt;0,VLOOKUP(B141,#REF!,4,FALSE),"")</f>
        <v>#REF!</v>
      </c>
      <c r="K141" s="376" t="s">
        <v>3038</v>
      </c>
      <c r="L141" s="365">
        <f t="shared" si="42"/>
        <v>15015.241499999998</v>
      </c>
      <c r="N141" s="27" t="e">
        <f>IF(B141&lt;&gt;0,VLOOKUP(B141,#REF!,2,FALSE),"")</f>
        <v>#REF!</v>
      </c>
      <c r="AY141" s="552"/>
      <c r="AZ141" s="163">
        <f t="shared" si="103"/>
        <v>576.45000000000005</v>
      </c>
      <c r="BA141" s="163">
        <f>G141</f>
        <v>11.721499999999999</v>
      </c>
      <c r="BB141" s="163">
        <f t="shared" si="106"/>
        <v>14.86</v>
      </c>
      <c r="BC141" s="163">
        <f t="shared" si="107"/>
        <v>8566.0499999999993</v>
      </c>
      <c r="BD141" s="163">
        <f t="shared" si="110"/>
        <v>13.06</v>
      </c>
      <c r="BE141" s="163">
        <f t="shared" si="109"/>
        <v>16.559999999999999</v>
      </c>
      <c r="BF141" s="163">
        <f t="shared" si="102"/>
        <v>11667.35</v>
      </c>
      <c r="BG141" s="552"/>
    </row>
    <row r="142" spans="1:59" s="27" customFormat="1" ht="60">
      <c r="A142" s="23" t="s">
        <v>3401</v>
      </c>
      <c r="B142" s="24">
        <v>92772</v>
      </c>
      <c r="C142" s="23" t="s">
        <v>1559</v>
      </c>
      <c r="D142" s="25" t="s">
        <v>12</v>
      </c>
      <c r="E142" s="25" t="s">
        <v>45</v>
      </c>
      <c r="F142" s="26">
        <v>1963</v>
      </c>
      <c r="G142" s="26">
        <f t="shared" si="41"/>
        <v>10.047000000000001</v>
      </c>
      <c r="H142" s="26">
        <f t="shared" si="98"/>
        <v>12.74</v>
      </c>
      <c r="I142" s="26">
        <f t="shared" si="99"/>
        <v>25008.62</v>
      </c>
      <c r="J142" s="27" t="e">
        <f>IF(B142&lt;&gt;0,VLOOKUP(B142,#REF!,4,FALSE),"")</f>
        <v>#REF!</v>
      </c>
      <c r="K142" s="376" t="s">
        <v>3124</v>
      </c>
      <c r="L142" s="365">
        <f t="shared" si="42"/>
        <v>19722.261000000002</v>
      </c>
      <c r="N142" s="27" t="e">
        <f>IF(B142&lt;&gt;0,VLOOKUP(B142,#REF!,2,FALSE),"")</f>
        <v>#REF!</v>
      </c>
      <c r="AY142" s="552"/>
      <c r="AZ142" s="163">
        <f t="shared" si="103"/>
        <v>883.35</v>
      </c>
      <c r="BA142" s="163">
        <f>G142</f>
        <v>10.047000000000001</v>
      </c>
      <c r="BB142" s="163">
        <f t="shared" si="106"/>
        <v>12.74</v>
      </c>
      <c r="BC142" s="163">
        <f t="shared" si="107"/>
        <v>11253.88</v>
      </c>
      <c r="BD142" s="163">
        <f t="shared" si="110"/>
        <v>11.19</v>
      </c>
      <c r="BE142" s="163">
        <f t="shared" si="109"/>
        <v>14.19</v>
      </c>
      <c r="BF142" s="163">
        <f t="shared" si="102"/>
        <v>15320.23</v>
      </c>
      <c r="BG142" s="552"/>
    </row>
    <row r="143" spans="1:59" s="34" customFormat="1" ht="60">
      <c r="A143" s="471" t="s">
        <v>3402</v>
      </c>
      <c r="B143" s="475">
        <v>92773</v>
      </c>
      <c r="C143" s="471" t="s">
        <v>1560</v>
      </c>
      <c r="D143" s="472" t="s">
        <v>12</v>
      </c>
      <c r="E143" s="472" t="s">
        <v>45</v>
      </c>
      <c r="F143" s="473">
        <v>187</v>
      </c>
      <c r="G143" s="473">
        <f t="shared" si="41"/>
        <v>9.8345000000000002</v>
      </c>
      <c r="H143" s="473">
        <f t="shared" si="98"/>
        <v>12.47</v>
      </c>
      <c r="I143" s="473">
        <f t="shared" si="99"/>
        <v>2331.89</v>
      </c>
      <c r="J143" s="34" t="e">
        <f>IF(B143&lt;&gt;0,VLOOKUP(B143,#REF!,4,FALSE),"")</f>
        <v>#REF!</v>
      </c>
      <c r="K143" s="476" t="s">
        <v>3120</v>
      </c>
      <c r="L143" s="378">
        <f t="shared" si="42"/>
        <v>1839.0515</v>
      </c>
      <c r="N143" s="34" t="e">
        <f>IF(B143&lt;&gt;0,VLOOKUP(B143,#REF!,2,FALSE),"")</f>
        <v>#REF!</v>
      </c>
      <c r="AY143" s="577"/>
      <c r="AZ143" s="523">
        <f t="shared" si="103"/>
        <v>84.15</v>
      </c>
      <c r="BA143" s="523">
        <f>'COMP MEDIDOS'!G175</f>
        <v>12.829999999999998</v>
      </c>
      <c r="BB143" s="523">
        <f t="shared" si="106"/>
        <v>16.27</v>
      </c>
      <c r="BC143" s="523">
        <f t="shared" si="107"/>
        <v>1369.12</v>
      </c>
      <c r="BD143" s="523">
        <f>BG143</f>
        <v>9.9899999999999984</v>
      </c>
      <c r="BE143" s="523">
        <f>ROUND(BD143*(1+$J$14),2)</f>
        <v>12.67</v>
      </c>
      <c r="BF143" s="523">
        <f t="shared" si="102"/>
        <v>1303.1099999999999</v>
      </c>
      <c r="BG143" s="577">
        <f>'COMPOSIÇÃO AB'!G174</f>
        <v>9.9899999999999984</v>
      </c>
    </row>
    <row r="144" spans="1:59" s="34" customFormat="1" ht="60">
      <c r="A144" s="471" t="s">
        <v>3403</v>
      </c>
      <c r="B144" s="475">
        <v>92774</v>
      </c>
      <c r="C144" s="471" t="s">
        <v>1561</v>
      </c>
      <c r="D144" s="472" t="s">
        <v>12</v>
      </c>
      <c r="E144" s="472" t="s">
        <v>45</v>
      </c>
      <c r="F144" s="473">
        <v>3676</v>
      </c>
      <c r="G144" s="473">
        <f t="shared" si="41"/>
        <v>11.39</v>
      </c>
      <c r="H144" s="473">
        <f t="shared" si="98"/>
        <v>14.44</v>
      </c>
      <c r="I144" s="473">
        <f t="shared" si="99"/>
        <v>53081.440000000002</v>
      </c>
      <c r="J144" s="34" t="e">
        <f>IF(B144&lt;&gt;0,VLOOKUP(B144,#REF!,4,FALSE),"")</f>
        <v>#REF!</v>
      </c>
      <c r="K144" s="476" t="s">
        <v>3192</v>
      </c>
      <c r="L144" s="378">
        <f t="shared" si="42"/>
        <v>41869.64</v>
      </c>
      <c r="N144" s="34" t="e">
        <f>IF(B144&lt;&gt;0,VLOOKUP(B144,#REF!,2,FALSE),"")</f>
        <v>#REF!</v>
      </c>
      <c r="AY144" s="577"/>
      <c r="AZ144" s="523">
        <f t="shared" si="103"/>
        <v>1654.2</v>
      </c>
      <c r="BA144" s="523">
        <f>'COMP MEDIDOS'!G185</f>
        <v>13</v>
      </c>
      <c r="BB144" s="523">
        <f t="shared" si="106"/>
        <v>16.489999999999998</v>
      </c>
      <c r="BC144" s="523">
        <f t="shared" si="107"/>
        <v>27277.759999999998</v>
      </c>
      <c r="BD144" s="523">
        <f>BG144</f>
        <v>10.39</v>
      </c>
      <c r="BE144" s="523">
        <f>ROUND(BD144*(1+$J$14),2)</f>
        <v>13.18</v>
      </c>
      <c r="BF144" s="523">
        <f t="shared" si="102"/>
        <v>26647.32</v>
      </c>
      <c r="BG144" s="577">
        <f>'COMPOSIÇÃO AB'!G184</f>
        <v>10.39</v>
      </c>
    </row>
    <row r="145" spans="1:59" s="34" customFormat="1" ht="60">
      <c r="A145" s="471" t="s">
        <v>3404</v>
      </c>
      <c r="B145" s="475">
        <v>85662</v>
      </c>
      <c r="C145" s="471" t="s">
        <v>61</v>
      </c>
      <c r="D145" s="472" t="s">
        <v>1915</v>
      </c>
      <c r="E145" s="472" t="s">
        <v>26</v>
      </c>
      <c r="F145" s="473">
        <v>1404.19</v>
      </c>
      <c r="G145" s="473">
        <f t="shared" si="41"/>
        <v>15.512499999999999</v>
      </c>
      <c r="H145" s="473">
        <f t="shared" si="98"/>
        <v>19.670000000000002</v>
      </c>
      <c r="I145" s="473">
        <f t="shared" si="99"/>
        <v>27620.42</v>
      </c>
      <c r="J145" s="477">
        <f>'COMPOSIÇÃO DE CUSTOS'!G160</f>
        <v>15.53</v>
      </c>
      <c r="K145" s="476">
        <v>18.25</v>
      </c>
      <c r="L145" s="378">
        <f t="shared" si="42"/>
        <v>21782.497374999999</v>
      </c>
      <c r="M145" s="477"/>
      <c r="AY145" s="577"/>
      <c r="AZ145" s="523">
        <f t="shared" si="103"/>
        <v>631.88550000000009</v>
      </c>
      <c r="BA145" s="523">
        <f>G145</f>
        <v>15.512499999999999</v>
      </c>
      <c r="BB145" s="523">
        <f t="shared" ref="BB145" si="111">ROUND(BA145*(1+$J$14),2)</f>
        <v>19.670000000000002</v>
      </c>
      <c r="BC145" s="523">
        <f t="shared" ref="BC145" si="112">ROUND(BB145*AZ145,2)</f>
        <v>12429.19</v>
      </c>
      <c r="BD145" s="523">
        <f>BG145</f>
        <v>15.94</v>
      </c>
      <c r="BE145" s="523">
        <f>ROUND(BD145*(1+$J$14),2)</f>
        <v>20.21</v>
      </c>
      <c r="BF145" s="523">
        <f t="shared" si="102"/>
        <v>15608.27</v>
      </c>
      <c r="BG145" s="577">
        <f>'COMPOSIÇÃO AB'!G243</f>
        <v>15.94</v>
      </c>
    </row>
    <row r="146" spans="1:59" s="34" customFormat="1" ht="75">
      <c r="A146" s="471" t="s">
        <v>3405</v>
      </c>
      <c r="B146" s="475">
        <v>92725</v>
      </c>
      <c r="C146" s="471" t="s">
        <v>1542</v>
      </c>
      <c r="D146" s="472" t="s">
        <v>1915</v>
      </c>
      <c r="E146" s="472" t="s">
        <v>35</v>
      </c>
      <c r="F146" s="473">
        <v>174.65</v>
      </c>
      <c r="G146" s="473">
        <f t="shared" si="41"/>
        <v>394.35749999999996</v>
      </c>
      <c r="H146" s="473">
        <f t="shared" si="98"/>
        <v>500.08</v>
      </c>
      <c r="I146" s="473">
        <f t="shared" si="99"/>
        <v>87338.97</v>
      </c>
      <c r="J146" s="477">
        <f>J135</f>
        <v>394.36</v>
      </c>
      <c r="K146" s="476">
        <v>463.95</v>
      </c>
      <c r="L146" s="378">
        <f t="shared" si="42"/>
        <v>68874.537375</v>
      </c>
      <c r="M146" s="477"/>
      <c r="AY146" s="577"/>
      <c r="AZ146" s="523">
        <f t="shared" si="103"/>
        <v>78.592500000000001</v>
      </c>
      <c r="BA146" s="523">
        <f>BA135</f>
        <v>491.9</v>
      </c>
      <c r="BB146" s="523">
        <f t="shared" ref="BB146" si="113">ROUND(BA146*(1+$J$14),2)</f>
        <v>623.78</v>
      </c>
      <c r="BC146" s="523">
        <f t="shared" ref="BC146" si="114">ROUND(BB146*AZ146,2)</f>
        <v>49024.43</v>
      </c>
      <c r="BD146" s="523">
        <f>BG146</f>
        <v>600.08000000000004</v>
      </c>
      <c r="BE146" s="523">
        <f>ROUND(BD146*(1+$J$14),2)</f>
        <v>760.96</v>
      </c>
      <c r="BF146" s="523">
        <f t="shared" si="102"/>
        <v>73095.92</v>
      </c>
      <c r="BG146" s="577">
        <f>'COMPOSIÇÃO AB'!G219</f>
        <v>600.08000000000004</v>
      </c>
    </row>
    <row r="147" spans="1:59">
      <c r="A147" s="356" t="s">
        <v>747</v>
      </c>
      <c r="B147" s="356"/>
      <c r="C147" s="356" t="s">
        <v>62</v>
      </c>
      <c r="D147" s="357"/>
      <c r="E147" s="357"/>
      <c r="F147" s="357"/>
      <c r="G147" s="26"/>
      <c r="H147" s="357"/>
      <c r="I147" s="96"/>
      <c r="J147" s="2" t="str">
        <f>IF(B147&lt;&gt;0,VLOOKUP(B147,#REF!,4,FALSE),"")</f>
        <v/>
      </c>
      <c r="L147" s="362">
        <f t="shared" si="42"/>
        <v>0</v>
      </c>
      <c r="N147" s="2" t="str">
        <f>IF(B147&lt;&gt;0,VLOOKUP(B147,#REF!,2,FALSE),"")</f>
        <v/>
      </c>
      <c r="AY147" s="21"/>
      <c r="AZ147" s="481"/>
      <c r="BA147" s="239"/>
      <c r="BB147" s="239"/>
      <c r="BC147" s="481"/>
      <c r="BD147" s="481"/>
      <c r="BE147" s="481"/>
      <c r="BF147" s="481"/>
      <c r="BG147" s="21"/>
    </row>
    <row r="148" spans="1:59" s="27" customFormat="1" ht="45">
      <c r="A148" s="23" t="s">
        <v>748</v>
      </c>
      <c r="B148" s="140">
        <v>95938</v>
      </c>
      <c r="C148" s="23" t="s">
        <v>1835</v>
      </c>
      <c r="D148" s="25" t="s">
        <v>1915</v>
      </c>
      <c r="E148" s="25" t="s">
        <v>26</v>
      </c>
      <c r="F148" s="26">
        <v>47.61</v>
      </c>
      <c r="G148" s="26">
        <f t="shared" si="41"/>
        <v>226.35500000000002</v>
      </c>
      <c r="H148" s="26">
        <f>ROUND(G148*(1+$J$14),2)</f>
        <v>287.04000000000002</v>
      </c>
      <c r="I148" s="26">
        <f t="shared" ref="I148:I152" si="115">ROUND(H148*F148,2)</f>
        <v>13665.97</v>
      </c>
      <c r="J148" s="339">
        <f>'COMPOSIÇÃO DE CUSTOS'!G171</f>
        <v>226.37</v>
      </c>
      <c r="K148" s="376">
        <v>266.3</v>
      </c>
      <c r="L148" s="365">
        <f t="shared" si="42"/>
        <v>10776.761550000001</v>
      </c>
      <c r="M148" s="339"/>
      <c r="AY148" s="552"/>
      <c r="AZ148" s="163">
        <f>F148*0.7</f>
        <v>33.326999999999998</v>
      </c>
      <c r="BA148" s="163">
        <f>G148</f>
        <v>226.35500000000002</v>
      </c>
      <c r="BB148" s="163">
        <f t="shared" ref="BB148:BB151" si="116">ROUND(BA148*(1+$J$14),2)</f>
        <v>287.04000000000002</v>
      </c>
      <c r="BC148" s="163">
        <f t="shared" ref="BC148:BC151" si="117">ROUND(BB148*AZ148,2)</f>
        <v>9566.18</v>
      </c>
      <c r="BD148" s="163">
        <f t="shared" ref="BD148" si="118">ROUND(G148*$BH$19,2)</f>
        <v>252.16</v>
      </c>
      <c r="BE148" s="163">
        <f t="shared" ref="BE148:BE151" si="119">ROUND(BD148*(1+$J$14),2)</f>
        <v>319.76</v>
      </c>
      <c r="BF148" s="163">
        <f>ROUND(BE148*(F148-AZ148),2)</f>
        <v>4567.13</v>
      </c>
      <c r="BG148" s="552"/>
    </row>
    <row r="149" spans="1:59" s="27" customFormat="1" ht="60">
      <c r="A149" s="23" t="s">
        <v>749</v>
      </c>
      <c r="B149" s="24">
        <v>95944</v>
      </c>
      <c r="C149" s="23" t="s">
        <v>1562</v>
      </c>
      <c r="D149" s="25" t="s">
        <v>12</v>
      </c>
      <c r="E149" s="25" t="s">
        <v>45</v>
      </c>
      <c r="F149" s="26">
        <v>196</v>
      </c>
      <c r="G149" s="26">
        <f t="shared" si="41"/>
        <v>16.787500000000001</v>
      </c>
      <c r="H149" s="26">
        <f>ROUND(G149*(1+$J$14),2)</f>
        <v>21.29</v>
      </c>
      <c r="I149" s="26">
        <f t="shared" si="115"/>
        <v>4172.84</v>
      </c>
      <c r="J149" s="27" t="e">
        <f>IF(B149&lt;&gt;0,VLOOKUP(B149,#REF!,4,FALSE),"")</f>
        <v>#REF!</v>
      </c>
      <c r="K149" s="376" t="s">
        <v>2647</v>
      </c>
      <c r="L149" s="365">
        <f t="shared" si="42"/>
        <v>3290.3500000000004</v>
      </c>
      <c r="N149" s="27" t="e">
        <f>IF(B149&lt;&gt;0,VLOOKUP(B149,#REF!,2,FALSE),"")</f>
        <v>#REF!</v>
      </c>
      <c r="AY149" s="552"/>
      <c r="AZ149" s="163">
        <f>F149*0.7</f>
        <v>137.19999999999999</v>
      </c>
      <c r="BA149" s="163">
        <f>G149</f>
        <v>16.787500000000001</v>
      </c>
      <c r="BB149" s="163">
        <f t="shared" si="116"/>
        <v>21.29</v>
      </c>
      <c r="BC149" s="163">
        <f t="shared" si="117"/>
        <v>2920.99</v>
      </c>
      <c r="BD149" s="163">
        <f t="shared" ref="BD149:BD151" si="120">ROUND(G149*$BH$19,2)</f>
        <v>18.7</v>
      </c>
      <c r="BE149" s="163">
        <f t="shared" si="119"/>
        <v>23.71</v>
      </c>
      <c r="BF149" s="163">
        <f>ROUND(BE149*(F149-AZ149),2)</f>
        <v>1394.15</v>
      </c>
      <c r="BG149" s="552"/>
    </row>
    <row r="150" spans="1:59" s="27" customFormat="1" ht="60">
      <c r="A150" s="23" t="s">
        <v>750</v>
      </c>
      <c r="B150" s="24">
        <v>95945</v>
      </c>
      <c r="C150" s="23" t="s">
        <v>1563</v>
      </c>
      <c r="D150" s="25" t="s">
        <v>12</v>
      </c>
      <c r="E150" s="25" t="s">
        <v>45</v>
      </c>
      <c r="F150" s="26">
        <v>240</v>
      </c>
      <c r="G150" s="26">
        <f t="shared" si="41"/>
        <v>14.908999999999999</v>
      </c>
      <c r="H150" s="26">
        <f>ROUND(G150*(1+$J$14),2)</f>
        <v>18.91</v>
      </c>
      <c r="I150" s="26">
        <f t="shared" si="115"/>
        <v>4538.3999999999996</v>
      </c>
      <c r="J150" s="27" t="e">
        <f>IF(B150&lt;&gt;0,VLOOKUP(B150,#REF!,4,FALSE),"")</f>
        <v>#REF!</v>
      </c>
      <c r="K150" s="376" t="s">
        <v>3170</v>
      </c>
      <c r="L150" s="365">
        <f t="shared" si="42"/>
        <v>3578.16</v>
      </c>
      <c r="N150" s="27" t="e">
        <f>IF(B150&lt;&gt;0,VLOOKUP(B150,#REF!,2,FALSE),"")</f>
        <v>#REF!</v>
      </c>
      <c r="AY150" s="552"/>
      <c r="AZ150" s="163">
        <f>F150*0.7</f>
        <v>168</v>
      </c>
      <c r="BA150" s="163">
        <f>G150</f>
        <v>14.908999999999999</v>
      </c>
      <c r="BB150" s="163">
        <f t="shared" si="116"/>
        <v>18.91</v>
      </c>
      <c r="BC150" s="163">
        <f t="shared" si="117"/>
        <v>3176.88</v>
      </c>
      <c r="BD150" s="163">
        <f t="shared" si="120"/>
        <v>16.61</v>
      </c>
      <c r="BE150" s="163">
        <f t="shared" si="119"/>
        <v>21.06</v>
      </c>
      <c r="BF150" s="163">
        <f>ROUND(BE150*(F150-AZ150),2)</f>
        <v>1516.32</v>
      </c>
      <c r="BG150" s="552"/>
    </row>
    <row r="151" spans="1:59" s="27" customFormat="1" ht="60">
      <c r="A151" s="23" t="s">
        <v>751</v>
      </c>
      <c r="B151" s="24">
        <v>95946</v>
      </c>
      <c r="C151" s="23" t="s">
        <v>1564</v>
      </c>
      <c r="D151" s="25" t="s">
        <v>12</v>
      </c>
      <c r="E151" s="25" t="s">
        <v>45</v>
      </c>
      <c r="F151" s="26">
        <v>356</v>
      </c>
      <c r="G151" s="26">
        <f t="shared" si="41"/>
        <v>12.7415</v>
      </c>
      <c r="H151" s="26">
        <f>ROUND(G151*(1+$J$14),2)</f>
        <v>16.16</v>
      </c>
      <c r="I151" s="26">
        <f t="shared" si="115"/>
        <v>5752.96</v>
      </c>
      <c r="J151" s="27" t="e">
        <f>IF(B151&lt;&gt;0,VLOOKUP(B151,#REF!,4,FALSE),"")</f>
        <v>#REF!</v>
      </c>
      <c r="K151" s="376" t="s">
        <v>3104</v>
      </c>
      <c r="L151" s="365">
        <f t="shared" si="42"/>
        <v>4535.9740000000002</v>
      </c>
      <c r="N151" s="27" t="e">
        <f>IF(B151&lt;&gt;0,VLOOKUP(B151,#REF!,2,FALSE),"")</f>
        <v>#REF!</v>
      </c>
      <c r="AY151" s="552"/>
      <c r="AZ151" s="163">
        <f>F151*0.7</f>
        <v>249.2</v>
      </c>
      <c r="BA151" s="163">
        <f>G151</f>
        <v>12.7415</v>
      </c>
      <c r="BB151" s="163">
        <f t="shared" si="116"/>
        <v>16.16</v>
      </c>
      <c r="BC151" s="163">
        <f t="shared" si="117"/>
        <v>4027.07</v>
      </c>
      <c r="BD151" s="163">
        <f t="shared" si="120"/>
        <v>14.19</v>
      </c>
      <c r="BE151" s="163">
        <f t="shared" si="119"/>
        <v>17.989999999999998</v>
      </c>
      <c r="BF151" s="163">
        <f>ROUND(BE151*(F151-AZ151),2)</f>
        <v>1921.33</v>
      </c>
      <c r="BG151" s="552"/>
    </row>
    <row r="152" spans="1:59" s="34" customFormat="1" ht="75">
      <c r="A152" s="471" t="s">
        <v>3415</v>
      </c>
      <c r="B152" s="475">
        <v>92725</v>
      </c>
      <c r="C152" s="471" t="s">
        <v>1542</v>
      </c>
      <c r="D152" s="472" t="s">
        <v>1915</v>
      </c>
      <c r="E152" s="472" t="s">
        <v>35</v>
      </c>
      <c r="F152" s="473">
        <v>6.5</v>
      </c>
      <c r="G152" s="473">
        <f t="shared" ref="G152:G215" si="121">K152-(K152*$K$15)</f>
        <v>394.35749999999996</v>
      </c>
      <c r="H152" s="473">
        <f>ROUND(G152*(1+$J$14),2)</f>
        <v>500.08</v>
      </c>
      <c r="I152" s="473">
        <f t="shared" si="115"/>
        <v>3250.52</v>
      </c>
      <c r="J152" s="474">
        <f>J146</f>
        <v>394.36</v>
      </c>
      <c r="K152" s="378">
        <v>463.95</v>
      </c>
      <c r="L152" s="378">
        <f t="shared" ref="L152:L215" si="122">F152*G152</f>
        <v>2563.3237499999996</v>
      </c>
      <c r="M152" s="474"/>
      <c r="AY152" s="577"/>
      <c r="AZ152" s="523">
        <f>F152*0.7</f>
        <v>4.55</v>
      </c>
      <c r="BA152" s="523">
        <f>'COMP MEDIDOS'!G220</f>
        <v>491.9</v>
      </c>
      <c r="BB152" s="523">
        <f t="shared" ref="BB152" si="123">ROUND(BA152*(1+$J$14),2)</f>
        <v>623.78</v>
      </c>
      <c r="BC152" s="523">
        <f t="shared" ref="BC152" si="124">ROUND(BB152*AZ152,2)</f>
        <v>2838.2</v>
      </c>
      <c r="BD152" s="523">
        <f>BG152</f>
        <v>600.08000000000004</v>
      </c>
      <c r="BE152" s="523">
        <f>ROUND(BD152*(1+$J$14),2)</f>
        <v>760.96</v>
      </c>
      <c r="BF152" s="523">
        <f>ROUND(BE152*(F152-AZ152),2)</f>
        <v>1483.87</v>
      </c>
      <c r="BG152" s="577">
        <f>'COMPOSIÇÃO AB'!G219</f>
        <v>600.08000000000004</v>
      </c>
    </row>
    <row r="153" spans="1:59" ht="15" customHeight="1">
      <c r="A153" s="356" t="s">
        <v>752</v>
      </c>
      <c r="B153" s="356"/>
      <c r="C153" s="356" t="s">
        <v>63</v>
      </c>
      <c r="D153" s="357"/>
      <c r="E153" s="357"/>
      <c r="F153" s="357"/>
      <c r="G153" s="26"/>
      <c r="H153" s="357"/>
      <c r="I153" s="96"/>
      <c r="J153" s="32" t="str">
        <f>IF(B153&lt;&gt;0,VLOOKUP(B153,#REF!,4,FALSE),"")</f>
        <v/>
      </c>
      <c r="L153" s="362">
        <f t="shared" si="122"/>
        <v>0</v>
      </c>
      <c r="M153" s="32"/>
      <c r="N153" s="2" t="str">
        <f>IF(B153&lt;&gt;0,VLOOKUP(B153,#REF!,2,FALSE),"")</f>
        <v/>
      </c>
      <c r="AY153" s="21"/>
      <c r="AZ153" s="481"/>
      <c r="BA153" s="239"/>
      <c r="BB153" s="239"/>
      <c r="BC153" s="481"/>
      <c r="BD153" s="481"/>
      <c r="BE153" s="481"/>
      <c r="BF153" s="481"/>
      <c r="BG153" s="21"/>
    </row>
    <row r="154" spans="1:59" s="34" customFormat="1" ht="60">
      <c r="A154" s="803" t="s">
        <v>4103</v>
      </c>
      <c r="B154" s="475">
        <v>92452</v>
      </c>
      <c r="C154" s="471" t="s">
        <v>1833</v>
      </c>
      <c r="D154" s="472" t="s">
        <v>12</v>
      </c>
      <c r="E154" s="472" t="s">
        <v>26</v>
      </c>
      <c r="F154" s="473">
        <v>122.44</v>
      </c>
      <c r="G154" s="473">
        <f t="shared" si="121"/>
        <v>86.716999999999999</v>
      </c>
      <c r="H154" s="473">
        <f t="shared" ref="H154:H163" si="125">ROUND(G154*(1+$J$14),2)</f>
        <v>109.97</v>
      </c>
      <c r="I154" s="473">
        <f t="shared" ref="I154:I163" si="126">ROUND(H154*F154,2)</f>
        <v>13464.73</v>
      </c>
      <c r="J154" s="477" t="e">
        <f>IF(B154&lt;&gt;0,VLOOKUP(B154,#REF!,4,FALSE),"")</f>
        <v>#REF!</v>
      </c>
      <c r="K154" s="476" t="s">
        <v>3216</v>
      </c>
      <c r="L154" s="378">
        <f t="shared" si="122"/>
        <v>10617.62948</v>
      </c>
      <c r="M154" s="477"/>
      <c r="N154" s="34" t="e">
        <f>IF(B154&lt;&gt;0,VLOOKUP(B154,#REF!,2,FALSE),"")</f>
        <v>#REF!</v>
      </c>
      <c r="AY154" s="577"/>
      <c r="AZ154" s="502"/>
      <c r="BA154" s="502"/>
      <c r="BB154" s="502"/>
      <c r="BC154" s="502"/>
      <c r="BD154" s="523">
        <f>BG154</f>
        <v>124.60000000000001</v>
      </c>
      <c r="BE154" s="523">
        <f>ROUND(BD154*(1+$J$14),2)</f>
        <v>158.01</v>
      </c>
      <c r="BF154" s="523">
        <f t="shared" ref="BF154:BF163" si="127">ROUND(BE154*F154,2)</f>
        <v>19346.740000000002</v>
      </c>
      <c r="BG154" s="577">
        <f>'COMPOSIÇÃO AB'!G164</f>
        <v>124.60000000000001</v>
      </c>
    </row>
    <row r="155" spans="1:59" s="34" customFormat="1" ht="60">
      <c r="A155" s="471" t="s">
        <v>754</v>
      </c>
      <c r="B155" s="475">
        <v>92481</v>
      </c>
      <c r="C155" s="471" t="s">
        <v>1535</v>
      </c>
      <c r="D155" s="472" t="s">
        <v>1915</v>
      </c>
      <c r="E155" s="472" t="s">
        <v>26</v>
      </c>
      <c r="F155" s="473">
        <v>77.42</v>
      </c>
      <c r="G155" s="473">
        <f t="shared" si="121"/>
        <v>197.89699999999999</v>
      </c>
      <c r="H155" s="473">
        <f t="shared" si="125"/>
        <v>250.95</v>
      </c>
      <c r="I155" s="473">
        <f t="shared" si="126"/>
        <v>19428.55</v>
      </c>
      <c r="J155" s="474">
        <f>'COMPOSIÇÃO DE CUSTOS'!G182</f>
        <v>197.9</v>
      </c>
      <c r="K155" s="378">
        <v>232.82</v>
      </c>
      <c r="L155" s="378">
        <f t="shared" si="122"/>
        <v>15321.185739999999</v>
      </c>
      <c r="M155" s="474"/>
      <c r="AY155" s="577"/>
      <c r="AZ155" s="502"/>
      <c r="BA155" s="502"/>
      <c r="BB155" s="502"/>
      <c r="BC155" s="502"/>
      <c r="BD155" s="523">
        <f>BG155</f>
        <v>284.67</v>
      </c>
      <c r="BE155" s="523">
        <f>ROUND(BD155*(1+$J$14),2)</f>
        <v>360.99</v>
      </c>
      <c r="BF155" s="523">
        <f t="shared" si="127"/>
        <v>27947.85</v>
      </c>
      <c r="BG155" s="577">
        <f>'COMPOSIÇÃO AB'!G208</f>
        <v>284.67</v>
      </c>
    </row>
    <row r="156" spans="1:59" s="27" customFormat="1" ht="60">
      <c r="A156" s="23" t="s">
        <v>755</v>
      </c>
      <c r="B156" s="24">
        <v>92759</v>
      </c>
      <c r="C156" s="23" t="s">
        <v>1536</v>
      </c>
      <c r="D156" s="25" t="s">
        <v>12</v>
      </c>
      <c r="E156" s="25" t="s">
        <v>45</v>
      </c>
      <c r="F156" s="26">
        <v>9</v>
      </c>
      <c r="G156" s="26">
        <f t="shared" si="121"/>
        <v>13.5915</v>
      </c>
      <c r="H156" s="26">
        <f t="shared" si="125"/>
        <v>17.239999999999998</v>
      </c>
      <c r="I156" s="26">
        <f t="shared" si="126"/>
        <v>155.16</v>
      </c>
      <c r="J156" s="27" t="e">
        <f>IF(B156&lt;&gt;0,VLOOKUP(B156,#REF!,4,FALSE),"")</f>
        <v>#REF!</v>
      </c>
      <c r="K156" s="376" t="s">
        <v>1854</v>
      </c>
      <c r="L156" s="365">
        <f t="shared" si="122"/>
        <v>122.3235</v>
      </c>
      <c r="N156" s="27" t="e">
        <f>IF(B156&lt;&gt;0,VLOOKUP(B156,#REF!,2,FALSE),"")</f>
        <v>#REF!</v>
      </c>
      <c r="AY156" s="552"/>
      <c r="AZ156" s="481"/>
      <c r="BA156" s="481"/>
      <c r="BB156" s="481"/>
      <c r="BC156" s="481"/>
      <c r="BD156" s="163">
        <f t="shared" ref="BD156" si="128">ROUND(G156*$BH$19,2)</f>
        <v>15.14</v>
      </c>
      <c r="BE156" s="163">
        <f t="shared" ref="BE156" si="129">ROUND(BD156*(1+$J$14),2)</f>
        <v>19.2</v>
      </c>
      <c r="BF156" s="163">
        <f t="shared" si="127"/>
        <v>172.8</v>
      </c>
      <c r="BG156" s="552"/>
    </row>
    <row r="157" spans="1:59" s="34" customFormat="1" ht="60">
      <c r="A157" s="803" t="s">
        <v>4104</v>
      </c>
      <c r="B157" s="475">
        <v>92760</v>
      </c>
      <c r="C157" s="471" t="s">
        <v>1537</v>
      </c>
      <c r="D157" s="472" t="s">
        <v>12</v>
      </c>
      <c r="E157" s="472" t="s">
        <v>45</v>
      </c>
      <c r="F157" s="473">
        <v>630</v>
      </c>
      <c r="G157" s="473">
        <f t="shared" si="121"/>
        <v>13.5915</v>
      </c>
      <c r="H157" s="473">
        <f t="shared" si="125"/>
        <v>17.239999999999998</v>
      </c>
      <c r="I157" s="473">
        <f t="shared" si="126"/>
        <v>10861.2</v>
      </c>
      <c r="J157" s="34" t="e">
        <f>IF(B157&lt;&gt;0,VLOOKUP(B157,#REF!,4,FALSE),"")</f>
        <v>#REF!</v>
      </c>
      <c r="K157" s="476" t="s">
        <v>1854</v>
      </c>
      <c r="L157" s="378">
        <f t="shared" si="122"/>
        <v>8562.6450000000004</v>
      </c>
      <c r="N157" s="34" t="e">
        <f>IF(B157&lt;&gt;0,VLOOKUP(B157,#REF!,2,FALSE),"")</f>
        <v>#REF!</v>
      </c>
      <c r="AY157" s="577"/>
      <c r="AZ157" s="502"/>
      <c r="BA157" s="523"/>
      <c r="BB157" s="502"/>
      <c r="BC157" s="502"/>
      <c r="BD157" s="523">
        <f>BG157</f>
        <v>13.069999999999999</v>
      </c>
      <c r="BE157" s="523">
        <f>ROUND(BD157*(1+$J$14),2)</f>
        <v>16.57</v>
      </c>
      <c r="BF157" s="523">
        <f t="shared" si="127"/>
        <v>10439.1</v>
      </c>
      <c r="BG157" s="577">
        <f>'COMPOSIÇÃO AB'!G80</f>
        <v>13.069999999999999</v>
      </c>
    </row>
    <row r="158" spans="1:59" s="27" customFormat="1" ht="60">
      <c r="A158" s="23" t="s">
        <v>757</v>
      </c>
      <c r="B158" s="24">
        <v>92761</v>
      </c>
      <c r="C158" s="23" t="s">
        <v>1538</v>
      </c>
      <c r="D158" s="25" t="s">
        <v>12</v>
      </c>
      <c r="E158" s="25" t="s">
        <v>45</v>
      </c>
      <c r="F158" s="26">
        <v>120</v>
      </c>
      <c r="G158" s="26">
        <f t="shared" si="121"/>
        <v>13.276999999999999</v>
      </c>
      <c r="H158" s="26">
        <f t="shared" si="125"/>
        <v>16.84</v>
      </c>
      <c r="I158" s="26">
        <f t="shared" si="126"/>
        <v>2020.8</v>
      </c>
      <c r="J158" s="27" t="e">
        <f>IF(B158&lt;&gt;0,VLOOKUP(B158,#REF!,4,FALSE),"")</f>
        <v>#REF!</v>
      </c>
      <c r="K158" s="376" t="s">
        <v>3217</v>
      </c>
      <c r="L158" s="365">
        <f t="shared" si="122"/>
        <v>1593.24</v>
      </c>
      <c r="N158" s="27" t="e">
        <f>IF(B158&lt;&gt;0,VLOOKUP(B158,#REF!,2,FALSE),"")</f>
        <v>#REF!</v>
      </c>
      <c r="AY158" s="552"/>
      <c r="AZ158" s="481"/>
      <c r="BA158" s="481"/>
      <c r="BB158" s="481"/>
      <c r="BC158" s="481"/>
      <c r="BD158" s="163">
        <f t="shared" ref="BD158" si="130">ROUND(G158*$BH$19,2)</f>
        <v>14.79</v>
      </c>
      <c r="BE158" s="163">
        <f t="shared" ref="BE158" si="131">ROUND(BD158*(1+$J$14),2)</f>
        <v>18.760000000000002</v>
      </c>
      <c r="BF158" s="163">
        <f t="shared" si="127"/>
        <v>2251.1999999999998</v>
      </c>
      <c r="BG158" s="552"/>
    </row>
    <row r="159" spans="1:59" s="34" customFormat="1" ht="60">
      <c r="A159" s="471" t="s">
        <v>758</v>
      </c>
      <c r="B159" s="475">
        <v>92762</v>
      </c>
      <c r="C159" s="471" t="s">
        <v>1539</v>
      </c>
      <c r="D159" s="472" t="s">
        <v>12</v>
      </c>
      <c r="E159" s="472" t="s">
        <v>45</v>
      </c>
      <c r="F159" s="473">
        <v>49</v>
      </c>
      <c r="G159" s="473">
        <f t="shared" si="121"/>
        <v>12.1295</v>
      </c>
      <c r="H159" s="473">
        <f t="shared" si="125"/>
        <v>15.38</v>
      </c>
      <c r="I159" s="473">
        <f t="shared" si="126"/>
        <v>753.62</v>
      </c>
      <c r="J159" s="34" t="e">
        <f>IF(B159&lt;&gt;0,VLOOKUP(B159,#REF!,4,FALSE),"")</f>
        <v>#REF!</v>
      </c>
      <c r="K159" s="476" t="s">
        <v>3154</v>
      </c>
      <c r="L159" s="378">
        <f t="shared" si="122"/>
        <v>594.34550000000002</v>
      </c>
      <c r="N159" s="34" t="e">
        <f>IF(B159&lt;&gt;0,VLOOKUP(B159,#REF!,2,FALSE),"")</f>
        <v>#REF!</v>
      </c>
      <c r="AY159" s="577"/>
      <c r="AZ159" s="502"/>
      <c r="BA159" s="523"/>
      <c r="BB159" s="502"/>
      <c r="BC159" s="502"/>
      <c r="BD159" s="523">
        <f>BG159</f>
        <v>11.49</v>
      </c>
      <c r="BE159" s="523">
        <f>ROUND(BD159*(1+$J$14),2)</f>
        <v>14.57</v>
      </c>
      <c r="BF159" s="523">
        <f t="shared" si="127"/>
        <v>713.93</v>
      </c>
      <c r="BG159" s="577">
        <f>'COMPOSIÇÃO AB'!G92</f>
        <v>11.49</v>
      </c>
    </row>
    <row r="160" spans="1:59" s="34" customFormat="1" ht="60">
      <c r="A160" s="471" t="s">
        <v>759</v>
      </c>
      <c r="B160" s="475">
        <v>92763</v>
      </c>
      <c r="C160" s="471" t="s">
        <v>1540</v>
      </c>
      <c r="D160" s="472" t="s">
        <v>12</v>
      </c>
      <c r="E160" s="472" t="s">
        <v>45</v>
      </c>
      <c r="F160" s="473">
        <v>451</v>
      </c>
      <c r="G160" s="473">
        <f t="shared" si="121"/>
        <v>10.361499999999999</v>
      </c>
      <c r="H160" s="473">
        <f t="shared" si="125"/>
        <v>13.14</v>
      </c>
      <c r="I160" s="473">
        <f t="shared" si="126"/>
        <v>5926.14</v>
      </c>
      <c r="J160" s="34" t="e">
        <f>IF(B160&lt;&gt;0,VLOOKUP(B160,#REF!,4,FALSE),"")</f>
        <v>#REF!</v>
      </c>
      <c r="K160" s="476" t="s">
        <v>3134</v>
      </c>
      <c r="L160" s="378">
        <f t="shared" si="122"/>
        <v>4673.0365000000002</v>
      </c>
      <c r="N160" s="34" t="e">
        <f>IF(B160&lt;&gt;0,VLOOKUP(B160,#REF!,2,FALSE),"")</f>
        <v>#REF!</v>
      </c>
      <c r="AY160" s="577"/>
      <c r="AZ160" s="502"/>
      <c r="BA160" s="523"/>
      <c r="BB160" s="502"/>
      <c r="BC160" s="502"/>
      <c r="BD160" s="523">
        <f>BG160</f>
        <v>10.50122</v>
      </c>
      <c r="BE160" s="523">
        <f>ROUND(BD160*(1+$J$14),2)</f>
        <v>13.32</v>
      </c>
      <c r="BF160" s="523">
        <f t="shared" si="127"/>
        <v>6007.32</v>
      </c>
      <c r="BG160" s="577">
        <f>'COMPOSIÇÃO AB'!G104</f>
        <v>10.50122</v>
      </c>
    </row>
    <row r="161" spans="1:60" s="34" customFormat="1" ht="60">
      <c r="A161" s="471" t="s">
        <v>760</v>
      </c>
      <c r="B161" s="475">
        <v>92764</v>
      </c>
      <c r="C161" s="471" t="s">
        <v>1541</v>
      </c>
      <c r="D161" s="472" t="s">
        <v>12</v>
      </c>
      <c r="E161" s="472" t="s">
        <v>45</v>
      </c>
      <c r="F161" s="473">
        <v>191</v>
      </c>
      <c r="G161" s="473">
        <f t="shared" si="121"/>
        <v>10.064</v>
      </c>
      <c r="H161" s="473">
        <f t="shared" si="125"/>
        <v>12.76</v>
      </c>
      <c r="I161" s="473">
        <f t="shared" si="126"/>
        <v>2437.16</v>
      </c>
      <c r="J161" s="34" t="e">
        <f>IF(B161&lt;&gt;0,VLOOKUP(B161,#REF!,4,FALSE),"")</f>
        <v>#REF!</v>
      </c>
      <c r="K161" s="476" t="s">
        <v>3044</v>
      </c>
      <c r="L161" s="378">
        <f t="shared" si="122"/>
        <v>1922.2239999999999</v>
      </c>
      <c r="N161" s="34" t="e">
        <f>IF(B161&lt;&gt;0,VLOOKUP(B161,#REF!,2,FALSE),"")</f>
        <v>#REF!</v>
      </c>
      <c r="AY161" s="577"/>
      <c r="AZ161" s="502"/>
      <c r="BA161" s="523"/>
      <c r="BB161" s="502"/>
      <c r="BC161" s="502"/>
      <c r="BD161" s="523">
        <f>BG161</f>
        <v>10.28</v>
      </c>
      <c r="BE161" s="523">
        <f>ROUND(BD161*(1+$J$14),2)</f>
        <v>13.04</v>
      </c>
      <c r="BF161" s="523">
        <f t="shared" si="127"/>
        <v>2490.64</v>
      </c>
      <c r="BG161" s="577">
        <f>'COMPOSIÇÃO AB'!G115</f>
        <v>10.28</v>
      </c>
    </row>
    <row r="162" spans="1:60" s="34" customFormat="1" ht="60">
      <c r="A162" s="471" t="s">
        <v>761</v>
      </c>
      <c r="B162" s="475">
        <v>92765</v>
      </c>
      <c r="C162" s="471" t="s">
        <v>1552</v>
      </c>
      <c r="D162" s="472" t="s">
        <v>12</v>
      </c>
      <c r="E162" s="472" t="s">
        <v>45</v>
      </c>
      <c r="F162" s="473">
        <v>132</v>
      </c>
      <c r="G162" s="473">
        <f t="shared" si="121"/>
        <v>11.542999999999999</v>
      </c>
      <c r="H162" s="473">
        <f t="shared" si="125"/>
        <v>14.64</v>
      </c>
      <c r="I162" s="473">
        <f t="shared" si="126"/>
        <v>1932.48</v>
      </c>
      <c r="J162" s="34" t="e">
        <f>IF(B162&lt;&gt;0,VLOOKUP(B162,#REF!,4,FALSE),"")</f>
        <v>#REF!</v>
      </c>
      <c r="K162" s="476" t="s">
        <v>1872</v>
      </c>
      <c r="L162" s="378">
        <f t="shared" si="122"/>
        <v>1523.6759999999999</v>
      </c>
      <c r="N162" s="34" t="e">
        <f>IF(B162&lt;&gt;0,VLOOKUP(B162,#REF!,2,FALSE),"")</f>
        <v>#REF!</v>
      </c>
      <c r="AY162" s="577"/>
      <c r="AZ162" s="502"/>
      <c r="BA162" s="523"/>
      <c r="BB162" s="502"/>
      <c r="BC162" s="502"/>
      <c r="BD162" s="523">
        <f>BG162</f>
        <v>10.6</v>
      </c>
      <c r="BE162" s="523">
        <f>ROUND(BD162*(1+$J$14),2)</f>
        <v>13.44</v>
      </c>
      <c r="BF162" s="523">
        <f t="shared" si="127"/>
        <v>1774.08</v>
      </c>
      <c r="BG162" s="577">
        <f>'COMPOSIÇÃO AB'!G126</f>
        <v>10.6</v>
      </c>
    </row>
    <row r="163" spans="1:60" s="34" customFormat="1" ht="75">
      <c r="A163" s="471" t="s">
        <v>762</v>
      </c>
      <c r="B163" s="475">
        <v>92725</v>
      </c>
      <c r="C163" s="471" t="s">
        <v>1542</v>
      </c>
      <c r="D163" s="472" t="s">
        <v>1915</v>
      </c>
      <c r="E163" s="472" t="s">
        <v>35</v>
      </c>
      <c r="F163" s="473">
        <v>22.86</v>
      </c>
      <c r="G163" s="473">
        <f t="shared" si="121"/>
        <v>394.35749999999996</v>
      </c>
      <c r="H163" s="473">
        <f t="shared" si="125"/>
        <v>500.08</v>
      </c>
      <c r="I163" s="473">
        <f t="shared" si="126"/>
        <v>11431.83</v>
      </c>
      <c r="J163" s="474">
        <f>J152</f>
        <v>394.36</v>
      </c>
      <c r="K163" s="378">
        <v>463.95</v>
      </c>
      <c r="L163" s="378">
        <f t="shared" si="122"/>
        <v>9015.0124499999984</v>
      </c>
      <c r="M163" s="474"/>
      <c r="AY163" s="577"/>
      <c r="AZ163" s="502"/>
      <c r="BA163" s="523"/>
      <c r="BB163" s="502"/>
      <c r="BC163" s="502"/>
      <c r="BD163" s="523">
        <f>BG163</f>
        <v>0</v>
      </c>
      <c r="BE163" s="523">
        <f>ROUND(BD163*(1+$J$14),2)</f>
        <v>0</v>
      </c>
      <c r="BF163" s="523">
        <f t="shared" si="127"/>
        <v>0</v>
      </c>
      <c r="BG163" s="577"/>
    </row>
    <row r="164" spans="1:60" ht="15" customHeight="1">
      <c r="A164" s="356" t="s">
        <v>763</v>
      </c>
      <c r="B164" s="356"/>
      <c r="C164" s="356" t="s">
        <v>64</v>
      </c>
      <c r="D164" s="357"/>
      <c r="E164" s="357"/>
      <c r="F164" s="357"/>
      <c r="G164" s="26"/>
      <c r="H164" s="357"/>
      <c r="I164" s="96"/>
      <c r="L164" s="362">
        <f t="shared" si="122"/>
        <v>0</v>
      </c>
      <c r="AY164" s="21"/>
      <c r="AZ164" s="481"/>
      <c r="BA164" s="481"/>
      <c r="BB164" s="481"/>
      <c r="BC164" s="481"/>
      <c r="BD164" s="821"/>
      <c r="BE164" s="821"/>
      <c r="BF164" s="821"/>
    </row>
    <row r="165" spans="1:60" s="62" customFormat="1">
      <c r="A165" s="286" t="s">
        <v>3371</v>
      </c>
      <c r="B165" s="356"/>
      <c r="C165" s="356" t="s">
        <v>65</v>
      </c>
      <c r="D165" s="357"/>
      <c r="E165" s="357"/>
      <c r="F165" s="357"/>
      <c r="G165" s="26"/>
      <c r="H165" s="357"/>
      <c r="I165" s="96"/>
      <c r="K165" s="379"/>
      <c r="L165" s="362">
        <f t="shared" si="122"/>
        <v>0</v>
      </c>
      <c r="AY165" s="221"/>
      <c r="AZ165" s="481"/>
      <c r="BA165" s="481"/>
      <c r="BB165" s="481"/>
      <c r="BC165" s="481"/>
      <c r="BD165" s="481"/>
      <c r="BE165" s="481"/>
      <c r="BF165" s="481"/>
      <c r="BG165" s="556" t="s">
        <v>4091</v>
      </c>
      <c r="BH165" s="2"/>
    </row>
    <row r="166" spans="1:60" s="34" customFormat="1" ht="111" customHeight="1">
      <c r="A166" s="803" t="s">
        <v>3372</v>
      </c>
      <c r="B166" s="475">
        <v>11914</v>
      </c>
      <c r="C166" s="471" t="s">
        <v>66</v>
      </c>
      <c r="D166" s="472" t="s">
        <v>44</v>
      </c>
      <c r="E166" s="472" t="s">
        <v>26</v>
      </c>
      <c r="F166" s="473">
        <v>672.47</v>
      </c>
      <c r="G166" s="473">
        <f t="shared" si="121"/>
        <v>174.726</v>
      </c>
      <c r="H166" s="473">
        <f>ROUND(G166*(1+$J$14),2)</f>
        <v>221.57</v>
      </c>
      <c r="I166" s="473">
        <f>ROUND(H166*F166,2)</f>
        <v>148999.18</v>
      </c>
      <c r="J166" s="474">
        <f>'COMPOSIÇÃO DE CUSTOS'!G192</f>
        <v>182.85</v>
      </c>
      <c r="K166" s="378">
        <v>205.56</v>
      </c>
      <c r="L166" s="378">
        <f t="shared" si="122"/>
        <v>117497.99322</v>
      </c>
      <c r="M166" s="474"/>
      <c r="AY166" s="577"/>
      <c r="AZ166" s="502"/>
      <c r="BA166" s="502"/>
      <c r="BB166" s="502"/>
      <c r="BC166" s="502"/>
      <c r="BD166" s="523">
        <f>AVERAGE(BG166:BH166)</f>
        <v>239.74358974358975</v>
      </c>
      <c r="BE166" s="523">
        <f>ROUND(BD166*(1+$J$14),2)</f>
        <v>304.02</v>
      </c>
      <c r="BF166" s="523">
        <f>ROUND(BE166*F166,2)</f>
        <v>204444.33</v>
      </c>
      <c r="BG166" s="502">
        <f>168300/702</f>
        <v>239.74358974358975</v>
      </c>
    </row>
    <row r="167" spans="1:60" s="34" customFormat="1" ht="45">
      <c r="A167" s="803" t="s">
        <v>3373</v>
      </c>
      <c r="B167" s="475">
        <v>11489</v>
      </c>
      <c r="C167" s="471" t="s">
        <v>67</v>
      </c>
      <c r="D167" s="472" t="s">
        <v>44</v>
      </c>
      <c r="E167" s="472" t="s">
        <v>26</v>
      </c>
      <c r="F167" s="473">
        <v>672.47</v>
      </c>
      <c r="G167" s="473">
        <f t="shared" si="121"/>
        <v>382.5</v>
      </c>
      <c r="H167" s="473">
        <f>ROUND(G167*(1+$J$14),2)</f>
        <v>485.05</v>
      </c>
      <c r="I167" s="473">
        <f>ROUND(H167*F167,2)</f>
        <v>326181.57</v>
      </c>
      <c r="J167" s="474">
        <f>'COMPOSIÇÃO DE CUSTOS'!G197</f>
        <v>382.5</v>
      </c>
      <c r="K167" s="378">
        <v>450</v>
      </c>
      <c r="L167" s="378">
        <f t="shared" si="122"/>
        <v>257219.77500000002</v>
      </c>
      <c r="M167" s="474"/>
      <c r="AY167" s="577"/>
      <c r="AZ167" s="502"/>
      <c r="BA167" s="502"/>
      <c r="BB167" s="502"/>
      <c r="BC167" s="502"/>
      <c r="BD167" s="523">
        <f>AVERAGE(BG167:BH167)</f>
        <v>435.73504273504273</v>
      </c>
      <c r="BE167" s="523">
        <f>ROUND(BD167*(1+$J$14),2)</f>
        <v>552.55999999999995</v>
      </c>
      <c r="BF167" s="523">
        <f>ROUND(BE167*F167,2)</f>
        <v>371580.02</v>
      </c>
      <c r="BG167" s="502">
        <f>(289926+15960)/702</f>
        <v>435.73504273504273</v>
      </c>
    </row>
    <row r="168" spans="1:60" ht="15" customHeight="1">
      <c r="A168" s="286" t="s">
        <v>3374</v>
      </c>
      <c r="B168" s="356"/>
      <c r="C168" s="356" t="s">
        <v>69</v>
      </c>
      <c r="D168" s="357"/>
      <c r="E168" s="357"/>
      <c r="F168" s="357"/>
      <c r="G168" s="26"/>
      <c r="H168" s="357"/>
      <c r="I168" s="96"/>
      <c r="L168" s="362">
        <f t="shared" si="122"/>
        <v>0</v>
      </c>
      <c r="AY168" s="21"/>
      <c r="AZ168" s="481"/>
      <c r="BA168" s="481"/>
      <c r="BB168" s="481"/>
      <c r="BC168" s="481"/>
      <c r="BD168" s="481"/>
      <c r="BE168" s="481"/>
      <c r="BF168" s="481"/>
    </row>
    <row r="169" spans="1:60" s="45" customFormat="1" ht="96.75" customHeight="1">
      <c r="A169" s="41" t="s">
        <v>3375</v>
      </c>
      <c r="B169" s="24">
        <v>72111</v>
      </c>
      <c r="C169" s="23" t="s">
        <v>2567</v>
      </c>
      <c r="D169" s="25" t="s">
        <v>1915</v>
      </c>
      <c r="E169" s="25" t="s">
        <v>26</v>
      </c>
      <c r="F169" s="26">
        <v>27.85</v>
      </c>
      <c r="G169" s="26">
        <f t="shared" si="121"/>
        <v>106.063</v>
      </c>
      <c r="H169" s="26">
        <f>ROUND(G169*(1+$J$14),2)</f>
        <v>134.5</v>
      </c>
      <c r="I169" s="26">
        <f>ROUND(H169*F169,2)</f>
        <v>3745.83</v>
      </c>
      <c r="J169" s="49">
        <f>'COMPOSIÇÃO DE CUSTOS'!G2279</f>
        <v>106.07</v>
      </c>
      <c r="K169" s="364">
        <v>124.78</v>
      </c>
      <c r="L169" s="362">
        <f t="shared" si="122"/>
        <v>2953.85455</v>
      </c>
      <c r="M169" s="49"/>
      <c r="AY169" s="56"/>
      <c r="AZ169" s="481"/>
      <c r="BA169" s="481"/>
      <c r="BB169" s="481"/>
      <c r="BC169" s="481"/>
      <c r="BD169" s="163">
        <f t="shared" ref="BD169" si="132">ROUND(G169*$BH$19,2)</f>
        <v>118.16</v>
      </c>
      <c r="BE169" s="163">
        <f>ROUND(BD169*(1+$J$14),2)</f>
        <v>149.84</v>
      </c>
      <c r="BF169" s="163">
        <f>ROUND(BE169*F169,2)</f>
        <v>4173.04</v>
      </c>
    </row>
    <row r="170" spans="1:60" ht="26.25" customHeight="1">
      <c r="A170" s="23"/>
      <c r="B170" s="25"/>
      <c r="C170" s="23"/>
      <c r="D170" s="25"/>
      <c r="E170" s="25"/>
      <c r="F170" s="26"/>
      <c r="G170" s="26"/>
      <c r="H170" s="26"/>
      <c r="I170" s="26"/>
      <c r="L170" s="362">
        <f t="shared" si="122"/>
        <v>0</v>
      </c>
      <c r="AY170" s="21"/>
      <c r="AZ170" s="481"/>
      <c r="BA170" s="481"/>
      <c r="BB170" s="481"/>
      <c r="BC170" s="481"/>
      <c r="BD170" s="481"/>
      <c r="BE170" s="481"/>
      <c r="BF170" s="481"/>
    </row>
    <row r="171" spans="1:60" ht="15" customHeight="1">
      <c r="A171" s="356" t="s">
        <v>766</v>
      </c>
      <c r="B171" s="356"/>
      <c r="C171" s="356" t="s">
        <v>71</v>
      </c>
      <c r="D171" s="357"/>
      <c r="E171" s="357"/>
      <c r="F171" s="357"/>
      <c r="G171" s="26"/>
      <c r="H171" s="357"/>
      <c r="I171" s="96">
        <f>ROUND(SUM(I172:I173),2)</f>
        <v>76702.02</v>
      </c>
      <c r="L171" s="362">
        <f t="shared" si="122"/>
        <v>0</v>
      </c>
      <c r="AY171" s="21"/>
      <c r="AZ171" s="481"/>
      <c r="BA171" s="481"/>
      <c r="BB171" s="481"/>
      <c r="BC171" s="481"/>
      <c r="BD171" s="481"/>
      <c r="BE171" s="481"/>
      <c r="BF171" s="96">
        <f>ROUND(SUM(BF172:BF173),2)</f>
        <v>80081.56</v>
      </c>
    </row>
    <row r="172" spans="1:60" s="34" customFormat="1" ht="105">
      <c r="A172" s="471" t="s">
        <v>767</v>
      </c>
      <c r="B172" s="478" t="s">
        <v>2498</v>
      </c>
      <c r="C172" s="471" t="s">
        <v>72</v>
      </c>
      <c r="D172" s="472" t="s">
        <v>1915</v>
      </c>
      <c r="E172" s="472" t="s">
        <v>17</v>
      </c>
      <c r="F172" s="473">
        <v>58</v>
      </c>
      <c r="G172" s="473">
        <f t="shared" si="121"/>
        <v>745.88350000000003</v>
      </c>
      <c r="H172" s="473">
        <f>ROUND(G172*(1+$J$14),2)</f>
        <v>945.85</v>
      </c>
      <c r="I172" s="473">
        <f>ROUND(H172*F172,2)</f>
        <v>54859.3</v>
      </c>
      <c r="J172" s="474">
        <f>'COMPOSIÇÃO DE CUSTOS'!G206</f>
        <v>745.89</v>
      </c>
      <c r="K172" s="378">
        <v>877.51</v>
      </c>
      <c r="L172" s="378">
        <f t="shared" si="122"/>
        <v>43261.243000000002</v>
      </c>
      <c r="M172" s="474"/>
      <c r="AY172" s="577"/>
      <c r="AZ172" s="502"/>
      <c r="BA172" s="502"/>
      <c r="BB172" s="502"/>
      <c r="BC172" s="502"/>
      <c r="BD172" s="523">
        <f>BG172</f>
        <v>757.97</v>
      </c>
      <c r="BE172" s="523">
        <f>ROUND(BD172*(1+$J$14),2)</f>
        <v>961.18</v>
      </c>
      <c r="BF172" s="523">
        <f>ROUND(BE172*F172,2)</f>
        <v>55748.44</v>
      </c>
      <c r="BG172" s="34">
        <f>'COMPOSIÇÃO AB'!G309</f>
        <v>757.97</v>
      </c>
    </row>
    <row r="173" spans="1:60" ht="105">
      <c r="A173" s="23" t="s">
        <v>768</v>
      </c>
      <c r="B173" s="140" t="s">
        <v>2500</v>
      </c>
      <c r="C173" s="23" t="s">
        <v>73</v>
      </c>
      <c r="D173" s="25" t="s">
        <v>1915</v>
      </c>
      <c r="E173" s="25" t="s">
        <v>17</v>
      </c>
      <c r="F173" s="26">
        <v>16</v>
      </c>
      <c r="G173" s="26">
        <f t="shared" si="121"/>
        <v>1076.5505000000001</v>
      </c>
      <c r="H173" s="26">
        <f>ROUND(G173*(1+$J$14),2)</f>
        <v>1365.17</v>
      </c>
      <c r="I173" s="26">
        <f>ROUND(H173*F173,2)</f>
        <v>21842.720000000001</v>
      </c>
      <c r="J173" s="38">
        <f>'COMPOSIÇÃO DE CUSTOS'!G216</f>
        <v>1076.56</v>
      </c>
      <c r="K173" s="375">
        <v>1266.53</v>
      </c>
      <c r="L173" s="362">
        <f t="shared" si="122"/>
        <v>17224.808000000001</v>
      </c>
      <c r="M173" s="38"/>
      <c r="AY173" s="21"/>
      <c r="AZ173" s="481"/>
      <c r="BA173" s="481"/>
      <c r="BB173" s="481"/>
      <c r="BC173" s="481"/>
      <c r="BD173" s="163">
        <f t="shared" ref="BD173" si="133">ROUND(G173*$BH$19,2)</f>
        <v>1199.29</v>
      </c>
      <c r="BE173" s="163">
        <f>ROUND(BD173*(1+$J$14),2)</f>
        <v>1520.82</v>
      </c>
      <c r="BF173" s="163">
        <f>ROUND(BE173*F173,2)</f>
        <v>24333.119999999999</v>
      </c>
    </row>
    <row r="174" spans="1:60" ht="33.75" customHeight="1">
      <c r="A174" s="23"/>
      <c r="B174" s="25"/>
      <c r="C174" s="23"/>
      <c r="D174" s="25"/>
      <c r="E174" s="25"/>
      <c r="F174" s="26"/>
      <c r="G174" s="26"/>
      <c r="H174" s="26"/>
      <c r="I174" s="26"/>
      <c r="L174" s="362">
        <f t="shared" si="122"/>
        <v>0</v>
      </c>
      <c r="AY174" s="21"/>
      <c r="AZ174" s="481"/>
      <c r="BA174" s="481"/>
      <c r="BB174" s="481"/>
      <c r="BC174" s="481"/>
      <c r="BD174" s="481"/>
      <c r="BE174" s="481"/>
      <c r="BF174" s="481"/>
    </row>
    <row r="175" spans="1:60" s="45" customFormat="1" ht="15" customHeight="1">
      <c r="A175" s="356" t="s">
        <v>769</v>
      </c>
      <c r="B175" s="356"/>
      <c r="C175" s="356" t="s">
        <v>74</v>
      </c>
      <c r="D175" s="357"/>
      <c r="E175" s="357"/>
      <c r="F175" s="357"/>
      <c r="G175" s="26"/>
      <c r="H175" s="357"/>
      <c r="I175" s="96">
        <f>ROUND(SUM(I177:I186),2)</f>
        <v>90822.65</v>
      </c>
      <c r="K175" s="381"/>
      <c r="L175" s="362">
        <f t="shared" si="122"/>
        <v>0</v>
      </c>
      <c r="AY175" s="56"/>
      <c r="AZ175" s="481"/>
      <c r="BA175" s="481"/>
      <c r="BB175" s="481"/>
      <c r="BC175" s="481"/>
      <c r="BD175" s="481"/>
      <c r="BE175" s="481"/>
      <c r="BF175" s="96">
        <f>ROUND(SUM(BF177:BF186),2)</f>
        <v>253300.45</v>
      </c>
    </row>
    <row r="176" spans="1:60" s="62" customFormat="1">
      <c r="A176" s="356" t="s">
        <v>770</v>
      </c>
      <c r="B176" s="356"/>
      <c r="C176" s="356" t="s">
        <v>75</v>
      </c>
      <c r="D176" s="357"/>
      <c r="E176" s="357"/>
      <c r="F176" s="357"/>
      <c r="G176" s="26"/>
      <c r="H176" s="357"/>
      <c r="I176" s="96"/>
      <c r="K176" s="379"/>
      <c r="L176" s="362">
        <f t="shared" si="122"/>
        <v>0</v>
      </c>
      <c r="AY176" s="221"/>
      <c r="AZ176" s="481"/>
      <c r="BA176" s="481"/>
      <c r="BB176" s="481"/>
      <c r="BC176" s="481"/>
      <c r="BD176" s="481"/>
      <c r="BE176" s="481"/>
      <c r="BF176" s="481"/>
    </row>
    <row r="177" spans="1:64" s="62" customFormat="1" ht="78.75" customHeight="1">
      <c r="A177" s="23" t="s">
        <v>771</v>
      </c>
      <c r="B177" s="24" t="s">
        <v>2629</v>
      </c>
      <c r="C177" s="23" t="s">
        <v>76</v>
      </c>
      <c r="D177" s="25" t="s">
        <v>1915</v>
      </c>
      <c r="E177" s="25" t="s">
        <v>17</v>
      </c>
      <c r="F177" s="26">
        <v>4</v>
      </c>
      <c r="G177" s="26">
        <f t="shared" si="121"/>
        <v>1132.2085</v>
      </c>
      <c r="H177" s="26">
        <f t="shared" ref="H177:H184" si="134">ROUND(G177*(1+$J$14),2)</f>
        <v>1435.75</v>
      </c>
      <c r="I177" s="26">
        <f t="shared" ref="I177:I184" si="135">ROUND(H177*F177,2)</f>
        <v>5743</v>
      </c>
      <c r="J177" s="64">
        <f>'COMPOSIÇÃO DE CUSTOS'!G226</f>
        <v>1132.21</v>
      </c>
      <c r="K177" s="362">
        <v>1332.01</v>
      </c>
      <c r="L177" s="362">
        <f t="shared" si="122"/>
        <v>4528.8339999999998</v>
      </c>
      <c r="M177" s="64"/>
      <c r="AY177" s="221"/>
      <c r="AZ177" s="481"/>
      <c r="BA177" s="481"/>
      <c r="BB177" s="481"/>
      <c r="BC177" s="481"/>
      <c r="BD177" s="163">
        <f t="shared" ref="BD177" si="136">ROUND(G177*$BH$19,2)</f>
        <v>1261.29</v>
      </c>
      <c r="BE177" s="163">
        <f t="shared" ref="BE177:BE184" si="137">ROUND(BD177*(1+$J$14),2)</f>
        <v>1599.44</v>
      </c>
      <c r="BF177" s="163">
        <f t="shared" ref="BF177:BF184" si="138">ROUND(BE177*F177,2)</f>
        <v>6397.76</v>
      </c>
    </row>
    <row r="178" spans="1:64" s="62" customFormat="1" ht="30">
      <c r="A178" s="23" t="s">
        <v>772</v>
      </c>
      <c r="B178" s="24">
        <v>90838</v>
      </c>
      <c r="C178" s="23" t="s">
        <v>77</v>
      </c>
      <c r="D178" s="25" t="s">
        <v>1915</v>
      </c>
      <c r="E178" s="25" t="s">
        <v>17</v>
      </c>
      <c r="F178" s="26">
        <v>6</v>
      </c>
      <c r="G178" s="26">
        <f t="shared" si="121"/>
        <v>1392.3764999999999</v>
      </c>
      <c r="H178" s="26">
        <f t="shared" si="134"/>
        <v>1765.67</v>
      </c>
      <c r="I178" s="26">
        <f t="shared" si="135"/>
        <v>10594.02</v>
      </c>
      <c r="J178" s="64">
        <f>'COMPOSIÇÃO DE CUSTOS'!G235</f>
        <v>1392.38</v>
      </c>
      <c r="K178" s="362">
        <v>1638.09</v>
      </c>
      <c r="L178" s="362">
        <f t="shared" si="122"/>
        <v>8354.2589999999982</v>
      </c>
      <c r="M178" s="64"/>
      <c r="AY178" s="221"/>
      <c r="AZ178" s="481"/>
      <c r="BA178" s="481"/>
      <c r="BB178" s="481"/>
      <c r="BC178" s="481"/>
      <c r="BD178" s="163">
        <f t="shared" ref="BD178:BD184" si="139">ROUND(G178*$BH$19,2)</f>
        <v>1551.12</v>
      </c>
      <c r="BE178" s="163">
        <f t="shared" si="137"/>
        <v>1966.98</v>
      </c>
      <c r="BF178" s="163">
        <f t="shared" si="138"/>
        <v>11801.88</v>
      </c>
    </row>
    <row r="179" spans="1:64" s="62" customFormat="1" ht="45">
      <c r="A179" s="23" t="s">
        <v>773</v>
      </c>
      <c r="B179" s="24" t="s">
        <v>2631</v>
      </c>
      <c r="C179" s="23" t="s">
        <v>78</v>
      </c>
      <c r="D179" s="25" t="s">
        <v>1915</v>
      </c>
      <c r="E179" s="25" t="s">
        <v>17</v>
      </c>
      <c r="F179" s="26">
        <v>3</v>
      </c>
      <c r="G179" s="26">
        <f t="shared" si="121"/>
        <v>1495.1075000000001</v>
      </c>
      <c r="H179" s="26">
        <f t="shared" si="134"/>
        <v>1895.95</v>
      </c>
      <c r="I179" s="26">
        <f t="shared" si="135"/>
        <v>5687.85</v>
      </c>
      <c r="J179" s="64">
        <f>'COMPOSIÇÃO DE CUSTOS'!G249</f>
        <v>1495.1</v>
      </c>
      <c r="K179" s="362">
        <v>1758.95</v>
      </c>
      <c r="L179" s="362">
        <f t="shared" si="122"/>
        <v>4485.3225000000002</v>
      </c>
      <c r="M179" s="64"/>
      <c r="AY179" s="221"/>
      <c r="AZ179" s="481"/>
      <c r="BA179" s="481"/>
      <c r="BB179" s="481"/>
      <c r="BC179" s="481"/>
      <c r="BD179" s="163">
        <f t="shared" si="139"/>
        <v>1665.56</v>
      </c>
      <c r="BE179" s="163">
        <f t="shared" si="137"/>
        <v>2112.1</v>
      </c>
      <c r="BF179" s="163">
        <f t="shared" si="138"/>
        <v>6336.3</v>
      </c>
    </row>
    <row r="180" spans="1:64" s="62" customFormat="1" ht="45">
      <c r="A180" s="23" t="s">
        <v>774</v>
      </c>
      <c r="B180" s="24" t="s">
        <v>2632</v>
      </c>
      <c r="C180" s="23" t="s">
        <v>79</v>
      </c>
      <c r="D180" s="25" t="s">
        <v>1915</v>
      </c>
      <c r="E180" s="25" t="s">
        <v>17</v>
      </c>
      <c r="F180" s="26">
        <v>1</v>
      </c>
      <c r="G180" s="26">
        <f t="shared" si="121"/>
        <v>1631.558</v>
      </c>
      <c r="H180" s="26">
        <f t="shared" si="134"/>
        <v>2068.98</v>
      </c>
      <c r="I180" s="26">
        <f t="shared" si="135"/>
        <v>2068.98</v>
      </c>
      <c r="J180" s="64">
        <f>'COMPOSIÇÃO DE CUSTOS'!G263</f>
        <v>1631.55</v>
      </c>
      <c r="K180" s="362">
        <v>1919.48</v>
      </c>
      <c r="L180" s="362">
        <f t="shared" si="122"/>
        <v>1631.558</v>
      </c>
      <c r="M180" s="64"/>
      <c r="AY180" s="221"/>
      <c r="AZ180" s="481"/>
      <c r="BA180" s="481"/>
      <c r="BB180" s="481"/>
      <c r="BC180" s="481"/>
      <c r="BD180" s="163">
        <f t="shared" si="139"/>
        <v>1817.57</v>
      </c>
      <c r="BE180" s="163">
        <f t="shared" si="137"/>
        <v>2304.86</v>
      </c>
      <c r="BF180" s="163">
        <f t="shared" si="138"/>
        <v>2304.86</v>
      </c>
    </row>
    <row r="181" spans="1:64" s="62" customFormat="1" ht="45">
      <c r="A181" s="23" t="s">
        <v>775</v>
      </c>
      <c r="B181" s="24">
        <v>10812</v>
      </c>
      <c r="C181" s="23" t="s">
        <v>2061</v>
      </c>
      <c r="D181" s="25" t="s">
        <v>44</v>
      </c>
      <c r="E181" s="25" t="s">
        <v>52</v>
      </c>
      <c r="F181" s="26">
        <v>1.5</v>
      </c>
      <c r="G181" s="26">
        <f t="shared" si="121"/>
        <v>268.37049999999999</v>
      </c>
      <c r="H181" s="26">
        <f t="shared" si="134"/>
        <v>340.32</v>
      </c>
      <c r="I181" s="26">
        <f t="shared" si="135"/>
        <v>510.48</v>
      </c>
      <c r="J181" s="64">
        <f>'COMPOSIÇÃO DE CUSTOS'!G2097</f>
        <v>268.36</v>
      </c>
      <c r="K181" s="362">
        <v>315.73</v>
      </c>
      <c r="L181" s="362">
        <f t="shared" si="122"/>
        <v>402.55574999999999</v>
      </c>
      <c r="M181" s="64"/>
      <c r="AY181" s="221"/>
      <c r="AZ181" s="481"/>
      <c r="BA181" s="481"/>
      <c r="BB181" s="481"/>
      <c r="BC181" s="481"/>
      <c r="BD181" s="163">
        <f t="shared" si="139"/>
        <v>298.97000000000003</v>
      </c>
      <c r="BE181" s="163">
        <f t="shared" si="137"/>
        <v>379.12</v>
      </c>
      <c r="BF181" s="163">
        <f t="shared" si="138"/>
        <v>568.67999999999995</v>
      </c>
    </row>
    <row r="182" spans="1:64" s="62" customFormat="1" ht="45">
      <c r="A182" s="23" t="s">
        <v>776</v>
      </c>
      <c r="B182" s="24" t="s">
        <v>2635</v>
      </c>
      <c r="C182" s="23" t="s">
        <v>80</v>
      </c>
      <c r="D182" s="25" t="s">
        <v>1915</v>
      </c>
      <c r="E182" s="25" t="s">
        <v>17</v>
      </c>
      <c r="F182" s="26">
        <v>1</v>
      </c>
      <c r="G182" s="26">
        <f t="shared" si="121"/>
        <v>1428.2804999999998</v>
      </c>
      <c r="H182" s="26">
        <f t="shared" si="134"/>
        <v>1811.2</v>
      </c>
      <c r="I182" s="26">
        <f t="shared" si="135"/>
        <v>1811.2</v>
      </c>
      <c r="J182" s="64">
        <f>'COMPOSIÇÃO DE CUSTOS'!G277</f>
        <v>1428.27</v>
      </c>
      <c r="K182" s="362">
        <v>1680.33</v>
      </c>
      <c r="L182" s="362">
        <f t="shared" si="122"/>
        <v>1428.2804999999998</v>
      </c>
      <c r="M182" s="64"/>
      <c r="AY182" s="221"/>
      <c r="AZ182" s="481"/>
      <c r="BA182" s="481"/>
      <c r="BB182" s="481"/>
      <c r="BC182" s="481"/>
      <c r="BD182" s="163">
        <f t="shared" si="139"/>
        <v>1591.12</v>
      </c>
      <c r="BE182" s="163">
        <f t="shared" si="137"/>
        <v>2017.7</v>
      </c>
      <c r="BF182" s="163">
        <f t="shared" si="138"/>
        <v>2017.7</v>
      </c>
    </row>
    <row r="183" spans="1:64" s="62" customFormat="1" ht="60">
      <c r="A183" s="23" t="s">
        <v>777</v>
      </c>
      <c r="B183" s="25" t="s">
        <v>2063</v>
      </c>
      <c r="C183" s="23" t="s">
        <v>81</v>
      </c>
      <c r="D183" s="25" t="s">
        <v>1915</v>
      </c>
      <c r="E183" s="25" t="s">
        <v>17</v>
      </c>
      <c r="F183" s="26">
        <v>2</v>
      </c>
      <c r="G183" s="26">
        <f t="shared" si="121"/>
        <v>652.94449999999995</v>
      </c>
      <c r="H183" s="26">
        <f t="shared" si="134"/>
        <v>828</v>
      </c>
      <c r="I183" s="26">
        <f t="shared" si="135"/>
        <v>1656</v>
      </c>
      <c r="J183" s="64">
        <f>'COMPOSIÇÃO DE CUSTOS'!G288</f>
        <v>652.96</v>
      </c>
      <c r="K183" s="362">
        <v>768.17</v>
      </c>
      <c r="L183" s="362">
        <f t="shared" si="122"/>
        <v>1305.8889999999999</v>
      </c>
      <c r="M183" s="64"/>
      <c r="AY183" s="221"/>
      <c r="AZ183" s="481"/>
      <c r="BA183" s="481"/>
      <c r="BB183" s="481"/>
      <c r="BC183" s="481"/>
      <c r="BD183" s="163">
        <f t="shared" si="139"/>
        <v>727.39</v>
      </c>
      <c r="BE183" s="163">
        <f t="shared" si="137"/>
        <v>922.4</v>
      </c>
      <c r="BF183" s="163">
        <f t="shared" si="138"/>
        <v>1844.8</v>
      </c>
    </row>
    <row r="184" spans="1:64" s="62" customFormat="1" ht="65.25" customHeight="1">
      <c r="A184" s="23" t="s">
        <v>2674</v>
      </c>
      <c r="B184" s="24">
        <v>11946</v>
      </c>
      <c r="C184" s="23" t="s">
        <v>2064</v>
      </c>
      <c r="D184" s="25" t="s">
        <v>44</v>
      </c>
      <c r="E184" s="25" t="s">
        <v>26</v>
      </c>
      <c r="F184" s="26">
        <v>5</v>
      </c>
      <c r="G184" s="26">
        <f t="shared" si="121"/>
        <v>266.06700000000001</v>
      </c>
      <c r="H184" s="26">
        <f t="shared" si="134"/>
        <v>337.4</v>
      </c>
      <c r="I184" s="26">
        <f t="shared" si="135"/>
        <v>1687</v>
      </c>
      <c r="J184" s="64">
        <f>'COMPOSIÇÃO DE CUSTOS'!G2060</f>
        <v>266.07</v>
      </c>
      <c r="K184" s="362">
        <v>313.02</v>
      </c>
      <c r="L184" s="362">
        <f t="shared" si="122"/>
        <v>1330.335</v>
      </c>
      <c r="M184" s="64"/>
      <c r="AY184" s="221"/>
      <c r="AZ184" s="481"/>
      <c r="BA184" s="481"/>
      <c r="BB184" s="481"/>
      <c r="BC184" s="481"/>
      <c r="BD184" s="163">
        <f t="shared" si="139"/>
        <v>296.39999999999998</v>
      </c>
      <c r="BE184" s="163">
        <f t="shared" si="137"/>
        <v>375.86</v>
      </c>
      <c r="BF184" s="163">
        <f t="shared" si="138"/>
        <v>1879.3</v>
      </c>
    </row>
    <row r="185" spans="1:64" s="62" customFormat="1">
      <c r="A185" s="356" t="s">
        <v>778</v>
      </c>
      <c r="B185" s="356"/>
      <c r="C185" s="356" t="s">
        <v>82</v>
      </c>
      <c r="D185" s="357"/>
      <c r="E185" s="357"/>
      <c r="F185" s="357"/>
      <c r="G185" s="26"/>
      <c r="H185" s="357"/>
      <c r="I185" s="96"/>
      <c r="J185" s="64"/>
      <c r="K185" s="362"/>
      <c r="L185" s="362">
        <f t="shared" si="122"/>
        <v>0</v>
      </c>
      <c r="M185" s="64"/>
      <c r="AY185" s="221"/>
      <c r="AZ185" s="481"/>
      <c r="BA185" s="481"/>
      <c r="BB185" s="481"/>
      <c r="BC185" s="481"/>
      <c r="BD185" s="481"/>
      <c r="BE185" s="481"/>
      <c r="BF185" s="792"/>
      <c r="BG185" s="556" t="s">
        <v>4088</v>
      </c>
      <c r="BH185" s="556" t="s">
        <v>4089</v>
      </c>
    </row>
    <row r="186" spans="1:64" s="34" customFormat="1" ht="51" customHeight="1">
      <c r="A186" s="471" t="s">
        <v>779</v>
      </c>
      <c r="B186" s="475">
        <v>94575</v>
      </c>
      <c r="C186" s="471" t="s">
        <v>83</v>
      </c>
      <c r="D186" s="472" t="s">
        <v>1915</v>
      </c>
      <c r="E186" s="472" t="s">
        <v>26</v>
      </c>
      <c r="F186" s="473">
        <v>139.26</v>
      </c>
      <c r="G186" s="473">
        <f t="shared" si="121"/>
        <v>345.7885</v>
      </c>
      <c r="H186" s="473">
        <f>ROUND(G186*(1+$J$14),2)</f>
        <v>438.49</v>
      </c>
      <c r="I186" s="473">
        <f>ROUND(H186*F186,2)</f>
        <v>61064.12</v>
      </c>
      <c r="J186" s="474">
        <f>'COMPOSIÇÃO DE CUSTOS'!G299</f>
        <v>345.79</v>
      </c>
      <c r="K186" s="378">
        <v>406.81</v>
      </c>
      <c r="L186" s="378">
        <f t="shared" si="122"/>
        <v>48154.506509999999</v>
      </c>
      <c r="M186" s="474"/>
      <c r="AY186" s="577"/>
      <c r="AZ186" s="502"/>
      <c r="BA186" s="502"/>
      <c r="BB186" s="502"/>
      <c r="BC186" s="502"/>
      <c r="BD186" s="523">
        <f>MEDIAN(BG186:BH186)</f>
        <v>1246.6311500000002</v>
      </c>
      <c r="BE186" s="523">
        <f>ROUND(BD186*(1+$J$14),2)</f>
        <v>1580.85</v>
      </c>
      <c r="BF186" s="881">
        <f>ROUND(BE186*F186,2)</f>
        <v>220149.17</v>
      </c>
      <c r="BG186" s="502">
        <v>1308.8623</v>
      </c>
      <c r="BH186" s="502">
        <v>1184.4000000000001</v>
      </c>
    </row>
    <row r="187" spans="1:64" ht="27" customHeight="1">
      <c r="A187" s="23"/>
      <c r="B187" s="25"/>
      <c r="C187" s="23"/>
      <c r="D187" s="25"/>
      <c r="E187" s="25"/>
      <c r="F187" s="26"/>
      <c r="G187" s="26"/>
      <c r="H187" s="26"/>
      <c r="I187" s="26"/>
      <c r="L187" s="362">
        <f t="shared" si="122"/>
        <v>0</v>
      </c>
      <c r="AY187" s="21"/>
      <c r="AZ187" s="481"/>
      <c r="BA187" s="481"/>
      <c r="BB187" s="481"/>
      <c r="BC187" s="481"/>
      <c r="BD187" s="481"/>
      <c r="BE187" s="481"/>
      <c r="BF187" s="792"/>
      <c r="BG187" s="239"/>
      <c r="BH187" s="239"/>
    </row>
    <row r="188" spans="1:64" s="45" customFormat="1" ht="19.5" customHeight="1">
      <c r="A188" s="356" t="s">
        <v>780</v>
      </c>
      <c r="B188" s="356"/>
      <c r="C188" s="356" t="s">
        <v>84</v>
      </c>
      <c r="D188" s="357"/>
      <c r="E188" s="357"/>
      <c r="F188" s="357"/>
      <c r="G188" s="26"/>
      <c r="H188" s="357"/>
      <c r="I188" s="96">
        <f>ROUND(SUM(I189:I193),2)</f>
        <v>627329.52</v>
      </c>
      <c r="K188" s="381"/>
      <c r="L188" s="362">
        <f t="shared" si="122"/>
        <v>0</v>
      </c>
      <c r="N188" s="72"/>
      <c r="AY188" s="56"/>
      <c r="AZ188" s="481"/>
      <c r="BA188" s="481"/>
      <c r="BB188" s="481"/>
      <c r="BC188" s="481"/>
      <c r="BD188" s="481"/>
      <c r="BE188" s="481"/>
      <c r="BF188" s="793">
        <f>ROUND(SUM(BF189:BF193),2)</f>
        <v>1351024.21</v>
      </c>
      <c r="BG188" s="794"/>
      <c r="BH188" s="794"/>
    </row>
    <row r="189" spans="1:64" s="34" customFormat="1" ht="38.25" customHeight="1">
      <c r="A189" s="471" t="s">
        <v>781</v>
      </c>
      <c r="B189" s="475" t="s">
        <v>2637</v>
      </c>
      <c r="C189" s="471" t="s">
        <v>85</v>
      </c>
      <c r="D189" s="472" t="s">
        <v>1915</v>
      </c>
      <c r="E189" s="472" t="s">
        <v>26</v>
      </c>
      <c r="F189" s="473">
        <v>48.68</v>
      </c>
      <c r="G189" s="473">
        <f t="shared" si="121"/>
        <v>708.95100000000002</v>
      </c>
      <c r="H189" s="473">
        <f>ROUND(G189*(1+$J$14),2)</f>
        <v>899.02</v>
      </c>
      <c r="I189" s="473">
        <f t="shared" ref="I189:I193" si="140">ROUND(H189*F189,2)</f>
        <v>43764.29</v>
      </c>
      <c r="J189" s="474">
        <f>'COMPOSIÇÃO DE CUSTOS'!G313</f>
        <v>708.95</v>
      </c>
      <c r="K189" s="378">
        <v>834.06</v>
      </c>
      <c r="L189" s="378">
        <f t="shared" si="122"/>
        <v>34511.734680000001</v>
      </c>
      <c r="M189" s="474"/>
      <c r="AY189" s="577"/>
      <c r="AZ189" s="502"/>
      <c r="BA189" s="502"/>
      <c r="BB189" s="502"/>
      <c r="BC189" s="502"/>
      <c r="BD189" s="523">
        <f>MEDIAN(BG189:BH189)</f>
        <v>1712.97</v>
      </c>
      <c r="BE189" s="523">
        <f>ROUND(BD189*(1+$J$14),2)</f>
        <v>2172.2199999999998</v>
      </c>
      <c r="BF189" s="881">
        <f>ROUND(BE189*F189,2)</f>
        <v>105743.67</v>
      </c>
      <c r="BG189" s="502">
        <v>2200</v>
      </c>
      <c r="BH189" s="502">
        <v>1225.94</v>
      </c>
    </row>
    <row r="190" spans="1:64" s="34" customFormat="1" ht="48.75" customHeight="1">
      <c r="A190" s="471" t="s">
        <v>782</v>
      </c>
      <c r="B190" s="472" t="s">
        <v>2067</v>
      </c>
      <c r="C190" s="471" t="s">
        <v>86</v>
      </c>
      <c r="D190" s="472" t="s">
        <v>1915</v>
      </c>
      <c r="E190" s="472" t="s">
        <v>26</v>
      </c>
      <c r="F190" s="473">
        <v>60.65</v>
      </c>
      <c r="G190" s="473">
        <f t="shared" si="121"/>
        <v>462.63799999999998</v>
      </c>
      <c r="H190" s="473">
        <f>ROUND(G190*(1+$J$14),2)</f>
        <v>586.66999999999996</v>
      </c>
      <c r="I190" s="473">
        <f t="shared" si="140"/>
        <v>35581.54</v>
      </c>
      <c r="J190" s="474">
        <f>'COMPOSIÇÃO DE CUSTOS'!G325</f>
        <v>462.65</v>
      </c>
      <c r="K190" s="378">
        <v>544.28</v>
      </c>
      <c r="L190" s="378">
        <f t="shared" si="122"/>
        <v>28058.994699999999</v>
      </c>
      <c r="M190" s="474"/>
      <c r="AY190" s="577"/>
      <c r="AZ190" s="502"/>
      <c r="BA190" s="502"/>
      <c r="BB190" s="502"/>
      <c r="BC190" s="502"/>
      <c r="BD190" s="523">
        <f>MEDIAN(BG190:BH190)</f>
        <v>1325.365</v>
      </c>
      <c r="BE190" s="523">
        <f>ROUND(BD190*(1+$J$14),2)</f>
        <v>1680.7</v>
      </c>
      <c r="BF190" s="881">
        <f>ROUND(BE190*F190,2)</f>
        <v>101934.46</v>
      </c>
      <c r="BG190" s="502">
        <v>1345.34</v>
      </c>
      <c r="BH190" s="502">
        <v>1305.3900000000001</v>
      </c>
      <c r="BL190" s="34" t="s">
        <v>4090</v>
      </c>
    </row>
    <row r="191" spans="1:64" s="62" customFormat="1" ht="63.75" customHeight="1">
      <c r="A191" s="23" t="s">
        <v>2671</v>
      </c>
      <c r="B191" s="25" t="s">
        <v>2070</v>
      </c>
      <c r="C191" s="23" t="s">
        <v>87</v>
      </c>
      <c r="D191" s="25" t="s">
        <v>1915</v>
      </c>
      <c r="E191" s="25" t="s">
        <v>26</v>
      </c>
      <c r="F191" s="26">
        <v>1.43</v>
      </c>
      <c r="G191" s="26">
        <f t="shared" si="121"/>
        <v>686.34100000000001</v>
      </c>
      <c r="H191" s="26">
        <f>ROUND(G191*(1+$J$14),2)</f>
        <v>870.35</v>
      </c>
      <c r="I191" s="26">
        <f t="shared" si="140"/>
        <v>1244.5999999999999</v>
      </c>
      <c r="J191" s="64">
        <f>'COMPOSIÇÃO DE CUSTOS'!G349</f>
        <v>686.34</v>
      </c>
      <c r="K191" s="362">
        <v>807.46</v>
      </c>
      <c r="L191" s="362">
        <f t="shared" si="122"/>
        <v>981.46762999999999</v>
      </c>
      <c r="M191" s="64"/>
      <c r="AY191" s="221"/>
      <c r="AZ191" s="481"/>
      <c r="BA191" s="481"/>
      <c r="BB191" s="481"/>
      <c r="BC191" s="481"/>
      <c r="BD191" s="163">
        <f t="shared" ref="BD191:BD192" si="141">ROUND(G191*$BH$19,2)</f>
        <v>764.59</v>
      </c>
      <c r="BE191" s="163">
        <f t="shared" ref="BE191:BE192" si="142">ROUND(BD191*(1+$J$14),2)</f>
        <v>969.58</v>
      </c>
      <c r="BF191" s="163">
        <f>ROUND(BE191*F191,2)</f>
        <v>1386.5</v>
      </c>
      <c r="BL191" s="34">
        <f>BF190+BF189+BF193+BF186</f>
        <v>1567617.2799999998</v>
      </c>
    </row>
    <row r="192" spans="1:64" s="27" customFormat="1" ht="60">
      <c r="A192" s="23" t="s">
        <v>2672</v>
      </c>
      <c r="B192" s="25" t="s">
        <v>2068</v>
      </c>
      <c r="C192" s="23" t="s">
        <v>88</v>
      </c>
      <c r="D192" s="25" t="s">
        <v>1915</v>
      </c>
      <c r="E192" s="25" t="s">
        <v>26</v>
      </c>
      <c r="F192" s="26">
        <v>2.4500000000000002</v>
      </c>
      <c r="G192" s="26">
        <f t="shared" si="121"/>
        <v>626.85800000000006</v>
      </c>
      <c r="H192" s="26">
        <f>ROUND(G192*(1+$J$14),2)</f>
        <v>794.92</v>
      </c>
      <c r="I192" s="26">
        <f t="shared" si="140"/>
        <v>1947.55</v>
      </c>
      <c r="J192" s="43">
        <f>'COMPOSIÇÃO DE CUSTOS'!G337</f>
        <v>626.86</v>
      </c>
      <c r="K192" s="365">
        <v>737.48</v>
      </c>
      <c r="L192" s="362">
        <f t="shared" si="122"/>
        <v>1535.8021000000003</v>
      </c>
      <c r="M192" s="43"/>
      <c r="AY192" s="552"/>
      <c r="AZ192" s="481"/>
      <c r="BA192" s="481"/>
      <c r="BB192" s="481"/>
      <c r="BC192" s="481"/>
      <c r="BD192" s="163">
        <f t="shared" si="141"/>
        <v>698.33</v>
      </c>
      <c r="BE192" s="163">
        <f t="shared" si="142"/>
        <v>885.55</v>
      </c>
      <c r="BF192" s="163">
        <f>ROUND(BE192*F192,2)</f>
        <v>2169.6</v>
      </c>
      <c r="BG192" s="481" t="s">
        <v>4092</v>
      </c>
      <c r="BH192" s="481" t="s">
        <v>4089</v>
      </c>
    </row>
    <row r="193" spans="1:60" s="34" customFormat="1" ht="45">
      <c r="A193" s="471" t="s">
        <v>2673</v>
      </c>
      <c r="B193" s="475">
        <v>11347</v>
      </c>
      <c r="C193" s="471" t="s">
        <v>3417</v>
      </c>
      <c r="D193" s="472" t="s">
        <v>44</v>
      </c>
      <c r="E193" s="472" t="s">
        <v>26</v>
      </c>
      <c r="F193" s="473">
        <v>404.34</v>
      </c>
      <c r="G193" s="473">
        <f t="shared" si="121"/>
        <v>1062.5</v>
      </c>
      <c r="H193" s="473">
        <f>ROUND(G193*(1+$J$14),2)</f>
        <v>1347.36</v>
      </c>
      <c r="I193" s="473">
        <f t="shared" si="140"/>
        <v>544791.54</v>
      </c>
      <c r="J193" s="474">
        <f>'COMPOSIÇÃO DE CUSTOS'!G354</f>
        <v>1062.5</v>
      </c>
      <c r="K193" s="378">
        <v>1250</v>
      </c>
      <c r="L193" s="378">
        <f t="shared" si="122"/>
        <v>429611.25</v>
      </c>
      <c r="M193" s="474"/>
      <c r="AY193" s="577"/>
      <c r="AZ193" s="502"/>
      <c r="BA193" s="502"/>
      <c r="BB193" s="502"/>
      <c r="BC193" s="502"/>
      <c r="BD193" s="523">
        <f>MEDIAN(BG193:BH193)</f>
        <v>2222.9203424586531</v>
      </c>
      <c r="BE193" s="523">
        <f>ROUND(BD193*(1+$J$14),2)</f>
        <v>2818.89</v>
      </c>
      <c r="BF193" s="523">
        <f>ROUND(BE193*F193,2)</f>
        <v>1139789.98</v>
      </c>
      <c r="BG193" s="502">
        <v>2300</v>
      </c>
      <c r="BH193" s="502">
        <f>(166611.69+682053.28)/395.493</f>
        <v>2145.8406849173057</v>
      </c>
    </row>
    <row r="194" spans="1:60" ht="27.75" customHeight="1">
      <c r="A194" s="23"/>
      <c r="B194" s="25"/>
      <c r="C194" s="23"/>
      <c r="D194" s="25"/>
      <c r="E194" s="25"/>
      <c r="F194" s="26"/>
      <c r="G194" s="26"/>
      <c r="H194" s="26"/>
      <c r="I194" s="26"/>
      <c r="L194" s="362">
        <f t="shared" si="122"/>
        <v>0</v>
      </c>
      <c r="AY194" s="21"/>
      <c r="AZ194" s="481"/>
      <c r="BA194" s="481"/>
      <c r="BB194" s="481"/>
      <c r="BC194" s="481"/>
      <c r="BD194" s="481"/>
      <c r="BE194" s="481"/>
      <c r="BF194" s="481"/>
    </row>
    <row r="195" spans="1:60" s="45" customFormat="1">
      <c r="A195" s="356" t="s">
        <v>783</v>
      </c>
      <c r="B195" s="356"/>
      <c r="C195" s="356" t="s">
        <v>90</v>
      </c>
      <c r="D195" s="357"/>
      <c r="E195" s="357"/>
      <c r="F195" s="357"/>
      <c r="G195" s="26"/>
      <c r="H195" s="357"/>
      <c r="I195" s="96">
        <f>I196</f>
        <v>35904.92</v>
      </c>
      <c r="K195" s="381"/>
      <c r="L195" s="362">
        <f t="shared" si="122"/>
        <v>0</v>
      </c>
      <c r="AY195" s="56"/>
      <c r="AZ195" s="481"/>
      <c r="BA195" s="481"/>
      <c r="BB195" s="481"/>
      <c r="BC195" s="481"/>
      <c r="BD195" s="481"/>
      <c r="BE195" s="481"/>
      <c r="BF195" s="96">
        <f>BF196</f>
        <v>42054.720000000001</v>
      </c>
    </row>
    <row r="196" spans="1:60" s="34" customFormat="1" ht="45">
      <c r="A196" s="471" t="s">
        <v>784</v>
      </c>
      <c r="B196" s="475" t="s">
        <v>2676</v>
      </c>
      <c r="C196" s="471" t="s">
        <v>91</v>
      </c>
      <c r="D196" s="472" t="s">
        <v>1915</v>
      </c>
      <c r="E196" s="472" t="s">
        <v>26</v>
      </c>
      <c r="F196" s="473">
        <v>55.74</v>
      </c>
      <c r="G196" s="473">
        <f t="shared" si="121"/>
        <v>507.96850000000001</v>
      </c>
      <c r="H196" s="473">
        <f>ROUND(G196*(1+$J$14),2)</f>
        <v>644.15</v>
      </c>
      <c r="I196" s="473">
        <f>ROUND(H196*F196,2)</f>
        <v>35904.92</v>
      </c>
      <c r="J196" s="34">
        <f>'COMPOSIÇÃO DE CUSTOS'!G2333</f>
        <v>507.98</v>
      </c>
      <c r="K196" s="476">
        <v>597.61</v>
      </c>
      <c r="L196" s="378">
        <f t="shared" si="122"/>
        <v>28314.164190000003</v>
      </c>
      <c r="N196" s="34" t="e">
        <f>IF(B196&lt;&gt;0,VLOOKUP(B196,#REF!,2,FALSE),"")</f>
        <v>#REF!</v>
      </c>
      <c r="AY196" s="577"/>
      <c r="AZ196" s="502"/>
      <c r="BA196" s="502"/>
      <c r="BB196" s="502"/>
      <c r="BC196" s="502"/>
      <c r="BD196" s="523">
        <f>BG196</f>
        <v>594.97</v>
      </c>
      <c r="BE196" s="523">
        <f>ROUND(BD196*(1+$J$14),2)</f>
        <v>754.48</v>
      </c>
      <c r="BF196" s="523">
        <f>ROUND(BE196*F196,2)</f>
        <v>42054.720000000001</v>
      </c>
      <c r="BG196" s="34">
        <f>'COMPOSIÇÃO AB'!G812</f>
        <v>594.97</v>
      </c>
      <c r="BH196" s="34">
        <f>ROUND(G196*BH19,2)</f>
        <v>565.88</v>
      </c>
    </row>
    <row r="197" spans="1:60" ht="27" customHeight="1">
      <c r="A197" s="23"/>
      <c r="B197" s="25"/>
      <c r="C197" s="23"/>
      <c r="D197" s="25"/>
      <c r="E197" s="25"/>
      <c r="F197" s="26"/>
      <c r="G197" s="26"/>
      <c r="H197" s="26"/>
      <c r="I197" s="26"/>
      <c r="L197" s="362">
        <f t="shared" si="122"/>
        <v>0</v>
      </c>
      <c r="AY197" s="21"/>
      <c r="AZ197" s="481"/>
      <c r="BA197" s="481"/>
      <c r="BB197" s="481"/>
      <c r="BC197" s="481"/>
      <c r="BD197" s="481"/>
      <c r="BE197" s="481"/>
      <c r="BF197" s="481"/>
    </row>
    <row r="198" spans="1:60" s="45" customFormat="1" ht="15" customHeight="1">
      <c r="A198" s="356" t="s">
        <v>785</v>
      </c>
      <c r="B198" s="356"/>
      <c r="C198" s="356" t="s">
        <v>92</v>
      </c>
      <c r="D198" s="357"/>
      <c r="E198" s="357"/>
      <c r="F198" s="357"/>
      <c r="G198" s="26"/>
      <c r="H198" s="357"/>
      <c r="I198" s="96">
        <f>ROUND(SUM(I199:I204),2)</f>
        <v>228807.99</v>
      </c>
      <c r="K198" s="381"/>
      <c r="L198" s="362">
        <f t="shared" si="122"/>
        <v>0</v>
      </c>
      <c r="AY198" s="56"/>
      <c r="AZ198" s="481"/>
      <c r="BA198" s="481"/>
      <c r="BB198" s="481"/>
      <c r="BC198" s="481"/>
      <c r="BD198" s="481"/>
      <c r="BE198" s="481"/>
      <c r="BF198" s="96">
        <f>ROUND(SUM(BF199:BF204),2)</f>
        <v>308932.03999999998</v>
      </c>
    </row>
    <row r="199" spans="1:60" s="34" customFormat="1" ht="75">
      <c r="A199" s="471" t="s">
        <v>786</v>
      </c>
      <c r="B199" s="475">
        <v>92580</v>
      </c>
      <c r="C199" s="471" t="s">
        <v>1565</v>
      </c>
      <c r="D199" s="472" t="s">
        <v>12</v>
      </c>
      <c r="E199" s="472" t="s">
        <v>26</v>
      </c>
      <c r="F199" s="473">
        <v>742.71</v>
      </c>
      <c r="G199" s="473">
        <f t="shared" si="121"/>
        <v>37.4255</v>
      </c>
      <c r="H199" s="473">
        <f t="shared" ref="H199:H204" si="143">ROUND(G199*(1+$J$14),2)</f>
        <v>47.46</v>
      </c>
      <c r="I199" s="473">
        <f t="shared" ref="I199:I204" si="144">ROUND(H199*F199,2)</f>
        <v>35249.019999999997</v>
      </c>
      <c r="J199" s="34" t="e">
        <f>IF(B199&lt;&gt;0,VLOOKUP(B199,#REF!,4,FALSE),"")</f>
        <v>#REF!</v>
      </c>
      <c r="K199" s="476" t="s">
        <v>3212</v>
      </c>
      <c r="L199" s="378">
        <f t="shared" si="122"/>
        <v>27796.293105000001</v>
      </c>
      <c r="N199" s="34" t="e">
        <f>IF(B199&lt;&gt;0,VLOOKUP(B199,#REF!,2,FALSE),"")</f>
        <v>#REF!</v>
      </c>
      <c r="AY199" s="577"/>
      <c r="AZ199" s="502"/>
      <c r="BA199" s="502"/>
      <c r="BB199" s="502"/>
      <c r="BC199" s="502"/>
      <c r="BD199" s="523">
        <f>BG199</f>
        <v>47.35</v>
      </c>
      <c r="BE199" s="523">
        <f>ROUND(BD199*(1+$J$14),2)</f>
        <v>60.04</v>
      </c>
      <c r="BF199" s="523">
        <f t="shared" ref="BF199:BF204" si="145">ROUND(BE199*F199,2)</f>
        <v>44592.31</v>
      </c>
      <c r="BG199" s="34">
        <f>'COMPOSIÇÃO AB'!G364</f>
        <v>47.35</v>
      </c>
    </row>
    <row r="200" spans="1:60" s="34" customFormat="1" ht="45">
      <c r="A200" s="471" t="s">
        <v>787</v>
      </c>
      <c r="B200" s="475">
        <v>94216</v>
      </c>
      <c r="C200" s="471" t="s">
        <v>1566</v>
      </c>
      <c r="D200" s="472" t="s">
        <v>12</v>
      </c>
      <c r="E200" s="472" t="s">
        <v>26</v>
      </c>
      <c r="F200" s="473">
        <v>742.71</v>
      </c>
      <c r="G200" s="473">
        <f t="shared" si="121"/>
        <v>185.30849999999998</v>
      </c>
      <c r="H200" s="473">
        <f t="shared" si="143"/>
        <v>234.99</v>
      </c>
      <c r="I200" s="473">
        <f t="shared" si="144"/>
        <v>174529.42</v>
      </c>
      <c r="J200" s="34" t="e">
        <f>IF(B200&lt;&gt;0,VLOOKUP(B200,#REF!,4,FALSE),"")</f>
        <v>#REF!</v>
      </c>
      <c r="K200" s="476" t="s">
        <v>3147</v>
      </c>
      <c r="L200" s="378">
        <f t="shared" si="122"/>
        <v>137630.476035</v>
      </c>
      <c r="N200" s="34" t="e">
        <f>IF(B200&lt;&gt;0,VLOOKUP(B200,#REF!,2,FALSE),"")</f>
        <v>#REF!</v>
      </c>
      <c r="AY200" s="577"/>
      <c r="AZ200" s="502"/>
      <c r="BA200" s="502"/>
      <c r="BB200" s="502"/>
      <c r="BC200" s="502"/>
      <c r="BD200" s="523">
        <f>BG200</f>
        <v>258.16000000000003</v>
      </c>
      <c r="BE200" s="523">
        <f>ROUND(BD200*(1+$J$14),2)</f>
        <v>327.37</v>
      </c>
      <c r="BF200" s="523">
        <f t="shared" si="145"/>
        <v>243140.97</v>
      </c>
      <c r="BG200" s="34">
        <f>'COMPOSIÇÃO AB'!G374</f>
        <v>258.16000000000003</v>
      </c>
    </row>
    <row r="201" spans="1:60" s="62" customFormat="1">
      <c r="A201" s="23" t="s">
        <v>788</v>
      </c>
      <c r="B201" s="24">
        <v>9077</v>
      </c>
      <c r="C201" s="23" t="s">
        <v>1976</v>
      </c>
      <c r="D201" s="25" t="s">
        <v>44</v>
      </c>
      <c r="E201" s="25" t="s">
        <v>52</v>
      </c>
      <c r="F201" s="26">
        <v>47.65</v>
      </c>
      <c r="G201" s="26">
        <f t="shared" si="121"/>
        <v>81.021999999999991</v>
      </c>
      <c r="H201" s="26">
        <f t="shared" si="143"/>
        <v>102.74</v>
      </c>
      <c r="I201" s="26">
        <f t="shared" si="144"/>
        <v>4895.5600000000004</v>
      </c>
      <c r="J201" s="63">
        <f>'COMPOSIÇÃO DE CUSTOS'!G2032</f>
        <v>81.02</v>
      </c>
      <c r="K201" s="379">
        <v>95.32</v>
      </c>
      <c r="L201" s="362">
        <f t="shared" si="122"/>
        <v>3860.6982999999996</v>
      </c>
      <c r="M201" s="63"/>
      <c r="AY201" s="221"/>
      <c r="AZ201" s="481"/>
      <c r="BA201" s="481"/>
      <c r="BB201" s="481"/>
      <c r="BC201" s="481"/>
      <c r="BD201" s="163">
        <f t="shared" ref="BD201:BD204" si="146">ROUND(G201*$BH$19,2)</f>
        <v>90.26</v>
      </c>
      <c r="BE201" s="163">
        <f t="shared" ref="BE201:BE204" si="147">ROUND(BD201*(1+$J$14),2)</f>
        <v>114.46</v>
      </c>
      <c r="BF201" s="163">
        <f t="shared" si="145"/>
        <v>5454.02</v>
      </c>
    </row>
    <row r="202" spans="1:60" s="62" customFormat="1" ht="60">
      <c r="A202" s="23" t="s">
        <v>789</v>
      </c>
      <c r="B202" s="24">
        <v>71623</v>
      </c>
      <c r="C202" s="23" t="s">
        <v>93</v>
      </c>
      <c r="D202" s="25" t="s">
        <v>1915</v>
      </c>
      <c r="E202" s="25" t="s">
        <v>52</v>
      </c>
      <c r="F202" s="26">
        <v>194.87</v>
      </c>
      <c r="G202" s="26">
        <f t="shared" si="121"/>
        <v>26.8855</v>
      </c>
      <c r="H202" s="26">
        <f t="shared" si="143"/>
        <v>34.090000000000003</v>
      </c>
      <c r="I202" s="26">
        <f t="shared" si="144"/>
        <v>6643.12</v>
      </c>
      <c r="J202" s="63">
        <f>'COMPOSIÇÃO DE CUSTOS'!G367</f>
        <v>26.88</v>
      </c>
      <c r="K202" s="379">
        <v>31.63</v>
      </c>
      <c r="L202" s="362">
        <f t="shared" si="122"/>
        <v>5239.177385</v>
      </c>
      <c r="M202" s="63"/>
      <c r="AY202" s="221"/>
      <c r="AZ202" s="481"/>
      <c r="BA202" s="481"/>
      <c r="BB202" s="481"/>
      <c r="BC202" s="481"/>
      <c r="BD202" s="163">
        <f t="shared" si="146"/>
        <v>29.95</v>
      </c>
      <c r="BE202" s="163">
        <f t="shared" si="147"/>
        <v>37.979999999999997</v>
      </c>
      <c r="BF202" s="163">
        <f t="shared" si="145"/>
        <v>7401.16</v>
      </c>
    </row>
    <row r="203" spans="1:60" s="27" customFormat="1" ht="30">
      <c r="A203" s="23" t="s">
        <v>790</v>
      </c>
      <c r="B203" s="25" t="s">
        <v>2073</v>
      </c>
      <c r="C203" s="23" t="s">
        <v>94</v>
      </c>
      <c r="D203" s="25" t="s">
        <v>1915</v>
      </c>
      <c r="E203" s="25" t="s">
        <v>52</v>
      </c>
      <c r="F203" s="26">
        <v>167.8</v>
      </c>
      <c r="G203" s="26">
        <f t="shared" si="121"/>
        <v>29.384499999999999</v>
      </c>
      <c r="H203" s="26">
        <f t="shared" si="143"/>
        <v>37.26</v>
      </c>
      <c r="I203" s="26">
        <f t="shared" si="144"/>
        <v>6252.23</v>
      </c>
      <c r="J203" s="339">
        <f>'COMPOSIÇÃO DE CUSTOS'!G376</f>
        <v>29.37</v>
      </c>
      <c r="K203" s="376">
        <v>34.57</v>
      </c>
      <c r="L203" s="362">
        <f t="shared" si="122"/>
        <v>4930.7191000000003</v>
      </c>
      <c r="M203" s="339"/>
      <c r="AY203" s="552"/>
      <c r="AZ203" s="481"/>
      <c r="BA203" s="481"/>
      <c r="BB203" s="481"/>
      <c r="BC203" s="481"/>
      <c r="BD203" s="163">
        <f t="shared" si="146"/>
        <v>32.729999999999997</v>
      </c>
      <c r="BE203" s="163">
        <f t="shared" si="147"/>
        <v>41.5</v>
      </c>
      <c r="BF203" s="163">
        <f t="shared" si="145"/>
        <v>6963.7</v>
      </c>
    </row>
    <row r="204" spans="1:60" s="62" customFormat="1" ht="30">
      <c r="A204" s="23" t="s">
        <v>791</v>
      </c>
      <c r="B204" s="24">
        <v>100563</v>
      </c>
      <c r="C204" s="23" t="s">
        <v>95</v>
      </c>
      <c r="D204" s="25" t="s">
        <v>1915</v>
      </c>
      <c r="E204" s="25" t="s">
        <v>26</v>
      </c>
      <c r="F204" s="26">
        <v>20.47</v>
      </c>
      <c r="G204" s="26">
        <f t="shared" si="121"/>
        <v>47.719000000000001</v>
      </c>
      <c r="H204" s="26">
        <f t="shared" si="143"/>
        <v>60.51</v>
      </c>
      <c r="I204" s="26">
        <f t="shared" si="144"/>
        <v>1238.6400000000001</v>
      </c>
      <c r="J204" s="63">
        <f>'COMPOSIÇÃO DE CUSTOS'!G386</f>
        <v>47.72</v>
      </c>
      <c r="K204" s="379">
        <v>56.14</v>
      </c>
      <c r="L204" s="362">
        <f t="shared" si="122"/>
        <v>976.80792999999994</v>
      </c>
      <c r="M204" s="63"/>
      <c r="AY204" s="221"/>
      <c r="AZ204" s="481"/>
      <c r="BA204" s="481"/>
      <c r="BB204" s="481"/>
      <c r="BC204" s="481"/>
      <c r="BD204" s="163">
        <f t="shared" si="146"/>
        <v>53.16</v>
      </c>
      <c r="BE204" s="163">
        <f t="shared" si="147"/>
        <v>67.41</v>
      </c>
      <c r="BF204" s="163">
        <f t="shared" si="145"/>
        <v>1379.88</v>
      </c>
    </row>
    <row r="205" spans="1:60" ht="25.5" customHeight="1">
      <c r="A205" s="23"/>
      <c r="B205" s="25"/>
      <c r="C205" s="23"/>
      <c r="D205" s="25"/>
      <c r="E205" s="25"/>
      <c r="F205" s="26"/>
      <c r="G205" s="26"/>
      <c r="H205" s="26"/>
      <c r="I205" s="26"/>
      <c r="L205" s="362">
        <f t="shared" si="122"/>
        <v>0</v>
      </c>
      <c r="AY205" s="21"/>
      <c r="AZ205" s="481"/>
      <c r="BA205" s="481"/>
      <c r="BB205" s="481"/>
      <c r="BC205" s="481"/>
      <c r="BD205" s="481"/>
      <c r="BE205" s="481"/>
      <c r="BF205" s="481"/>
    </row>
    <row r="206" spans="1:60" s="45" customFormat="1" ht="17.25" customHeight="1">
      <c r="A206" s="356" t="s">
        <v>792</v>
      </c>
      <c r="B206" s="356"/>
      <c r="C206" s="356" t="s">
        <v>96</v>
      </c>
      <c r="D206" s="357"/>
      <c r="E206" s="357"/>
      <c r="F206" s="357"/>
      <c r="G206" s="26"/>
      <c r="H206" s="357"/>
      <c r="I206" s="96">
        <f>ROUND(SUM(I207:I207),2)</f>
        <v>98926.77</v>
      </c>
      <c r="K206" s="381"/>
      <c r="L206" s="362">
        <f t="shared" si="122"/>
        <v>0</v>
      </c>
      <c r="AY206" s="56"/>
      <c r="AZ206" s="481"/>
      <c r="BA206" s="481"/>
      <c r="BB206" s="481"/>
      <c r="BC206" s="481"/>
      <c r="BD206" s="481"/>
      <c r="BE206" s="481"/>
      <c r="BF206" s="96">
        <f>ROUND(SUM(BF207:BF207),2)</f>
        <v>129402.91</v>
      </c>
    </row>
    <row r="207" spans="1:60" s="34" customFormat="1" ht="42.75" customHeight="1">
      <c r="A207" s="471" t="s">
        <v>793</v>
      </c>
      <c r="B207" s="475">
        <v>96114</v>
      </c>
      <c r="C207" s="471" t="s">
        <v>2686</v>
      </c>
      <c r="D207" s="472" t="s">
        <v>12</v>
      </c>
      <c r="E207" s="472" t="s">
        <v>26</v>
      </c>
      <c r="F207" s="473">
        <v>1508.72</v>
      </c>
      <c r="G207" s="473">
        <f t="shared" si="121"/>
        <v>51.705500000000001</v>
      </c>
      <c r="H207" s="473">
        <f>ROUND(G207*(1+$J$14),2)</f>
        <v>65.569999999999993</v>
      </c>
      <c r="I207" s="473">
        <f>ROUND(H207*F207,2)</f>
        <v>98926.77</v>
      </c>
      <c r="J207" s="34" t="e">
        <f>IF(B207&lt;&gt;0,VLOOKUP(B207,#REF!,4,FALSE),"")</f>
        <v>#REF!</v>
      </c>
      <c r="K207" s="476" t="s">
        <v>3308</v>
      </c>
      <c r="L207" s="378">
        <f t="shared" si="122"/>
        <v>78009.121960000004</v>
      </c>
      <c r="N207" s="34" t="e">
        <f>IF(B207&lt;&gt;0,VLOOKUP(B207,#REF!,2,FALSE),"")</f>
        <v>#REF!</v>
      </c>
      <c r="AY207" s="577"/>
      <c r="AZ207" s="502"/>
      <c r="BA207" s="502"/>
      <c r="BB207" s="502"/>
      <c r="BC207" s="502"/>
      <c r="BD207" s="523">
        <f>BG207</f>
        <v>67.64</v>
      </c>
      <c r="BE207" s="523">
        <f>ROUND(BD207*(1+$J$14),2)</f>
        <v>85.77</v>
      </c>
      <c r="BF207" s="523">
        <f>ROUND(BE207*F207,2)</f>
        <v>129402.91</v>
      </c>
      <c r="BG207" s="34">
        <f>'COMPOSIÇÃO AB'!G389</f>
        <v>67.64</v>
      </c>
    </row>
    <row r="208" spans="1:60" ht="24.75" customHeight="1">
      <c r="A208" s="23"/>
      <c r="B208" s="25"/>
      <c r="C208" s="23"/>
      <c r="D208" s="25"/>
      <c r="E208" s="25"/>
      <c r="F208" s="26"/>
      <c r="G208" s="26"/>
      <c r="H208" s="26"/>
      <c r="I208" s="26"/>
      <c r="L208" s="362">
        <f t="shared" si="122"/>
        <v>0</v>
      </c>
      <c r="AY208" s="21"/>
      <c r="AZ208" s="481"/>
      <c r="BA208" s="481"/>
      <c r="BB208" s="481"/>
      <c r="BC208" s="481"/>
      <c r="BD208" s="481"/>
      <c r="BE208" s="481"/>
      <c r="BF208" s="481"/>
    </row>
    <row r="209" spans="1:59" s="28" customFormat="1" ht="15" customHeight="1">
      <c r="A209" s="356" t="s">
        <v>795</v>
      </c>
      <c r="B209" s="356"/>
      <c r="C209" s="356" t="s">
        <v>98</v>
      </c>
      <c r="D209" s="357"/>
      <c r="E209" s="357"/>
      <c r="F209" s="357"/>
      <c r="G209" s="26"/>
      <c r="H209" s="357"/>
      <c r="I209" s="96">
        <f>ROUND(SUM(I210:I223),2)</f>
        <v>516046.45</v>
      </c>
      <c r="K209" s="377"/>
      <c r="L209" s="362">
        <f t="shared" si="122"/>
        <v>0</v>
      </c>
      <c r="AY209" s="370"/>
      <c r="AZ209" s="481"/>
      <c r="BA209" s="481"/>
      <c r="BB209" s="481"/>
      <c r="BC209" s="481"/>
      <c r="BD209" s="481"/>
      <c r="BE209" s="481"/>
      <c r="BF209" s="96">
        <f>ROUND(SUM(BF210:BF223),2)</f>
        <v>802069.6</v>
      </c>
    </row>
    <row r="210" spans="1:59" ht="60">
      <c r="A210" s="23" t="s">
        <v>796</v>
      </c>
      <c r="B210" s="24">
        <v>87878</v>
      </c>
      <c r="C210" s="23" t="s">
        <v>1567</v>
      </c>
      <c r="D210" s="25" t="s">
        <v>12</v>
      </c>
      <c r="E210" s="25" t="s">
        <v>26</v>
      </c>
      <c r="F210" s="26">
        <v>4296.8159999999998</v>
      </c>
      <c r="G210" s="26">
        <f t="shared" si="121"/>
        <v>2.9155000000000002</v>
      </c>
      <c r="H210" s="26">
        <f t="shared" ref="H210:H223" si="148">ROUND(G210*(1+$J$14),2)</f>
        <v>3.7</v>
      </c>
      <c r="I210" s="26">
        <f t="shared" ref="I210:I215" si="149">ROUND(H210*F210,2)</f>
        <v>15898.22</v>
      </c>
      <c r="J210" s="2" t="e">
        <f>IF(B210&lt;&gt;0,VLOOKUP(B210,#REF!,4,FALSE),"")</f>
        <v>#REF!</v>
      </c>
      <c r="K210" s="368" t="s">
        <v>3135</v>
      </c>
      <c r="L210" s="362">
        <f t="shared" si="122"/>
        <v>12527.367048</v>
      </c>
      <c r="N210" s="2" t="e">
        <f>IF(B210&lt;&gt;0,VLOOKUP(B210,#REF!,2,FALSE),"")</f>
        <v>#REF!</v>
      </c>
      <c r="AY210" s="21"/>
      <c r="AZ210" s="481"/>
      <c r="BA210" s="481"/>
      <c r="BB210" s="481"/>
      <c r="BC210" s="481"/>
      <c r="BD210" s="163">
        <f t="shared" ref="BD210" si="150">ROUND(G210*$BH$19,2)</f>
        <v>3.25</v>
      </c>
      <c r="BE210" s="163">
        <f t="shared" ref="BE210" si="151">ROUND(BD210*(1+$J$14),2)</f>
        <v>4.12</v>
      </c>
      <c r="BF210" s="163">
        <f t="shared" ref="BF210:BF223" si="152">ROUND(BE210*F210,2)</f>
        <v>17702.88</v>
      </c>
    </row>
    <row r="211" spans="1:59" s="34" customFormat="1" ht="90">
      <c r="A211" s="471" t="s">
        <v>797</v>
      </c>
      <c r="B211" s="475">
        <v>87535</v>
      </c>
      <c r="C211" s="471" t="s">
        <v>1568</v>
      </c>
      <c r="D211" s="472" t="s">
        <v>12</v>
      </c>
      <c r="E211" s="472" t="s">
        <v>26</v>
      </c>
      <c r="F211" s="473">
        <v>2541.2085000000002</v>
      </c>
      <c r="G211" s="473">
        <f t="shared" si="121"/>
        <v>20.094000000000001</v>
      </c>
      <c r="H211" s="473">
        <f t="shared" si="148"/>
        <v>25.48</v>
      </c>
      <c r="I211" s="473">
        <f t="shared" si="149"/>
        <v>64749.99</v>
      </c>
      <c r="J211" s="34" t="e">
        <f>IF(B211&lt;&gt;0,VLOOKUP(B211,#REF!,4,FALSE),"")</f>
        <v>#REF!</v>
      </c>
      <c r="K211" s="476" t="s">
        <v>3143</v>
      </c>
      <c r="L211" s="378">
        <f t="shared" si="122"/>
        <v>51063.043599000004</v>
      </c>
      <c r="N211" s="34" t="e">
        <f>IF(B211&lt;&gt;0,VLOOKUP(B211,#REF!,2,FALSE),"")</f>
        <v>#REF!</v>
      </c>
      <c r="AY211" s="577"/>
      <c r="AZ211" s="502"/>
      <c r="BA211" s="502"/>
      <c r="BB211" s="502"/>
      <c r="BC211" s="502"/>
      <c r="BD211" s="523">
        <f>BG211</f>
        <v>26.45</v>
      </c>
      <c r="BE211" s="523">
        <f>ROUND(BD211*(1+$J$14),2)</f>
        <v>33.54</v>
      </c>
      <c r="BF211" s="523">
        <f t="shared" si="152"/>
        <v>85232.13</v>
      </c>
      <c r="BG211" s="34">
        <f>'COMPOSIÇÃO AB'!G402</f>
        <v>26.45</v>
      </c>
    </row>
    <row r="212" spans="1:59" ht="75">
      <c r="A212" s="23" t="s">
        <v>798</v>
      </c>
      <c r="B212" s="24">
        <v>87265</v>
      </c>
      <c r="C212" s="23" t="s">
        <v>99</v>
      </c>
      <c r="D212" s="25" t="s">
        <v>12</v>
      </c>
      <c r="E212" s="25" t="s">
        <v>26</v>
      </c>
      <c r="F212" s="26">
        <f>135.8+110</f>
        <v>245.8</v>
      </c>
      <c r="G212" s="26">
        <f t="shared" si="121"/>
        <v>44.71</v>
      </c>
      <c r="H212" s="26">
        <f t="shared" si="148"/>
        <v>56.7</v>
      </c>
      <c r="I212" s="26">
        <f t="shared" si="149"/>
        <v>13936.86</v>
      </c>
      <c r="J212" s="2" t="e">
        <f>IF(B212&lt;&gt;0,VLOOKUP(B212,#REF!,4,FALSE),"")</f>
        <v>#REF!</v>
      </c>
      <c r="K212" s="368" t="s">
        <v>3314</v>
      </c>
      <c r="L212" s="362">
        <f t="shared" si="122"/>
        <v>10989.718000000001</v>
      </c>
      <c r="N212" s="2" t="e">
        <f>IF(B212&lt;&gt;0,VLOOKUP(B212,#REF!,2,FALSE),"")</f>
        <v>#REF!</v>
      </c>
      <c r="AY212" s="21"/>
      <c r="AZ212" s="481"/>
      <c r="BA212" s="481"/>
      <c r="BB212" s="481"/>
      <c r="BC212" s="481"/>
      <c r="BD212" s="163">
        <f t="shared" ref="BD212" si="153">ROUND(G212*$BH$19,2)</f>
        <v>49.81</v>
      </c>
      <c r="BE212" s="163">
        <f t="shared" ref="BE212" si="154">ROUND(BD212*(1+$J$14),2)</f>
        <v>63.16</v>
      </c>
      <c r="BF212" s="163">
        <f t="shared" si="152"/>
        <v>15524.73</v>
      </c>
    </row>
    <row r="213" spans="1:59" s="34" customFormat="1" ht="75">
      <c r="A213" s="471" t="s">
        <v>2448</v>
      </c>
      <c r="B213" s="475">
        <v>87273</v>
      </c>
      <c r="C213" s="471" t="s">
        <v>100</v>
      </c>
      <c r="D213" s="472" t="s">
        <v>12</v>
      </c>
      <c r="E213" s="472" t="s">
        <v>26</v>
      </c>
      <c r="F213" s="473">
        <v>569.29</v>
      </c>
      <c r="G213" s="473">
        <f t="shared" si="121"/>
        <v>49.410499999999999</v>
      </c>
      <c r="H213" s="473">
        <f t="shared" si="148"/>
        <v>62.66</v>
      </c>
      <c r="I213" s="473">
        <f t="shared" si="149"/>
        <v>35671.71</v>
      </c>
      <c r="J213" s="34" t="e">
        <f>IF(B213&lt;&gt;0,VLOOKUP(B213,#REF!,4,FALSE),"")</f>
        <v>#REF!</v>
      </c>
      <c r="K213" s="476" t="s">
        <v>3315</v>
      </c>
      <c r="L213" s="378">
        <f t="shared" si="122"/>
        <v>28128.903544999997</v>
      </c>
      <c r="N213" s="34" t="e">
        <f>IF(B213&lt;&gt;0,VLOOKUP(B213,#REF!,2,FALSE),"")</f>
        <v>#REF!</v>
      </c>
      <c r="AY213" s="577"/>
      <c r="AZ213" s="502"/>
      <c r="BA213" s="502"/>
      <c r="BB213" s="502"/>
      <c r="BC213" s="502"/>
      <c r="BD213" s="523">
        <f>BG213</f>
        <v>67.709999999999994</v>
      </c>
      <c r="BE213" s="523">
        <f>ROUND(BD213*(1+$J$14),2)</f>
        <v>85.86</v>
      </c>
      <c r="BF213" s="523">
        <f t="shared" si="152"/>
        <v>48879.24</v>
      </c>
      <c r="BG213" s="34">
        <f>'COMPOSIÇÃO AB'!G411</f>
        <v>67.709999999999994</v>
      </c>
    </row>
    <row r="214" spans="1:59" ht="75">
      <c r="A214" s="23" t="s">
        <v>2449</v>
      </c>
      <c r="B214" s="24">
        <v>87273</v>
      </c>
      <c r="C214" s="23" t="s">
        <v>101</v>
      </c>
      <c r="D214" s="25" t="s">
        <v>12</v>
      </c>
      <c r="E214" s="25" t="s">
        <v>26</v>
      </c>
      <c r="F214" s="26">
        <v>156.69999999999999</v>
      </c>
      <c r="G214" s="26">
        <f t="shared" si="121"/>
        <v>49.410499999999999</v>
      </c>
      <c r="H214" s="26">
        <f t="shared" si="148"/>
        <v>62.66</v>
      </c>
      <c r="I214" s="26">
        <f t="shared" si="149"/>
        <v>9818.82</v>
      </c>
      <c r="J214" s="2" t="e">
        <f>IF(B214&lt;&gt;0,VLOOKUP(B214,#REF!,4,FALSE),"")</f>
        <v>#REF!</v>
      </c>
      <c r="K214" s="368" t="s">
        <v>3315</v>
      </c>
      <c r="L214" s="362">
        <f t="shared" si="122"/>
        <v>7742.6253499999993</v>
      </c>
      <c r="N214" s="2" t="e">
        <f>IF(B214&lt;&gt;0,VLOOKUP(B214,#REF!,2,FALSE),"")</f>
        <v>#REF!</v>
      </c>
      <c r="AY214" s="21"/>
      <c r="AZ214" s="481"/>
      <c r="BA214" s="481"/>
      <c r="BB214" s="481"/>
      <c r="BC214" s="481"/>
      <c r="BD214" s="163">
        <f t="shared" ref="BD214:BD217" si="155">ROUND(G214*$BH$19,2)</f>
        <v>55.04</v>
      </c>
      <c r="BE214" s="163">
        <f t="shared" ref="BE214:BE217" si="156">ROUND(BD214*(1+$J$14),2)</f>
        <v>69.8</v>
      </c>
      <c r="BF214" s="163">
        <f t="shared" si="152"/>
        <v>10937.66</v>
      </c>
    </row>
    <row r="215" spans="1:59" s="62" customFormat="1" ht="75">
      <c r="A215" s="23" t="s">
        <v>2450</v>
      </c>
      <c r="B215" s="24">
        <v>10078</v>
      </c>
      <c r="C215" s="23" t="s">
        <v>102</v>
      </c>
      <c r="D215" s="25" t="s">
        <v>44</v>
      </c>
      <c r="E215" s="25" t="s">
        <v>26</v>
      </c>
      <c r="F215" s="26">
        <v>262.41000000000003</v>
      </c>
      <c r="G215" s="26">
        <f t="shared" si="121"/>
        <v>567.35800000000006</v>
      </c>
      <c r="H215" s="26">
        <f t="shared" si="148"/>
        <v>719.47</v>
      </c>
      <c r="I215" s="26">
        <f t="shared" si="149"/>
        <v>188796.12</v>
      </c>
      <c r="J215" s="63">
        <f>'COMPOSIÇÃO DE CUSTOS'!G396</f>
        <v>567.36</v>
      </c>
      <c r="K215" s="379">
        <v>667.48</v>
      </c>
      <c r="L215" s="362">
        <f t="shared" si="122"/>
        <v>148880.41278000004</v>
      </c>
      <c r="M215" s="63"/>
      <c r="AY215" s="221"/>
      <c r="AZ215" s="481"/>
      <c r="BA215" s="481"/>
      <c r="BB215" s="481"/>
      <c r="BC215" s="481"/>
      <c r="BD215" s="163">
        <f t="shared" si="155"/>
        <v>632.04</v>
      </c>
      <c r="BE215" s="163">
        <f t="shared" si="156"/>
        <v>801.49</v>
      </c>
      <c r="BF215" s="163">
        <f t="shared" si="152"/>
        <v>210318.99</v>
      </c>
    </row>
    <row r="216" spans="1:59" s="62" customFormat="1" ht="30">
      <c r="A216" s="23" t="s">
        <v>2451</v>
      </c>
      <c r="B216" s="25" t="s">
        <v>2081</v>
      </c>
      <c r="C216" s="23" t="s">
        <v>103</v>
      </c>
      <c r="D216" s="25" t="s">
        <v>70</v>
      </c>
      <c r="E216" s="25" t="s">
        <v>26</v>
      </c>
      <c r="F216" s="26">
        <v>14.323499999999999</v>
      </c>
      <c r="G216" s="26">
        <f t="shared" ref="G216:G279" si="157">K216-(K216*$K$15)</f>
        <v>53.626500000000007</v>
      </c>
      <c r="H216" s="26">
        <f t="shared" si="148"/>
        <v>68</v>
      </c>
      <c r="I216" s="26">
        <f>ROUND(H216*F216,2)</f>
        <v>974</v>
      </c>
      <c r="J216" s="63">
        <f>'COMPOSIÇÃO DE CUSTOS'!G404</f>
        <v>53.63</v>
      </c>
      <c r="K216" s="379">
        <v>63.09</v>
      </c>
      <c r="L216" s="362">
        <f t="shared" ref="L216:L279" si="158">F216*G216</f>
        <v>768.11917275000008</v>
      </c>
      <c r="M216" s="63"/>
      <c r="AY216" s="221"/>
      <c r="AZ216" s="481"/>
      <c r="BA216" s="481"/>
      <c r="BB216" s="481"/>
      <c r="BC216" s="481"/>
      <c r="BD216" s="163">
        <f t="shared" si="155"/>
        <v>59.74</v>
      </c>
      <c r="BE216" s="163">
        <f t="shared" si="156"/>
        <v>75.760000000000005</v>
      </c>
      <c r="BF216" s="163">
        <f t="shared" si="152"/>
        <v>1085.1500000000001</v>
      </c>
    </row>
    <row r="217" spans="1:59" s="62" customFormat="1" ht="45">
      <c r="A217" s="23" t="s">
        <v>2452</v>
      </c>
      <c r="B217" s="24">
        <v>120173</v>
      </c>
      <c r="C217" s="23" t="s">
        <v>2624</v>
      </c>
      <c r="D217" s="25" t="s">
        <v>1915</v>
      </c>
      <c r="E217" s="25" t="s">
        <v>26</v>
      </c>
      <c r="F217" s="26">
        <v>33.479999999999997</v>
      </c>
      <c r="G217" s="26">
        <f t="shared" si="157"/>
        <v>88.408500000000004</v>
      </c>
      <c r="H217" s="26">
        <f t="shared" si="148"/>
        <v>112.11</v>
      </c>
      <c r="I217" s="26">
        <f>ROUND(H217*F217,2)</f>
        <v>3753.44</v>
      </c>
      <c r="J217" s="63">
        <f>'COMPOSIÇÃO DE CUSTOS'!G413</f>
        <v>88.4</v>
      </c>
      <c r="K217" s="379">
        <v>104.01</v>
      </c>
      <c r="L217" s="362">
        <f t="shared" si="158"/>
        <v>2959.9165800000001</v>
      </c>
      <c r="M217" s="63"/>
      <c r="AY217" s="221"/>
      <c r="AZ217" s="481"/>
      <c r="BA217" s="481"/>
      <c r="BB217" s="481"/>
      <c r="BC217" s="481"/>
      <c r="BD217" s="163">
        <f t="shared" si="155"/>
        <v>98.49</v>
      </c>
      <c r="BE217" s="163">
        <f t="shared" si="156"/>
        <v>124.9</v>
      </c>
      <c r="BF217" s="163">
        <f t="shared" si="152"/>
        <v>4181.6499999999996</v>
      </c>
    </row>
    <row r="218" spans="1:59" s="34" customFormat="1" ht="75">
      <c r="A218" s="471" t="s">
        <v>2453</v>
      </c>
      <c r="B218" s="475">
        <v>87530</v>
      </c>
      <c r="C218" s="471" t="s">
        <v>1569</v>
      </c>
      <c r="D218" s="472" t="s">
        <v>12</v>
      </c>
      <c r="E218" s="472" t="s">
        <v>26</v>
      </c>
      <c r="F218" s="473">
        <v>1561.914</v>
      </c>
      <c r="G218" s="473">
        <f t="shared" si="157"/>
        <v>25.151499999999999</v>
      </c>
      <c r="H218" s="473">
        <f t="shared" si="148"/>
        <v>31.89</v>
      </c>
      <c r="I218" s="473">
        <f>ROUND(H218*F218,2)</f>
        <v>49809.440000000002</v>
      </c>
      <c r="J218" s="34" t="e">
        <f>IF(B218&lt;&gt;0,VLOOKUP(B218,#REF!,4,FALSE),"")</f>
        <v>#REF!</v>
      </c>
      <c r="K218" s="476" t="s">
        <v>3292</v>
      </c>
      <c r="L218" s="378">
        <f t="shared" si="158"/>
        <v>39284.479971000001</v>
      </c>
      <c r="N218" s="34" t="e">
        <f>IF(B218&lt;&gt;0,VLOOKUP(B218,#REF!,2,FALSE),"")</f>
        <v>#REF!</v>
      </c>
      <c r="AY218" s="577"/>
      <c r="AZ218" s="502"/>
      <c r="BA218" s="502"/>
      <c r="BB218" s="502"/>
      <c r="BC218" s="502"/>
      <c r="BD218" s="523">
        <f>BG218</f>
        <v>32</v>
      </c>
      <c r="BE218" s="523">
        <f>ROUND(BD218*(1+$J$14),2)</f>
        <v>40.58</v>
      </c>
      <c r="BF218" s="523">
        <f t="shared" si="152"/>
        <v>63382.47</v>
      </c>
      <c r="BG218" s="34">
        <f>'COMPOSIÇÃO AB'!G422</f>
        <v>32</v>
      </c>
    </row>
    <row r="219" spans="1:59" s="34" customFormat="1" ht="45">
      <c r="A219" s="471" t="s">
        <v>2454</v>
      </c>
      <c r="B219" s="475">
        <v>8854</v>
      </c>
      <c r="C219" s="471" t="s">
        <v>104</v>
      </c>
      <c r="D219" s="472" t="s">
        <v>44</v>
      </c>
      <c r="E219" s="472" t="s">
        <v>26</v>
      </c>
      <c r="F219" s="473">
        <v>872.3</v>
      </c>
      <c r="G219" s="473">
        <f t="shared" si="157"/>
        <v>83.078999999999994</v>
      </c>
      <c r="H219" s="473">
        <f t="shared" si="148"/>
        <v>105.35</v>
      </c>
      <c r="I219" s="473">
        <f t="shared" ref="I219:I223" si="159">ROUND(H219*F219,2)</f>
        <v>91896.81</v>
      </c>
      <c r="J219" s="474">
        <f>'COMPOSIÇÃO DE CUSTOS'!G424</f>
        <v>83.08</v>
      </c>
      <c r="K219" s="378">
        <v>97.74</v>
      </c>
      <c r="L219" s="378">
        <f t="shared" si="158"/>
        <v>72469.811699999991</v>
      </c>
      <c r="M219" s="474"/>
      <c r="AY219" s="577"/>
      <c r="AZ219" s="502"/>
      <c r="BA219" s="502"/>
      <c r="BB219" s="502"/>
      <c r="BC219" s="502"/>
      <c r="BD219" s="523">
        <f>BG219</f>
        <v>265.74</v>
      </c>
      <c r="BE219" s="523">
        <f>ROUND(BD219*(1+$J$14),2)</f>
        <v>336.98</v>
      </c>
      <c r="BF219" s="523">
        <f t="shared" si="152"/>
        <v>293947.65000000002</v>
      </c>
      <c r="BG219" s="34">
        <f>ROUND(175385.74/659.99,2)</f>
        <v>265.74</v>
      </c>
    </row>
    <row r="220" spans="1:59" s="34" customFormat="1" ht="50.25" customHeight="1">
      <c r="A220" s="471" t="s">
        <v>2455</v>
      </c>
      <c r="B220" s="475">
        <v>8854</v>
      </c>
      <c r="C220" s="471" t="s">
        <v>105</v>
      </c>
      <c r="D220" s="472" t="s">
        <v>44</v>
      </c>
      <c r="E220" s="472" t="s">
        <v>26</v>
      </c>
      <c r="F220" s="473">
        <v>25</v>
      </c>
      <c r="G220" s="473">
        <f t="shared" si="157"/>
        <v>83.078999999999994</v>
      </c>
      <c r="H220" s="473">
        <f t="shared" si="148"/>
        <v>105.35</v>
      </c>
      <c r="I220" s="473">
        <f t="shared" si="159"/>
        <v>2633.75</v>
      </c>
      <c r="J220" s="474">
        <f>J219</f>
        <v>83.08</v>
      </c>
      <c r="K220" s="378">
        <v>97.74</v>
      </c>
      <c r="L220" s="378">
        <f t="shared" si="158"/>
        <v>2076.9749999999999</v>
      </c>
      <c r="M220" s="474"/>
      <c r="AY220" s="577"/>
      <c r="AZ220" s="502"/>
      <c r="BA220" s="502"/>
      <c r="BB220" s="502"/>
      <c r="BC220" s="502"/>
      <c r="BD220" s="523">
        <f>BG220</f>
        <v>265.74</v>
      </c>
      <c r="BE220" s="523">
        <f>ROUND(BD220*(1+$J$14),2)</f>
        <v>336.98</v>
      </c>
      <c r="BF220" s="523">
        <f t="shared" si="152"/>
        <v>8424.5</v>
      </c>
      <c r="BG220" s="34">
        <f>ROUND(6882.66/25.9,2)</f>
        <v>265.74</v>
      </c>
    </row>
    <row r="221" spans="1:59" s="62" customFormat="1" ht="45">
      <c r="A221" s="23" t="s">
        <v>2456</v>
      </c>
      <c r="B221" s="24">
        <v>10708</v>
      </c>
      <c r="C221" s="23" t="s">
        <v>1770</v>
      </c>
      <c r="D221" s="25" t="s">
        <v>12</v>
      </c>
      <c r="E221" s="25" t="s">
        <v>26</v>
      </c>
      <c r="F221" s="26">
        <v>50.38</v>
      </c>
      <c r="G221" s="26">
        <f t="shared" si="157"/>
        <v>37.442499999999995</v>
      </c>
      <c r="H221" s="26">
        <f t="shared" si="148"/>
        <v>47.48</v>
      </c>
      <c r="I221" s="26">
        <f t="shared" si="159"/>
        <v>2392.04</v>
      </c>
      <c r="J221" s="65" t="e">
        <f>IF(B221&lt;&gt;0,VLOOKUP(B221,#REF!,4,FALSE),"")</f>
        <v>#REF!</v>
      </c>
      <c r="K221" s="362" t="s">
        <v>3318</v>
      </c>
      <c r="L221" s="362">
        <f t="shared" si="158"/>
        <v>1886.3531499999999</v>
      </c>
      <c r="M221" s="65"/>
      <c r="N221" s="62" t="e">
        <f>IF(B221&lt;&gt;0,VLOOKUP(B221,#REF!,2,FALSE),"")</f>
        <v>#REF!</v>
      </c>
      <c r="AY221" s="221"/>
      <c r="AZ221" s="481"/>
      <c r="BA221" s="481"/>
      <c r="BB221" s="481"/>
      <c r="BC221" s="481"/>
      <c r="BD221" s="163">
        <f t="shared" ref="BD221:BD223" si="160">ROUND(G221*$BH$19,2)</f>
        <v>41.71</v>
      </c>
      <c r="BE221" s="163">
        <f t="shared" ref="BE221:BE223" si="161">ROUND(BD221*(1+$J$14),2)</f>
        <v>52.89</v>
      </c>
      <c r="BF221" s="163">
        <f t="shared" si="152"/>
        <v>2664.6</v>
      </c>
    </row>
    <row r="222" spans="1:59" s="45" customFormat="1" ht="90">
      <c r="A222" s="23" t="s">
        <v>2457</v>
      </c>
      <c r="B222" s="24">
        <v>5057</v>
      </c>
      <c r="C222" s="23" t="s">
        <v>106</v>
      </c>
      <c r="D222" s="25" t="s">
        <v>44</v>
      </c>
      <c r="E222" s="25" t="s">
        <v>26</v>
      </c>
      <c r="F222" s="26">
        <v>27.85</v>
      </c>
      <c r="G222" s="26">
        <f t="shared" si="157"/>
        <v>389.99700000000001</v>
      </c>
      <c r="H222" s="26">
        <f t="shared" si="148"/>
        <v>494.56</v>
      </c>
      <c r="I222" s="26">
        <f t="shared" si="159"/>
        <v>13773.5</v>
      </c>
      <c r="J222" s="49">
        <f>'COMPOSIÇÃO DE CUSTOS'!G2086</f>
        <v>390</v>
      </c>
      <c r="K222" s="364">
        <v>458.82</v>
      </c>
      <c r="L222" s="362">
        <f t="shared" si="158"/>
        <v>10861.416450000001</v>
      </c>
      <c r="M222" s="49"/>
      <c r="AY222" s="56"/>
      <c r="AZ222" s="481"/>
      <c r="BA222" s="481"/>
      <c r="BB222" s="481"/>
      <c r="BC222" s="481"/>
      <c r="BD222" s="163">
        <f t="shared" si="160"/>
        <v>434.46</v>
      </c>
      <c r="BE222" s="163">
        <f t="shared" si="161"/>
        <v>550.94000000000005</v>
      </c>
      <c r="BF222" s="163">
        <f t="shared" si="152"/>
        <v>15343.68</v>
      </c>
    </row>
    <row r="223" spans="1:59" s="28" customFormat="1" ht="45">
      <c r="A223" s="23" t="s">
        <v>2458</v>
      </c>
      <c r="B223" s="24">
        <v>7284</v>
      </c>
      <c r="C223" s="23" t="s">
        <v>2007</v>
      </c>
      <c r="D223" s="25" t="s">
        <v>44</v>
      </c>
      <c r="E223" s="25" t="s">
        <v>52</v>
      </c>
      <c r="F223" s="26">
        <v>232.36</v>
      </c>
      <c r="G223" s="26">
        <f t="shared" si="157"/>
        <v>74.468500000000006</v>
      </c>
      <c r="H223" s="26">
        <f t="shared" si="148"/>
        <v>94.43</v>
      </c>
      <c r="I223" s="26">
        <f t="shared" si="159"/>
        <v>21941.75</v>
      </c>
      <c r="J223" s="36">
        <f>'COMPOSIÇÃO DE CUSTOS'!G2128</f>
        <v>74.47</v>
      </c>
      <c r="K223" s="374">
        <v>87.61</v>
      </c>
      <c r="L223" s="362">
        <f t="shared" si="158"/>
        <v>17303.500660000002</v>
      </c>
      <c r="M223" s="36"/>
      <c r="AY223" s="370"/>
      <c r="AZ223" s="481"/>
      <c r="BA223" s="481"/>
      <c r="BB223" s="481"/>
      <c r="BC223" s="481"/>
      <c r="BD223" s="163">
        <f t="shared" si="160"/>
        <v>82.96</v>
      </c>
      <c r="BE223" s="163">
        <f t="shared" si="161"/>
        <v>105.2</v>
      </c>
      <c r="BF223" s="163">
        <f t="shared" si="152"/>
        <v>24444.27</v>
      </c>
    </row>
    <row r="224" spans="1:59" ht="27" customHeight="1">
      <c r="A224" s="23"/>
      <c r="B224" s="25"/>
      <c r="C224" s="23"/>
      <c r="D224" s="25"/>
      <c r="E224" s="25"/>
      <c r="F224" s="26"/>
      <c r="G224" s="26"/>
      <c r="H224" s="26"/>
      <c r="I224" s="26"/>
      <c r="L224" s="362">
        <f t="shared" si="158"/>
        <v>0</v>
      </c>
      <c r="AY224" s="21"/>
      <c r="AZ224" s="481"/>
      <c r="BA224" s="481"/>
      <c r="BB224" s="481"/>
      <c r="BC224" s="481"/>
      <c r="BD224" s="481"/>
      <c r="BE224" s="481"/>
      <c r="BF224" s="481"/>
    </row>
    <row r="225" spans="1:59" s="45" customFormat="1">
      <c r="A225" s="356" t="s">
        <v>805</v>
      </c>
      <c r="B225" s="356"/>
      <c r="C225" s="356" t="s">
        <v>108</v>
      </c>
      <c r="D225" s="357"/>
      <c r="E225" s="357"/>
      <c r="F225" s="357"/>
      <c r="G225" s="26"/>
      <c r="H225" s="357"/>
      <c r="I225" s="96">
        <f>ROUND(SUM(I226:I231),2)</f>
        <v>270974.69</v>
      </c>
      <c r="K225" s="381"/>
      <c r="L225" s="362">
        <f t="shared" si="158"/>
        <v>0</v>
      </c>
      <c r="AY225" s="56"/>
      <c r="AZ225" s="481"/>
      <c r="BA225" s="481"/>
      <c r="BB225" s="481"/>
      <c r="BC225" s="481"/>
      <c r="BD225" s="481"/>
      <c r="BE225" s="481"/>
      <c r="BF225" s="96">
        <f>ROUND(SUM(BF226:BF231),2)</f>
        <v>406325.5</v>
      </c>
    </row>
    <row r="226" spans="1:59" s="34" customFormat="1" ht="60">
      <c r="A226" s="471" t="s">
        <v>806</v>
      </c>
      <c r="B226" s="475">
        <v>87622</v>
      </c>
      <c r="C226" s="471" t="s">
        <v>109</v>
      </c>
      <c r="D226" s="472" t="s">
        <v>12</v>
      </c>
      <c r="E226" s="472" t="s">
        <v>26</v>
      </c>
      <c r="F226" s="473">
        <v>2386.6380000000004</v>
      </c>
      <c r="G226" s="473">
        <f t="shared" si="157"/>
        <v>25.848500000000001</v>
      </c>
      <c r="H226" s="473">
        <f t="shared" ref="H226:H231" si="162">ROUND(G226*(1+$J$14),2)</f>
        <v>32.78</v>
      </c>
      <c r="I226" s="473">
        <f t="shared" ref="I226:I231" si="163">ROUND(H226*F226,2)</f>
        <v>78233.990000000005</v>
      </c>
      <c r="J226" s="47" t="e">
        <f>IF(B226&lt;&gt;0,VLOOKUP(B226,#REF!,4,FALSE),"")</f>
        <v>#REF!</v>
      </c>
      <c r="K226" s="378" t="s">
        <v>3313</v>
      </c>
      <c r="L226" s="378">
        <f t="shared" si="158"/>
        <v>61691.012343000009</v>
      </c>
      <c r="M226" s="47"/>
      <c r="N226" s="34" t="e">
        <f>IF(B226&lt;&gt;0,VLOOKUP(B226,#REF!,2,FALSE),"")</f>
        <v>#REF!</v>
      </c>
      <c r="AY226" s="577"/>
      <c r="AZ226" s="502"/>
      <c r="BA226" s="502"/>
      <c r="BB226" s="502"/>
      <c r="BC226" s="502"/>
      <c r="BD226" s="523">
        <f>BG226</f>
        <v>35.36</v>
      </c>
      <c r="BE226" s="523">
        <f>ROUND(BD226*(1+$J$14),2)</f>
        <v>44.84</v>
      </c>
      <c r="BF226" s="523">
        <f t="shared" ref="BF226:BF231" si="164">ROUND(BE226*F226,2)</f>
        <v>107016.85</v>
      </c>
      <c r="BG226" s="34">
        <f>'COMPOSIÇÃO AB'!G434</f>
        <v>35.36</v>
      </c>
    </row>
    <row r="227" spans="1:59" s="62" customFormat="1" ht="45">
      <c r="A227" s="23" t="s">
        <v>807</v>
      </c>
      <c r="B227" s="24">
        <v>11808</v>
      </c>
      <c r="C227" s="23" t="s">
        <v>2640</v>
      </c>
      <c r="D227" s="25" t="s">
        <v>44</v>
      </c>
      <c r="E227" s="25" t="s">
        <v>26</v>
      </c>
      <c r="F227" s="26">
        <v>170</v>
      </c>
      <c r="G227" s="26">
        <f t="shared" si="157"/>
        <v>82.12700000000001</v>
      </c>
      <c r="H227" s="26">
        <f t="shared" si="162"/>
        <v>104.15</v>
      </c>
      <c r="I227" s="26">
        <f t="shared" si="163"/>
        <v>17705.5</v>
      </c>
      <c r="J227" s="64">
        <f>'COMPOSIÇÃO DE CUSTOS'!G2315</f>
        <v>82.13</v>
      </c>
      <c r="K227" s="362">
        <v>96.62</v>
      </c>
      <c r="L227" s="362">
        <f t="shared" si="158"/>
        <v>13961.590000000002</v>
      </c>
      <c r="M227" s="64"/>
      <c r="N227" s="62" t="e">
        <f>IF(B227&lt;&gt;0,VLOOKUP(B227,#REF!,2,FALSE),"")</f>
        <v>#REF!</v>
      </c>
      <c r="AY227" s="221"/>
      <c r="AZ227" s="481"/>
      <c r="BA227" s="481"/>
      <c r="BB227" s="481"/>
      <c r="BC227" s="481"/>
      <c r="BD227" s="163">
        <f t="shared" ref="BD227" si="165">ROUND(G227*$BH$19,2)</f>
        <v>91.49</v>
      </c>
      <c r="BE227" s="163">
        <f t="shared" ref="BE227" si="166">ROUND(BD227*(1+$J$14),2)</f>
        <v>116.02</v>
      </c>
      <c r="BF227" s="163">
        <f t="shared" si="164"/>
        <v>19723.400000000001</v>
      </c>
    </row>
    <row r="228" spans="1:59" s="34" customFormat="1" ht="45">
      <c r="A228" s="471" t="s">
        <v>808</v>
      </c>
      <c r="B228" s="475">
        <v>87263</v>
      </c>
      <c r="C228" s="471" t="s">
        <v>2639</v>
      </c>
      <c r="D228" s="472" t="s">
        <v>12</v>
      </c>
      <c r="E228" s="472" t="s">
        <v>26</v>
      </c>
      <c r="F228" s="473">
        <f>1310-133.34</f>
        <v>1176.6600000000001</v>
      </c>
      <c r="G228" s="473">
        <f t="shared" si="157"/>
        <v>98.608500000000006</v>
      </c>
      <c r="H228" s="473">
        <f t="shared" si="162"/>
        <v>125.05</v>
      </c>
      <c r="I228" s="473">
        <f t="shared" si="163"/>
        <v>147141.32999999999</v>
      </c>
      <c r="J228" s="47" t="e">
        <f>IF(B228&lt;&gt;0,VLOOKUP(B228,#REF!,4,FALSE),"")</f>
        <v>#REF!</v>
      </c>
      <c r="K228" s="378" t="s">
        <v>3186</v>
      </c>
      <c r="L228" s="378">
        <f t="shared" si="158"/>
        <v>116028.67761000001</v>
      </c>
      <c r="M228" s="47"/>
      <c r="N228" s="34" t="e">
        <f>IF(B228&lt;&gt;0,VLOOKUP(B228,#REF!,2,FALSE),"")</f>
        <v>#REF!</v>
      </c>
      <c r="AY228" s="577"/>
      <c r="AZ228" s="502"/>
      <c r="BA228" s="502"/>
      <c r="BB228" s="502"/>
      <c r="BC228" s="502"/>
      <c r="BD228" s="523">
        <f>BG228</f>
        <v>166.55</v>
      </c>
      <c r="BE228" s="523">
        <f>ROUND(BD228*(1+$J$14),2)</f>
        <v>211.2</v>
      </c>
      <c r="BF228" s="523">
        <f t="shared" si="164"/>
        <v>248510.59</v>
      </c>
      <c r="BG228" s="34">
        <f>'COMPOSIÇÃO AB'!G443</f>
        <v>166.55</v>
      </c>
    </row>
    <row r="229" spans="1:59" s="62" customFormat="1" ht="30">
      <c r="A229" s="23" t="s">
        <v>809</v>
      </c>
      <c r="B229" s="24">
        <v>7223</v>
      </c>
      <c r="C229" s="23" t="s">
        <v>2424</v>
      </c>
      <c r="D229" s="25" t="s">
        <v>44</v>
      </c>
      <c r="E229" s="25" t="s">
        <v>68</v>
      </c>
      <c r="F229" s="26">
        <v>133.34</v>
      </c>
      <c r="G229" s="26">
        <f t="shared" si="157"/>
        <v>107.304</v>
      </c>
      <c r="H229" s="26">
        <f t="shared" si="162"/>
        <v>136.07</v>
      </c>
      <c r="I229" s="26">
        <f t="shared" si="163"/>
        <v>18143.57</v>
      </c>
      <c r="J229" s="64">
        <f>'COMPOSIÇÃO DE CUSTOS'!G430</f>
        <v>107.3</v>
      </c>
      <c r="K229" s="362">
        <v>126.24</v>
      </c>
      <c r="L229" s="362">
        <f t="shared" si="158"/>
        <v>14307.915360000001</v>
      </c>
      <c r="M229" s="64"/>
      <c r="AY229" s="221"/>
      <c r="AZ229" s="481"/>
      <c r="BA229" s="481"/>
      <c r="BB229" s="481"/>
      <c r="BC229" s="481"/>
      <c r="BD229" s="163">
        <f t="shared" ref="BD229:BD230" si="167">ROUND(G229*$BH$19,2)</f>
        <v>119.54</v>
      </c>
      <c r="BE229" s="163">
        <f t="shared" ref="BE229:BE231" si="168">ROUND(BD229*(1+$J$14),2)</f>
        <v>151.59</v>
      </c>
      <c r="BF229" s="163">
        <f t="shared" si="164"/>
        <v>20213.009999999998</v>
      </c>
    </row>
    <row r="230" spans="1:59" s="62" customFormat="1" ht="30">
      <c r="A230" s="41" t="s">
        <v>2459</v>
      </c>
      <c r="B230" s="24">
        <v>7285</v>
      </c>
      <c r="C230" s="23" t="s">
        <v>2005</v>
      </c>
      <c r="D230" s="25" t="s">
        <v>44</v>
      </c>
      <c r="E230" s="25" t="s">
        <v>52</v>
      </c>
      <c r="F230" s="26">
        <v>7.08</v>
      </c>
      <c r="G230" s="26">
        <f t="shared" si="157"/>
        <v>48.841000000000001</v>
      </c>
      <c r="H230" s="26">
        <f t="shared" si="162"/>
        <v>61.94</v>
      </c>
      <c r="I230" s="26">
        <f t="shared" si="163"/>
        <v>438.54</v>
      </c>
      <c r="J230" s="64">
        <f>'COMPOSIÇÃO DE CUSTOS'!G2121</f>
        <v>48.84</v>
      </c>
      <c r="K230" s="362">
        <v>57.46</v>
      </c>
      <c r="L230" s="362">
        <f t="shared" si="158"/>
        <v>345.79428000000001</v>
      </c>
      <c r="M230" s="64"/>
      <c r="AY230" s="221"/>
      <c r="AZ230" s="481"/>
      <c r="BA230" s="481"/>
      <c r="BB230" s="481"/>
      <c r="BC230" s="481"/>
      <c r="BD230" s="163">
        <f t="shared" si="167"/>
        <v>54.41</v>
      </c>
      <c r="BE230" s="163">
        <f t="shared" si="168"/>
        <v>69</v>
      </c>
      <c r="BF230" s="163">
        <f t="shared" si="164"/>
        <v>488.52</v>
      </c>
    </row>
    <row r="231" spans="1:59" s="62" customFormat="1" ht="30">
      <c r="A231" s="41" t="s">
        <v>3433</v>
      </c>
      <c r="B231" s="24">
        <f>'COMPOSIÇÃO DE CUSTOS'!G2577</f>
        <v>11903</v>
      </c>
      <c r="C231" s="470" t="s">
        <v>3630</v>
      </c>
      <c r="D231" s="25" t="s">
        <v>44</v>
      </c>
      <c r="E231" s="25" t="s">
        <v>52</v>
      </c>
      <c r="F231" s="26">
        <v>55.95</v>
      </c>
      <c r="G231" s="26">
        <f t="shared" si="157"/>
        <v>131.24</v>
      </c>
      <c r="H231" s="26">
        <f t="shared" si="162"/>
        <v>166.43</v>
      </c>
      <c r="I231" s="26">
        <f t="shared" si="163"/>
        <v>9311.76</v>
      </c>
      <c r="J231" s="64">
        <f>'COMPOSIÇÃO DE CUSTOS'!G2583</f>
        <v>131.22999999999999</v>
      </c>
      <c r="K231" s="362">
        <v>154.4</v>
      </c>
      <c r="L231" s="362">
        <f t="shared" si="158"/>
        <v>7342.8780000000006</v>
      </c>
      <c r="M231" s="64"/>
      <c r="AY231" s="221"/>
      <c r="AZ231" s="481"/>
      <c r="BA231" s="481"/>
      <c r="BB231" s="481"/>
      <c r="BC231" s="481"/>
      <c r="BD231" s="163">
        <f>ROUND(G231*$BH$19,2)</f>
        <v>146.19999999999999</v>
      </c>
      <c r="BE231" s="163">
        <f t="shared" si="168"/>
        <v>185.4</v>
      </c>
      <c r="BF231" s="163">
        <f t="shared" si="164"/>
        <v>10373.129999999999</v>
      </c>
    </row>
    <row r="232" spans="1:59" ht="36" customHeight="1">
      <c r="A232" s="23"/>
      <c r="B232" s="25"/>
      <c r="C232" s="23"/>
      <c r="D232" s="25"/>
      <c r="E232" s="25"/>
      <c r="F232" s="26"/>
      <c r="G232" s="26"/>
      <c r="H232" s="26"/>
      <c r="I232" s="26"/>
      <c r="L232" s="362">
        <f t="shared" si="158"/>
        <v>0</v>
      </c>
      <c r="AY232" s="21"/>
      <c r="AZ232" s="481"/>
      <c r="BA232" s="481"/>
      <c r="BB232" s="481"/>
      <c r="BC232" s="481"/>
      <c r="BD232" s="481"/>
      <c r="BE232" s="481"/>
      <c r="BF232" s="481"/>
    </row>
    <row r="233" spans="1:59" s="45" customFormat="1" ht="15" customHeight="1">
      <c r="A233" s="356" t="s">
        <v>811</v>
      </c>
      <c r="B233" s="356"/>
      <c r="C233" s="356" t="s">
        <v>110</v>
      </c>
      <c r="D233" s="357"/>
      <c r="E233" s="357"/>
      <c r="F233" s="357"/>
      <c r="G233" s="26"/>
      <c r="H233" s="357"/>
      <c r="I233" s="96">
        <f>ROUND(SUM(I234:I238),2)</f>
        <v>135801.71</v>
      </c>
      <c r="K233" s="381"/>
      <c r="L233" s="362">
        <f t="shared" si="158"/>
        <v>0</v>
      </c>
      <c r="AY233" s="56"/>
      <c r="AZ233" s="481"/>
      <c r="BA233" s="481"/>
      <c r="BB233" s="481"/>
      <c r="BC233" s="481"/>
      <c r="BD233" s="481"/>
      <c r="BE233" s="481"/>
      <c r="BF233" s="96">
        <f>ROUND(SUM(BF234:BF238),2)</f>
        <v>160213.5</v>
      </c>
    </row>
    <row r="234" spans="1:59" s="28" customFormat="1" ht="30">
      <c r="A234" s="23" t="s">
        <v>812</v>
      </c>
      <c r="B234" s="24">
        <v>72961</v>
      </c>
      <c r="C234" s="23" t="s">
        <v>111</v>
      </c>
      <c r="D234" s="25" t="s">
        <v>1915</v>
      </c>
      <c r="E234" s="25" t="s">
        <v>26</v>
      </c>
      <c r="F234" s="26">
        <v>466.35050000000001</v>
      </c>
      <c r="G234" s="26">
        <f t="shared" si="157"/>
        <v>1.3260000000000001</v>
      </c>
      <c r="H234" s="26">
        <f>ROUND(G234*(1+$J$14),2)</f>
        <v>1.68</v>
      </c>
      <c r="I234" s="26">
        <f>ROUND(H234*F234,2)</f>
        <v>783.47</v>
      </c>
      <c r="J234" s="33">
        <f>'COMPOSIÇÃO DE CUSTOS'!G442</f>
        <v>1.33</v>
      </c>
      <c r="K234" s="377">
        <v>1.56</v>
      </c>
      <c r="L234" s="362">
        <f t="shared" si="158"/>
        <v>618.380763</v>
      </c>
      <c r="M234" s="33"/>
      <c r="N234" s="28" t="e">
        <f>IF(B234&lt;&gt;0,VLOOKUP(B234,#REF!,2,FALSE),"")</f>
        <v>#REF!</v>
      </c>
      <c r="AY234" s="370"/>
      <c r="AZ234" s="481"/>
      <c r="BA234" s="481"/>
      <c r="BB234" s="481"/>
      <c r="BC234" s="481"/>
      <c r="BD234" s="163">
        <f t="shared" ref="BD234:BD236" si="169">ROUND(G234*$BH$19,2)</f>
        <v>1.48</v>
      </c>
      <c r="BE234" s="163">
        <f t="shared" ref="BE234:BE236" si="170">ROUND(BD234*(1+$J$14),2)</f>
        <v>1.88</v>
      </c>
      <c r="BF234" s="163">
        <f>ROUND(BE234*F234,2)</f>
        <v>876.74</v>
      </c>
    </row>
    <row r="235" spans="1:59" s="28" customFormat="1" ht="45">
      <c r="A235" s="23" t="s">
        <v>813</v>
      </c>
      <c r="B235" s="24">
        <v>83534</v>
      </c>
      <c r="C235" s="23" t="s">
        <v>49</v>
      </c>
      <c r="D235" s="25" t="s">
        <v>1915</v>
      </c>
      <c r="E235" s="25" t="s">
        <v>35</v>
      </c>
      <c r="F235" s="26">
        <v>23.317</v>
      </c>
      <c r="G235" s="26">
        <f t="shared" si="157"/>
        <v>477.23250000000007</v>
      </c>
      <c r="H235" s="26">
        <f>ROUND(G235*(1+$J$14),2)</f>
        <v>605.17999999999995</v>
      </c>
      <c r="I235" s="26">
        <f>ROUND(H235*F235,2)</f>
        <v>14110.98</v>
      </c>
      <c r="J235" s="33">
        <f>J73</f>
        <v>477.22999999999996</v>
      </c>
      <c r="K235" s="377">
        <v>561.45000000000005</v>
      </c>
      <c r="L235" s="362">
        <f t="shared" si="158"/>
        <v>11127.630202500002</v>
      </c>
      <c r="M235" s="33"/>
      <c r="N235" s="28" t="e">
        <f>IF(B235&lt;&gt;0,VLOOKUP(B235,#REF!,2,FALSE),"")</f>
        <v>#REF!</v>
      </c>
      <c r="AY235" s="370"/>
      <c r="AZ235" s="481"/>
      <c r="BA235" s="481"/>
      <c r="BB235" s="481"/>
      <c r="BC235" s="481"/>
      <c r="BD235" s="163">
        <f t="shared" si="169"/>
        <v>531.64</v>
      </c>
      <c r="BE235" s="163">
        <f t="shared" si="170"/>
        <v>674.17</v>
      </c>
      <c r="BF235" s="163">
        <f>ROUND(BE235*F235,2)</f>
        <v>15719.62</v>
      </c>
    </row>
    <row r="236" spans="1:59" s="28" customFormat="1" ht="90">
      <c r="A236" s="23" t="s">
        <v>814</v>
      </c>
      <c r="B236" s="24">
        <v>94275</v>
      </c>
      <c r="C236" s="23" t="s">
        <v>1570</v>
      </c>
      <c r="D236" s="25" t="s">
        <v>12</v>
      </c>
      <c r="E236" s="25" t="s">
        <v>52</v>
      </c>
      <c r="F236" s="26">
        <v>264.79950000000002</v>
      </c>
      <c r="G236" s="26">
        <f t="shared" si="157"/>
        <v>32.223499999999994</v>
      </c>
      <c r="H236" s="26">
        <f>ROUND(G236*(1+$J$14),2)</f>
        <v>40.86</v>
      </c>
      <c r="I236" s="26">
        <f>ROUND(H236*F236,2)</f>
        <v>10819.71</v>
      </c>
      <c r="J236" s="33" t="e">
        <f>IF(B236&lt;&gt;0,VLOOKUP(B236,#REF!,4,FALSE),"")</f>
        <v>#REF!</v>
      </c>
      <c r="K236" s="377" t="s">
        <v>3161</v>
      </c>
      <c r="L236" s="362">
        <f t="shared" si="158"/>
        <v>8532.7666882499998</v>
      </c>
      <c r="M236" s="33"/>
      <c r="N236" s="28" t="e">
        <f>IF(B236&lt;&gt;0,VLOOKUP(B236,#REF!,2,FALSE),"")</f>
        <v>#REF!</v>
      </c>
      <c r="AY236" s="370"/>
      <c r="AZ236" s="481"/>
      <c r="BA236" s="481"/>
      <c r="BB236" s="481"/>
      <c r="BC236" s="481"/>
      <c r="BD236" s="163">
        <f t="shared" si="169"/>
        <v>35.9</v>
      </c>
      <c r="BE236" s="163">
        <f t="shared" si="170"/>
        <v>45.52</v>
      </c>
      <c r="BF236" s="163">
        <f>ROUND(BE236*F236,2)</f>
        <v>12053.67</v>
      </c>
    </row>
    <row r="237" spans="1:59" s="34" customFormat="1" ht="60">
      <c r="A237" s="471" t="s">
        <v>815</v>
      </c>
      <c r="B237" s="475">
        <v>73465</v>
      </c>
      <c r="C237" s="471" t="s">
        <v>112</v>
      </c>
      <c r="D237" s="472" t="s">
        <v>1915</v>
      </c>
      <c r="E237" s="472" t="s">
        <v>26</v>
      </c>
      <c r="F237" s="473">
        <f>84+744.36</f>
        <v>828.36</v>
      </c>
      <c r="G237" s="473">
        <f t="shared" si="157"/>
        <v>27.412500000000001</v>
      </c>
      <c r="H237" s="473">
        <f>ROUND(G237*(1+$J$14),2)</f>
        <v>34.76</v>
      </c>
      <c r="I237" s="473">
        <f>ROUND(H237*F237,2)</f>
        <v>28793.79</v>
      </c>
      <c r="J237" s="477">
        <f>'COMPOSIÇÃO DE CUSTOS'!G449</f>
        <v>27.41</v>
      </c>
      <c r="K237" s="476">
        <v>32.25</v>
      </c>
      <c r="L237" s="378">
        <f t="shared" si="158"/>
        <v>22707.4185</v>
      </c>
      <c r="M237" s="477"/>
      <c r="N237" s="34" t="e">
        <f>IF(B237&lt;&gt;0,VLOOKUP(B237,#REF!,2,FALSE),"")</f>
        <v>#REF!</v>
      </c>
      <c r="AY237" s="577"/>
      <c r="AZ237" s="502"/>
      <c r="BA237" s="502"/>
      <c r="BB237" s="502"/>
      <c r="BC237" s="502"/>
      <c r="BD237" s="523">
        <f>BG237</f>
        <v>33.229999999999997</v>
      </c>
      <c r="BE237" s="523">
        <f>ROUND(BD237*(1+$J$14),2)</f>
        <v>42.14</v>
      </c>
      <c r="BF237" s="523">
        <f>ROUND(BE237*F237,2)</f>
        <v>34907.089999999997</v>
      </c>
      <c r="BG237" s="34">
        <f>'COMPOSIÇÃO AB'!G477</f>
        <v>33.229999999999997</v>
      </c>
    </row>
    <row r="238" spans="1:59" s="34" customFormat="1" ht="75">
      <c r="A238" s="471" t="s">
        <v>816</v>
      </c>
      <c r="B238" s="472" t="s">
        <v>2087</v>
      </c>
      <c r="C238" s="471" t="s">
        <v>113</v>
      </c>
      <c r="D238" s="472" t="s">
        <v>70</v>
      </c>
      <c r="E238" s="472" t="s">
        <v>26</v>
      </c>
      <c r="F238" s="473">
        <v>205.63</v>
      </c>
      <c r="G238" s="473">
        <f t="shared" si="157"/>
        <v>311.75450000000001</v>
      </c>
      <c r="H238" s="473">
        <f>ROUND(G238*(1+$J$14),2)</f>
        <v>395.34</v>
      </c>
      <c r="I238" s="473">
        <f>ROUND(H238*F238,2)</f>
        <v>81293.759999999995</v>
      </c>
      <c r="J238" s="477">
        <f>'COMPOSIÇÃO DE CUSTOS'!G460</f>
        <v>311.76</v>
      </c>
      <c r="K238" s="476">
        <v>366.77</v>
      </c>
      <c r="L238" s="378">
        <f t="shared" si="158"/>
        <v>64106.077835000004</v>
      </c>
      <c r="M238" s="477"/>
      <c r="AY238" s="577"/>
      <c r="AZ238" s="502"/>
      <c r="BA238" s="502"/>
      <c r="BB238" s="502"/>
      <c r="BC238" s="502"/>
      <c r="BD238" s="523">
        <f>BG238</f>
        <v>370.67</v>
      </c>
      <c r="BE238" s="523">
        <f>ROUND(BD238*(1+$J$14),2)</f>
        <v>470.05</v>
      </c>
      <c r="BF238" s="523">
        <f>ROUND(BE238*F238,2)</f>
        <v>96656.38</v>
      </c>
      <c r="BG238" s="34">
        <f>'COMPOSIÇÃO AB'!G488</f>
        <v>370.67</v>
      </c>
    </row>
    <row r="239" spans="1:59" ht="31.5" customHeight="1">
      <c r="A239" s="23"/>
      <c r="B239" s="25"/>
      <c r="C239" s="23"/>
      <c r="D239" s="25"/>
      <c r="E239" s="25"/>
      <c r="F239" s="26"/>
      <c r="G239" s="26"/>
      <c r="H239" s="26"/>
      <c r="I239" s="26"/>
      <c r="L239" s="362">
        <f t="shared" si="158"/>
        <v>0</v>
      </c>
      <c r="AY239" s="21"/>
      <c r="AZ239" s="481"/>
      <c r="BA239" s="481"/>
      <c r="BB239" s="481"/>
      <c r="BC239" s="481"/>
      <c r="BD239" s="481"/>
      <c r="BE239" s="481"/>
      <c r="BF239" s="481"/>
    </row>
    <row r="240" spans="1:59" s="45" customFormat="1" ht="15" customHeight="1">
      <c r="A240" s="356" t="s">
        <v>817</v>
      </c>
      <c r="B240" s="356"/>
      <c r="C240" s="356" t="s">
        <v>114</v>
      </c>
      <c r="D240" s="357"/>
      <c r="E240" s="357"/>
      <c r="F240" s="357"/>
      <c r="G240" s="26"/>
      <c r="H240" s="357"/>
      <c r="I240" s="96">
        <f>ROUND(I241+I390+I427+I1060,2)</f>
        <v>5732121.6699999999</v>
      </c>
      <c r="J240" s="55"/>
      <c r="K240" s="382"/>
      <c r="L240" s="362">
        <f t="shared" si="158"/>
        <v>0</v>
      </c>
      <c r="M240" s="56"/>
      <c r="AY240" s="56"/>
      <c r="AZ240" s="481"/>
      <c r="BA240" s="481"/>
      <c r="BB240" s="481"/>
      <c r="BC240" s="481"/>
      <c r="BD240" s="481"/>
      <c r="BE240" s="481"/>
      <c r="BF240" s="96">
        <f>ROUND(BF241+BF390+BF427+BF1060,2)</f>
        <v>7522757.7199999997</v>
      </c>
    </row>
    <row r="241" spans="1:59" s="45" customFormat="1" ht="15" customHeight="1">
      <c r="A241" s="356" t="s">
        <v>818</v>
      </c>
      <c r="B241" s="356"/>
      <c r="C241" s="356" t="s">
        <v>115</v>
      </c>
      <c r="D241" s="357"/>
      <c r="E241" s="357"/>
      <c r="F241" s="357"/>
      <c r="G241" s="26"/>
      <c r="H241" s="357"/>
      <c r="I241" s="96">
        <f>SUM(I242:I388)</f>
        <v>410315.78000000014</v>
      </c>
      <c r="J241" s="57"/>
      <c r="K241" s="51"/>
      <c r="L241" s="362">
        <f t="shared" si="158"/>
        <v>0</v>
      </c>
      <c r="M241" s="51"/>
      <c r="N241" s="56"/>
      <c r="AY241" s="56"/>
      <c r="AZ241" s="481"/>
      <c r="BA241" s="481"/>
      <c r="BB241" s="481"/>
      <c r="BC241" s="481"/>
      <c r="BD241" s="481"/>
      <c r="BE241" s="481"/>
      <c r="BF241" s="96">
        <f>SUM(BF242:BF388)</f>
        <v>440518.23</v>
      </c>
    </row>
    <row r="242" spans="1:59" s="28" customFormat="1">
      <c r="A242" s="356" t="s">
        <v>819</v>
      </c>
      <c r="B242" s="356"/>
      <c r="C242" s="356" t="s">
        <v>116</v>
      </c>
      <c r="D242" s="357"/>
      <c r="E242" s="357"/>
      <c r="F242" s="357"/>
      <c r="G242" s="26"/>
      <c r="H242" s="357"/>
      <c r="I242" s="96"/>
      <c r="J242" s="58"/>
      <c r="K242" s="383"/>
      <c r="L242" s="362">
        <f t="shared" si="158"/>
        <v>0</v>
      </c>
      <c r="M242" s="370"/>
      <c r="AY242" s="370"/>
      <c r="AZ242" s="481"/>
      <c r="BA242" s="481"/>
      <c r="BB242" s="481"/>
      <c r="BC242" s="481"/>
      <c r="BD242" s="481"/>
      <c r="BE242" s="481"/>
      <c r="BF242" s="481"/>
    </row>
    <row r="243" spans="1:59" s="28" customFormat="1" ht="15" customHeight="1">
      <c r="A243" s="356" t="s">
        <v>820</v>
      </c>
      <c r="B243" s="356"/>
      <c r="C243" s="356" t="s">
        <v>117</v>
      </c>
      <c r="D243" s="357"/>
      <c r="E243" s="357"/>
      <c r="F243" s="357"/>
      <c r="G243" s="26"/>
      <c r="H243" s="357"/>
      <c r="I243" s="96"/>
      <c r="K243" s="377"/>
      <c r="L243" s="362">
        <f t="shared" si="158"/>
        <v>0</v>
      </c>
      <c r="AY243" s="370"/>
      <c r="AZ243" s="481"/>
      <c r="BA243" s="481"/>
      <c r="BB243" s="481"/>
      <c r="BC243" s="481"/>
      <c r="BD243" s="481"/>
      <c r="BE243" s="481"/>
      <c r="BF243" s="481"/>
    </row>
    <row r="244" spans="1:59">
      <c r="A244" s="23" t="s">
        <v>821</v>
      </c>
      <c r="B244" s="25" t="s">
        <v>2088</v>
      </c>
      <c r="C244" s="23" t="s">
        <v>118</v>
      </c>
      <c r="D244" s="25" t="s">
        <v>70</v>
      </c>
      <c r="E244" s="25" t="s">
        <v>17</v>
      </c>
      <c r="F244" s="26">
        <v>35</v>
      </c>
      <c r="G244" s="26">
        <f t="shared" si="157"/>
        <v>4.2330000000000005</v>
      </c>
      <c r="H244" s="26">
        <f t="shared" ref="H244:H277" si="171">ROUND(G244*(1+$J$14),2)</f>
        <v>5.37</v>
      </c>
      <c r="I244" s="26">
        <f t="shared" ref="I244:I277" si="172">ROUND(H244*F244,2)</f>
        <v>187.95</v>
      </c>
      <c r="J244" s="32">
        <f>'COMPOSIÇÃO DE CUSTOS'!G469</f>
        <v>4.21</v>
      </c>
      <c r="K244" s="368">
        <v>4.9800000000000004</v>
      </c>
      <c r="L244" s="362">
        <f t="shared" si="158"/>
        <v>148.15500000000003</v>
      </c>
      <c r="M244" s="32"/>
      <c r="AY244" s="21"/>
      <c r="AZ244" s="481"/>
      <c r="BA244" s="481"/>
      <c r="BB244" s="481"/>
      <c r="BC244" s="481"/>
      <c r="BD244" s="163">
        <f t="shared" ref="BD244" si="173">ROUND(G244*$BH$19,2)</f>
        <v>4.72</v>
      </c>
      <c r="BE244" s="163">
        <f>ROUND(BD244*(1+$J$14),2)</f>
        <v>5.99</v>
      </c>
      <c r="BF244" s="163">
        <f t="shared" ref="BF244:BF277" si="174">ROUND(BE244*F244,2)</f>
        <v>209.65</v>
      </c>
    </row>
    <row r="245" spans="1:59">
      <c r="A245" s="23" t="s">
        <v>822</v>
      </c>
      <c r="B245" s="25" t="s">
        <v>2089</v>
      </c>
      <c r="C245" s="23" t="s">
        <v>119</v>
      </c>
      <c r="D245" s="25" t="s">
        <v>70</v>
      </c>
      <c r="E245" s="25" t="s">
        <v>17</v>
      </c>
      <c r="F245" s="26">
        <v>8</v>
      </c>
      <c r="G245" s="26">
        <f t="shared" si="157"/>
        <v>10.7865</v>
      </c>
      <c r="H245" s="26">
        <f t="shared" si="171"/>
        <v>13.68</v>
      </c>
      <c r="I245" s="26">
        <f t="shared" si="172"/>
        <v>109.44</v>
      </c>
      <c r="J245" s="32">
        <f>'COMPOSIÇÃO DE CUSTOS'!G478</f>
        <v>10.78</v>
      </c>
      <c r="K245" s="368">
        <v>12.69</v>
      </c>
      <c r="L245" s="362">
        <f t="shared" si="158"/>
        <v>86.292000000000002</v>
      </c>
      <c r="M245" s="32"/>
      <c r="AY245" s="21"/>
      <c r="AZ245" s="481"/>
      <c r="BA245" s="481"/>
      <c r="BB245" s="481"/>
      <c r="BC245" s="481"/>
      <c r="BD245" s="163">
        <f t="shared" ref="BD245:BD249" si="175">ROUND(G245*$BH$19,2)</f>
        <v>12.02</v>
      </c>
      <c r="BE245" s="163">
        <f t="shared" ref="BE245:BE277" si="176">ROUND(BD245*(1+$J$14),2)</f>
        <v>15.24</v>
      </c>
      <c r="BF245" s="163">
        <f t="shared" si="174"/>
        <v>121.92</v>
      </c>
    </row>
    <row r="246" spans="1:59">
      <c r="A246" s="23" t="s">
        <v>823</v>
      </c>
      <c r="B246" s="25" t="s">
        <v>2090</v>
      </c>
      <c r="C246" s="23" t="s">
        <v>120</v>
      </c>
      <c r="D246" s="25" t="s">
        <v>70</v>
      </c>
      <c r="E246" s="25" t="s">
        <v>17</v>
      </c>
      <c r="F246" s="26">
        <v>4</v>
      </c>
      <c r="G246" s="26">
        <f t="shared" si="157"/>
        <v>15.928999999999998</v>
      </c>
      <c r="H246" s="26">
        <f t="shared" si="171"/>
        <v>20.2</v>
      </c>
      <c r="I246" s="26">
        <f t="shared" si="172"/>
        <v>80.8</v>
      </c>
      <c r="J246" s="32">
        <f>'COMPOSIÇÃO DE CUSTOS'!G487</f>
        <v>15.92</v>
      </c>
      <c r="K246" s="368">
        <v>18.739999999999998</v>
      </c>
      <c r="L246" s="362">
        <f t="shared" si="158"/>
        <v>63.715999999999994</v>
      </c>
      <c r="M246" s="32"/>
      <c r="AY246" s="21"/>
      <c r="AZ246" s="481"/>
      <c r="BA246" s="481"/>
      <c r="BB246" s="481"/>
      <c r="BC246" s="481"/>
      <c r="BD246" s="163">
        <f t="shared" si="175"/>
        <v>17.75</v>
      </c>
      <c r="BE246" s="163">
        <f t="shared" si="176"/>
        <v>22.51</v>
      </c>
      <c r="BF246" s="163">
        <f t="shared" si="174"/>
        <v>90.04</v>
      </c>
    </row>
    <row r="247" spans="1:59" ht="45">
      <c r="A247" s="23" t="s">
        <v>824</v>
      </c>
      <c r="B247" s="24">
        <v>89491</v>
      </c>
      <c r="C247" s="23" t="s">
        <v>1571</v>
      </c>
      <c r="D247" s="25" t="s">
        <v>12</v>
      </c>
      <c r="E247" s="25" t="s">
        <v>17</v>
      </c>
      <c r="F247" s="26">
        <v>13</v>
      </c>
      <c r="G247" s="26">
        <f t="shared" si="157"/>
        <v>37.910000000000004</v>
      </c>
      <c r="H247" s="26">
        <f t="shared" si="171"/>
        <v>48.07</v>
      </c>
      <c r="I247" s="26">
        <f t="shared" si="172"/>
        <v>624.91</v>
      </c>
      <c r="J247" s="33" t="e">
        <f>IF(B247&lt;&gt;0,VLOOKUP(B247,#REF!,4,FALSE),"")</f>
        <v>#REF!</v>
      </c>
      <c r="K247" s="377" t="s">
        <v>3293</v>
      </c>
      <c r="L247" s="362">
        <f t="shared" si="158"/>
        <v>492.83000000000004</v>
      </c>
      <c r="M247" s="33"/>
      <c r="N247" s="28" t="e">
        <f>IF(B247&lt;&gt;0,VLOOKUP(B247,#REF!,2,FALSE),"")</f>
        <v>#REF!</v>
      </c>
      <c r="AY247" s="21"/>
      <c r="AZ247" s="481"/>
      <c r="BA247" s="481"/>
      <c r="BB247" s="481"/>
      <c r="BC247" s="481"/>
      <c r="BD247" s="163">
        <f t="shared" si="175"/>
        <v>42.23</v>
      </c>
      <c r="BE247" s="163">
        <f t="shared" si="176"/>
        <v>53.55</v>
      </c>
      <c r="BF247" s="163">
        <f t="shared" si="174"/>
        <v>696.15</v>
      </c>
    </row>
    <row r="248" spans="1:59" ht="45">
      <c r="A248" s="23" t="s">
        <v>825</v>
      </c>
      <c r="B248" s="24">
        <v>89482</v>
      </c>
      <c r="C248" s="23" t="s">
        <v>1572</v>
      </c>
      <c r="D248" s="25" t="s">
        <v>12</v>
      </c>
      <c r="E248" s="25" t="s">
        <v>17</v>
      </c>
      <c r="F248" s="26">
        <v>24</v>
      </c>
      <c r="G248" s="26">
        <f t="shared" si="157"/>
        <v>15.988499999999998</v>
      </c>
      <c r="H248" s="26">
        <f t="shared" si="171"/>
        <v>20.28</v>
      </c>
      <c r="I248" s="26">
        <f t="shared" si="172"/>
        <v>486.72</v>
      </c>
      <c r="J248" s="33" t="e">
        <f>IF(B248&lt;&gt;0,VLOOKUP(B248,#REF!,4,FALSE),"")</f>
        <v>#REF!</v>
      </c>
      <c r="K248" s="377" t="s">
        <v>1890</v>
      </c>
      <c r="L248" s="362">
        <f t="shared" si="158"/>
        <v>383.72399999999993</v>
      </c>
      <c r="M248" s="33"/>
      <c r="N248" s="28" t="e">
        <f>IF(B248&lt;&gt;0,VLOOKUP(B248,#REF!,2,FALSE),"")</f>
        <v>#REF!</v>
      </c>
      <c r="AY248" s="21"/>
      <c r="AZ248" s="481"/>
      <c r="BA248" s="481"/>
      <c r="BB248" s="481"/>
      <c r="BC248" s="481"/>
      <c r="BD248" s="163">
        <f t="shared" si="175"/>
        <v>17.809999999999999</v>
      </c>
      <c r="BE248" s="163">
        <f t="shared" si="176"/>
        <v>22.58</v>
      </c>
      <c r="BF248" s="163">
        <f t="shared" si="174"/>
        <v>541.91999999999996</v>
      </c>
    </row>
    <row r="249" spans="1:59" ht="60">
      <c r="A249" s="23" t="s">
        <v>826</v>
      </c>
      <c r="B249" s="24">
        <v>89710</v>
      </c>
      <c r="C249" s="23" t="s">
        <v>1573</v>
      </c>
      <c r="D249" s="25" t="s">
        <v>12</v>
      </c>
      <c r="E249" s="25" t="s">
        <v>17</v>
      </c>
      <c r="F249" s="26">
        <v>3</v>
      </c>
      <c r="G249" s="26">
        <f t="shared" si="157"/>
        <v>6.7915000000000001</v>
      </c>
      <c r="H249" s="26">
        <f t="shared" si="171"/>
        <v>8.61</v>
      </c>
      <c r="I249" s="26">
        <f t="shared" si="172"/>
        <v>25.83</v>
      </c>
      <c r="J249" s="33" t="e">
        <f>IF(B249&lt;&gt;0,VLOOKUP(B249,#REF!,4,FALSE),"")</f>
        <v>#REF!</v>
      </c>
      <c r="K249" s="377" t="s">
        <v>3294</v>
      </c>
      <c r="L249" s="362">
        <f t="shared" si="158"/>
        <v>20.374500000000001</v>
      </c>
      <c r="M249" s="33"/>
      <c r="N249" s="28" t="e">
        <f>IF(B249&lt;&gt;0,VLOOKUP(B249,#REF!,2,FALSE),"")</f>
        <v>#REF!</v>
      </c>
      <c r="AY249" s="21"/>
      <c r="AZ249" s="481"/>
      <c r="BA249" s="481"/>
      <c r="BB249" s="481"/>
      <c r="BC249" s="481"/>
      <c r="BD249" s="163">
        <f t="shared" si="175"/>
        <v>7.57</v>
      </c>
      <c r="BE249" s="163">
        <f t="shared" si="176"/>
        <v>9.6</v>
      </c>
      <c r="BF249" s="163">
        <f t="shared" si="174"/>
        <v>28.8</v>
      </c>
    </row>
    <row r="250" spans="1:59" s="34" customFormat="1" ht="45">
      <c r="A250" s="471" t="s">
        <v>827</v>
      </c>
      <c r="B250" s="475">
        <v>89356</v>
      </c>
      <c r="C250" s="471" t="s">
        <v>1574</v>
      </c>
      <c r="D250" s="472" t="s">
        <v>12</v>
      </c>
      <c r="E250" s="472" t="s">
        <v>52</v>
      </c>
      <c r="F250" s="473">
        <v>1549</v>
      </c>
      <c r="G250" s="473">
        <f t="shared" si="157"/>
        <v>13.506500000000001</v>
      </c>
      <c r="H250" s="473">
        <f t="shared" si="171"/>
        <v>17.13</v>
      </c>
      <c r="I250" s="473">
        <f t="shared" si="172"/>
        <v>26534.37</v>
      </c>
      <c r="J250" s="477" t="e">
        <f>IF(B250&lt;&gt;0,VLOOKUP(B250,#REF!,4,FALSE),"")</f>
        <v>#REF!</v>
      </c>
      <c r="K250" s="476" t="s">
        <v>1882</v>
      </c>
      <c r="L250" s="378">
        <f t="shared" si="158"/>
        <v>20921.568500000001</v>
      </c>
      <c r="M250" s="477"/>
      <c r="N250" s="34" t="e">
        <f>IF(B250&lt;&gt;0,VLOOKUP(B250,#REF!,2,FALSE),"")</f>
        <v>#REF!</v>
      </c>
      <c r="AY250" s="577"/>
      <c r="AZ250" s="502"/>
      <c r="BA250" s="502"/>
      <c r="BB250" s="502"/>
      <c r="BC250" s="502"/>
      <c r="BD250" s="502">
        <f>BG250</f>
        <v>15.17</v>
      </c>
      <c r="BE250" s="523">
        <f>ROUND(BD250*(1+$J$14),2)</f>
        <v>19.239999999999998</v>
      </c>
      <c r="BF250" s="523">
        <f t="shared" si="174"/>
        <v>29802.76</v>
      </c>
      <c r="BG250" s="34">
        <f>'COMPOSIÇÃO AB'!G862</f>
        <v>15.17</v>
      </c>
    </row>
    <row r="251" spans="1:59" ht="45">
      <c r="A251" s="23" t="s">
        <v>828</v>
      </c>
      <c r="B251" s="24">
        <v>89357</v>
      </c>
      <c r="C251" s="23" t="s">
        <v>1575</v>
      </c>
      <c r="D251" s="25" t="s">
        <v>12</v>
      </c>
      <c r="E251" s="25" t="s">
        <v>52</v>
      </c>
      <c r="F251" s="26">
        <v>328</v>
      </c>
      <c r="G251" s="26">
        <f t="shared" si="157"/>
        <v>19.975000000000001</v>
      </c>
      <c r="H251" s="26">
        <f t="shared" si="171"/>
        <v>25.33</v>
      </c>
      <c r="I251" s="26">
        <f t="shared" si="172"/>
        <v>8308.24</v>
      </c>
      <c r="J251" s="33" t="e">
        <f>IF(B251&lt;&gt;0,VLOOKUP(B251,#REF!,4,FALSE),"")</f>
        <v>#REF!</v>
      </c>
      <c r="K251" s="377" t="s">
        <v>3269</v>
      </c>
      <c r="L251" s="362">
        <f t="shared" si="158"/>
        <v>6551.8</v>
      </c>
      <c r="M251" s="33"/>
      <c r="N251" s="28" t="e">
        <f>IF(B251&lt;&gt;0,VLOOKUP(B251,#REF!,2,FALSE),"")</f>
        <v>#REF!</v>
      </c>
      <c r="AY251" s="21"/>
      <c r="AZ251" s="481"/>
      <c r="BA251" s="481"/>
      <c r="BB251" s="481"/>
      <c r="BC251" s="481"/>
      <c r="BD251" s="163">
        <f>ROUND(G251*$BH$19,2)</f>
        <v>22.25</v>
      </c>
      <c r="BE251" s="163">
        <f t="shared" si="176"/>
        <v>28.22</v>
      </c>
      <c r="BF251" s="163">
        <f t="shared" si="174"/>
        <v>9256.16</v>
      </c>
    </row>
    <row r="252" spans="1:59" ht="45">
      <c r="A252" s="23" t="s">
        <v>829</v>
      </c>
      <c r="B252" s="24">
        <v>89448</v>
      </c>
      <c r="C252" s="23" t="s">
        <v>1576</v>
      </c>
      <c r="D252" s="25" t="s">
        <v>12</v>
      </c>
      <c r="E252" s="25" t="s">
        <v>52</v>
      </c>
      <c r="F252" s="26">
        <v>649</v>
      </c>
      <c r="G252" s="26">
        <f t="shared" si="157"/>
        <v>12.5885</v>
      </c>
      <c r="H252" s="26">
        <f t="shared" si="171"/>
        <v>15.96</v>
      </c>
      <c r="I252" s="26">
        <f t="shared" si="172"/>
        <v>10358.040000000001</v>
      </c>
      <c r="J252" s="33" t="e">
        <f>IF(B252&lt;&gt;0,VLOOKUP(B252,#REF!,4,FALSE),"")</f>
        <v>#REF!</v>
      </c>
      <c r="K252" s="377" t="s">
        <v>3270</v>
      </c>
      <c r="L252" s="362">
        <f t="shared" si="158"/>
        <v>8169.9364999999998</v>
      </c>
      <c r="M252" s="33"/>
      <c r="N252" s="28" t="e">
        <f>IF(B252&lt;&gt;0,VLOOKUP(B252,#REF!,2,FALSE),"")</f>
        <v>#REF!</v>
      </c>
      <c r="AY252" s="21"/>
      <c r="AZ252" s="481"/>
      <c r="BA252" s="481"/>
      <c r="BB252" s="481"/>
      <c r="BC252" s="481"/>
      <c r="BD252" s="163">
        <f t="shared" ref="BD252:BD277" si="177">ROUND(G252*$BH$19,2)</f>
        <v>14.02</v>
      </c>
      <c r="BE252" s="163">
        <f t="shared" si="176"/>
        <v>17.78</v>
      </c>
      <c r="BF252" s="163">
        <f t="shared" si="174"/>
        <v>11539.22</v>
      </c>
    </row>
    <row r="253" spans="1:59" ht="45">
      <c r="A253" s="23" t="s">
        <v>830</v>
      </c>
      <c r="B253" s="24">
        <v>89449</v>
      </c>
      <c r="C253" s="23" t="s">
        <v>1577</v>
      </c>
      <c r="D253" s="25" t="s">
        <v>12</v>
      </c>
      <c r="E253" s="25" t="s">
        <v>52</v>
      </c>
      <c r="F253" s="26">
        <v>288</v>
      </c>
      <c r="G253" s="26">
        <f t="shared" si="157"/>
        <v>14.466999999999999</v>
      </c>
      <c r="H253" s="26">
        <f t="shared" si="171"/>
        <v>18.350000000000001</v>
      </c>
      <c r="I253" s="26">
        <f t="shared" si="172"/>
        <v>5284.8</v>
      </c>
      <c r="J253" s="33" t="e">
        <f>IF(B253&lt;&gt;0,VLOOKUP(B253,#REF!,4,FALSE),"")</f>
        <v>#REF!</v>
      </c>
      <c r="K253" s="377" t="s">
        <v>1861</v>
      </c>
      <c r="L253" s="362">
        <f t="shared" si="158"/>
        <v>4166.4959999999992</v>
      </c>
      <c r="M253" s="33"/>
      <c r="N253" s="28" t="e">
        <f>IF(B253&lt;&gt;0,VLOOKUP(B253,#REF!,2,FALSE),"")</f>
        <v>#REF!</v>
      </c>
      <c r="AY253" s="21"/>
      <c r="AZ253" s="481"/>
      <c r="BA253" s="481"/>
      <c r="BB253" s="481"/>
      <c r="BC253" s="481"/>
      <c r="BD253" s="163">
        <f t="shared" si="177"/>
        <v>16.12</v>
      </c>
      <c r="BE253" s="163">
        <f t="shared" si="176"/>
        <v>20.440000000000001</v>
      </c>
      <c r="BF253" s="163">
        <f t="shared" si="174"/>
        <v>5886.72</v>
      </c>
    </row>
    <row r="254" spans="1:59" ht="45">
      <c r="A254" s="23" t="s">
        <v>831</v>
      </c>
      <c r="B254" s="24">
        <v>89451</v>
      </c>
      <c r="C254" s="23" t="s">
        <v>1578</v>
      </c>
      <c r="D254" s="25" t="s">
        <v>12</v>
      </c>
      <c r="E254" s="25" t="s">
        <v>52</v>
      </c>
      <c r="F254" s="26">
        <v>288</v>
      </c>
      <c r="G254" s="26">
        <f t="shared" si="157"/>
        <v>39.856499999999997</v>
      </c>
      <c r="H254" s="26">
        <f t="shared" si="171"/>
        <v>50.54</v>
      </c>
      <c r="I254" s="26">
        <f t="shared" si="172"/>
        <v>14555.52</v>
      </c>
      <c r="J254" s="33" t="e">
        <f>IF(B254&lt;&gt;0,VLOOKUP(B254,#REF!,4,FALSE),"")</f>
        <v>#REF!</v>
      </c>
      <c r="K254" s="377" t="s">
        <v>3271</v>
      </c>
      <c r="L254" s="362">
        <f t="shared" si="158"/>
        <v>11478.671999999999</v>
      </c>
      <c r="M254" s="33"/>
      <c r="N254" s="28" t="e">
        <f>IF(B254&lt;&gt;0,VLOOKUP(B254,#REF!,2,FALSE),"")</f>
        <v>#REF!</v>
      </c>
      <c r="AY254" s="21"/>
      <c r="AZ254" s="481"/>
      <c r="BA254" s="481"/>
      <c r="BB254" s="481"/>
      <c r="BC254" s="481"/>
      <c r="BD254" s="163">
        <f t="shared" si="177"/>
        <v>44.4</v>
      </c>
      <c r="BE254" s="163">
        <f t="shared" si="176"/>
        <v>56.3</v>
      </c>
      <c r="BF254" s="163">
        <f t="shared" si="174"/>
        <v>16214.4</v>
      </c>
    </row>
    <row r="255" spans="1:59" s="28" customFormat="1" ht="30">
      <c r="A255" s="23" t="s">
        <v>832</v>
      </c>
      <c r="B255" s="24">
        <v>11880</v>
      </c>
      <c r="C255" s="23" t="s">
        <v>121</v>
      </c>
      <c r="D255" s="25" t="s">
        <v>1915</v>
      </c>
      <c r="E255" s="25" t="s">
        <v>17</v>
      </c>
      <c r="F255" s="26">
        <v>2</v>
      </c>
      <c r="G255" s="26">
        <f t="shared" si="157"/>
        <v>63.605499999999999</v>
      </c>
      <c r="H255" s="26">
        <f t="shared" si="171"/>
        <v>80.66</v>
      </c>
      <c r="I255" s="26">
        <f t="shared" si="172"/>
        <v>161.32</v>
      </c>
      <c r="J255" s="33">
        <f>'COMPOSIÇÃO DE CUSTOS'!G500</f>
        <v>63.61</v>
      </c>
      <c r="K255" s="377">
        <v>74.83</v>
      </c>
      <c r="L255" s="362">
        <f t="shared" si="158"/>
        <v>127.211</v>
      </c>
      <c r="M255" s="33"/>
      <c r="AY255" s="370"/>
      <c r="AZ255" s="481"/>
      <c r="BA255" s="481"/>
      <c r="BB255" s="481"/>
      <c r="BC255" s="481"/>
      <c r="BD255" s="163">
        <f t="shared" si="177"/>
        <v>70.86</v>
      </c>
      <c r="BE255" s="163">
        <f t="shared" si="176"/>
        <v>89.86</v>
      </c>
      <c r="BF255" s="163">
        <f t="shared" si="174"/>
        <v>179.72</v>
      </c>
    </row>
    <row r="256" spans="1:59" s="28" customFormat="1" ht="30">
      <c r="A256" s="23" t="s">
        <v>833</v>
      </c>
      <c r="B256" s="24">
        <v>7752</v>
      </c>
      <c r="C256" s="23" t="s">
        <v>122</v>
      </c>
      <c r="D256" s="25" t="s">
        <v>1915</v>
      </c>
      <c r="E256" s="25" t="s">
        <v>17</v>
      </c>
      <c r="F256" s="26">
        <v>73</v>
      </c>
      <c r="G256" s="26">
        <f t="shared" si="157"/>
        <v>64.336500000000001</v>
      </c>
      <c r="H256" s="26">
        <f t="shared" si="171"/>
        <v>81.59</v>
      </c>
      <c r="I256" s="26">
        <f t="shared" si="172"/>
        <v>5956.07</v>
      </c>
      <c r="J256" s="33">
        <f>'COMPOSIÇÃO DE CUSTOS'!G507</f>
        <v>64.34</v>
      </c>
      <c r="K256" s="377">
        <v>75.69</v>
      </c>
      <c r="L256" s="362">
        <f t="shared" si="158"/>
        <v>4696.5645000000004</v>
      </c>
      <c r="M256" s="33"/>
      <c r="AY256" s="370"/>
      <c r="AZ256" s="481"/>
      <c r="BA256" s="481"/>
      <c r="BB256" s="481"/>
      <c r="BC256" s="481"/>
      <c r="BD256" s="163">
        <f t="shared" si="177"/>
        <v>71.67</v>
      </c>
      <c r="BE256" s="163">
        <f t="shared" si="176"/>
        <v>90.88</v>
      </c>
      <c r="BF256" s="163">
        <f t="shared" si="174"/>
        <v>6634.24</v>
      </c>
    </row>
    <row r="257" spans="1:58" ht="45">
      <c r="A257" s="23" t="s">
        <v>834</v>
      </c>
      <c r="B257" s="24">
        <v>89425</v>
      </c>
      <c r="C257" s="23" t="s">
        <v>1579</v>
      </c>
      <c r="D257" s="25" t="s">
        <v>12</v>
      </c>
      <c r="E257" s="25" t="s">
        <v>17</v>
      </c>
      <c r="F257" s="26">
        <v>216</v>
      </c>
      <c r="G257" s="26">
        <f t="shared" si="157"/>
        <v>11.866000000000001</v>
      </c>
      <c r="H257" s="26">
        <f t="shared" si="171"/>
        <v>15.05</v>
      </c>
      <c r="I257" s="26">
        <f t="shared" si="172"/>
        <v>3250.8</v>
      </c>
      <c r="J257" s="33" t="e">
        <f>IF(B257&lt;&gt;0,VLOOKUP(B257,#REF!,4,FALSE),"")</f>
        <v>#REF!</v>
      </c>
      <c r="K257" s="377" t="s">
        <v>1868</v>
      </c>
      <c r="L257" s="362">
        <f t="shared" si="158"/>
        <v>2563.0560000000005</v>
      </c>
      <c r="M257" s="33"/>
      <c r="N257" s="28" t="e">
        <f>IF(B257&lt;&gt;0,VLOOKUP(B257,#REF!,2,FALSE),"")</f>
        <v>#REF!</v>
      </c>
      <c r="AY257" s="21"/>
      <c r="AZ257" s="481"/>
      <c r="BA257" s="481"/>
      <c r="BB257" s="481"/>
      <c r="BC257" s="481"/>
      <c r="BD257" s="163">
        <f t="shared" si="177"/>
        <v>13.22</v>
      </c>
      <c r="BE257" s="163">
        <f t="shared" si="176"/>
        <v>16.760000000000002</v>
      </c>
      <c r="BF257" s="163">
        <f t="shared" si="174"/>
        <v>3620.16</v>
      </c>
    </row>
    <row r="258" spans="1:58" ht="45">
      <c r="A258" s="23" t="s">
        <v>835</v>
      </c>
      <c r="B258" s="24">
        <v>89432</v>
      </c>
      <c r="C258" s="23" t="s">
        <v>1580</v>
      </c>
      <c r="D258" s="25" t="s">
        <v>12</v>
      </c>
      <c r="E258" s="25" t="s">
        <v>17</v>
      </c>
      <c r="F258" s="26">
        <v>26</v>
      </c>
      <c r="G258" s="26">
        <f t="shared" si="157"/>
        <v>25.610499999999998</v>
      </c>
      <c r="H258" s="26">
        <f t="shared" si="171"/>
        <v>32.479999999999997</v>
      </c>
      <c r="I258" s="26">
        <f t="shared" si="172"/>
        <v>844.48</v>
      </c>
      <c r="J258" s="33" t="e">
        <f>IF(B258&lt;&gt;0,VLOOKUP(B258,#REF!,4,FALSE),"")</f>
        <v>#REF!</v>
      </c>
      <c r="K258" s="377" t="s">
        <v>3282</v>
      </c>
      <c r="L258" s="362">
        <f t="shared" si="158"/>
        <v>665.87299999999993</v>
      </c>
      <c r="M258" s="33"/>
      <c r="N258" s="28" t="e">
        <f>IF(B258&lt;&gt;0,VLOOKUP(B258,#REF!,2,FALSE),"")</f>
        <v>#REF!</v>
      </c>
      <c r="AY258" s="21"/>
      <c r="AZ258" s="481"/>
      <c r="BA258" s="481"/>
      <c r="BB258" s="481"/>
      <c r="BC258" s="481"/>
      <c r="BD258" s="163">
        <f t="shared" si="177"/>
        <v>28.53</v>
      </c>
      <c r="BE258" s="163">
        <f t="shared" si="176"/>
        <v>36.18</v>
      </c>
      <c r="BF258" s="163">
        <f t="shared" si="174"/>
        <v>940.68</v>
      </c>
    </row>
    <row r="259" spans="1:58" s="28" customFormat="1" ht="45">
      <c r="A259" s="23" t="s">
        <v>836</v>
      </c>
      <c r="B259" s="25" t="s">
        <v>2095</v>
      </c>
      <c r="C259" s="23" t="s">
        <v>123</v>
      </c>
      <c r="D259" s="25" t="s">
        <v>1915</v>
      </c>
      <c r="E259" s="25" t="s">
        <v>17</v>
      </c>
      <c r="F259" s="26">
        <v>101</v>
      </c>
      <c r="G259" s="26">
        <f t="shared" si="157"/>
        <v>28.713000000000001</v>
      </c>
      <c r="H259" s="26">
        <f t="shared" si="171"/>
        <v>36.409999999999997</v>
      </c>
      <c r="I259" s="26">
        <f t="shared" si="172"/>
        <v>3677.41</v>
      </c>
      <c r="J259" s="33">
        <f>'COMPOSIÇÃO DE CUSTOS'!G517</f>
        <v>28.71</v>
      </c>
      <c r="K259" s="377">
        <v>33.78</v>
      </c>
      <c r="L259" s="362">
        <f t="shared" si="158"/>
        <v>2900.0129999999999</v>
      </c>
      <c r="M259" s="33"/>
      <c r="AY259" s="370"/>
      <c r="AZ259" s="481"/>
      <c r="BA259" s="481"/>
      <c r="BB259" s="481"/>
      <c r="BC259" s="481"/>
      <c r="BD259" s="163">
        <f t="shared" si="177"/>
        <v>31.99</v>
      </c>
      <c r="BE259" s="163">
        <f t="shared" si="176"/>
        <v>40.57</v>
      </c>
      <c r="BF259" s="163">
        <f t="shared" si="174"/>
        <v>4097.57</v>
      </c>
    </row>
    <row r="260" spans="1:58" s="62" customFormat="1" ht="45">
      <c r="A260" s="23" t="s">
        <v>837</v>
      </c>
      <c r="B260" s="24">
        <v>89577</v>
      </c>
      <c r="C260" s="23" t="s">
        <v>1581</v>
      </c>
      <c r="D260" s="25" t="s">
        <v>12</v>
      </c>
      <c r="E260" s="25" t="s">
        <v>17</v>
      </c>
      <c r="F260" s="26">
        <v>37</v>
      </c>
      <c r="G260" s="26">
        <f t="shared" si="157"/>
        <v>29.724499999999999</v>
      </c>
      <c r="H260" s="26">
        <f t="shared" si="171"/>
        <v>37.69</v>
      </c>
      <c r="I260" s="26">
        <f t="shared" si="172"/>
        <v>1394.53</v>
      </c>
      <c r="J260" s="63" t="e">
        <f>IF(B260&lt;&gt;0,VLOOKUP(B260,#REF!,4,FALSE),"")</f>
        <v>#REF!</v>
      </c>
      <c r="K260" s="379" t="s">
        <v>3190</v>
      </c>
      <c r="L260" s="362">
        <f t="shared" si="158"/>
        <v>1099.8064999999999</v>
      </c>
      <c r="M260" s="63"/>
      <c r="N260" s="62" t="e">
        <f>IF(B260&lt;&gt;0,VLOOKUP(B260,#REF!,2,FALSE),"")</f>
        <v>#REF!</v>
      </c>
      <c r="AY260" s="221"/>
      <c r="AZ260" s="481"/>
      <c r="BA260" s="481"/>
      <c r="BB260" s="481"/>
      <c r="BC260" s="481"/>
      <c r="BD260" s="163">
        <f t="shared" si="177"/>
        <v>33.11</v>
      </c>
      <c r="BE260" s="163">
        <f t="shared" si="176"/>
        <v>41.99</v>
      </c>
      <c r="BF260" s="163">
        <f t="shared" si="174"/>
        <v>1553.63</v>
      </c>
    </row>
    <row r="261" spans="1:58" s="28" customFormat="1" ht="45">
      <c r="A261" s="23" t="s">
        <v>838</v>
      </c>
      <c r="B261" s="25" t="s">
        <v>2098</v>
      </c>
      <c r="C261" s="23" t="s">
        <v>1582</v>
      </c>
      <c r="D261" s="25" t="s">
        <v>1915</v>
      </c>
      <c r="E261" s="25" t="s">
        <v>17</v>
      </c>
      <c r="F261" s="26">
        <v>4</v>
      </c>
      <c r="G261" s="26">
        <f t="shared" si="157"/>
        <v>5.0830000000000002</v>
      </c>
      <c r="H261" s="26">
        <f t="shared" si="171"/>
        <v>6.45</v>
      </c>
      <c r="I261" s="26">
        <f t="shared" si="172"/>
        <v>25.8</v>
      </c>
      <c r="J261" s="33">
        <f>'COMPOSIÇÃO DE CUSTOS'!G528</f>
        <v>5.08</v>
      </c>
      <c r="K261" s="377">
        <v>5.98</v>
      </c>
      <c r="L261" s="362">
        <f t="shared" si="158"/>
        <v>20.332000000000001</v>
      </c>
      <c r="M261" s="33"/>
      <c r="AY261" s="370"/>
      <c r="AZ261" s="481"/>
      <c r="BA261" s="481"/>
      <c r="BB261" s="481"/>
      <c r="BC261" s="481"/>
      <c r="BD261" s="163">
        <f t="shared" si="177"/>
        <v>5.66</v>
      </c>
      <c r="BE261" s="163">
        <f t="shared" si="176"/>
        <v>7.18</v>
      </c>
      <c r="BF261" s="163">
        <f t="shared" si="174"/>
        <v>28.72</v>
      </c>
    </row>
    <row r="262" spans="1:58" s="28" customFormat="1" ht="45">
      <c r="A262" s="23" t="s">
        <v>839</v>
      </c>
      <c r="B262" s="25" t="s">
        <v>2099</v>
      </c>
      <c r="C262" s="23" t="s">
        <v>1583</v>
      </c>
      <c r="D262" s="25" t="s">
        <v>1915</v>
      </c>
      <c r="E262" s="25" t="s">
        <v>17</v>
      </c>
      <c r="F262" s="26">
        <v>11</v>
      </c>
      <c r="G262" s="26">
        <f t="shared" si="157"/>
        <v>7.7860000000000005</v>
      </c>
      <c r="H262" s="26">
        <f t="shared" si="171"/>
        <v>9.8699999999999992</v>
      </c>
      <c r="I262" s="26">
        <f t="shared" si="172"/>
        <v>108.57</v>
      </c>
      <c r="J262" s="33">
        <f>'COMPOSIÇÃO DE CUSTOS'!G538</f>
        <v>7.79</v>
      </c>
      <c r="K262" s="377">
        <v>9.16</v>
      </c>
      <c r="L262" s="362">
        <f t="shared" si="158"/>
        <v>85.646000000000001</v>
      </c>
      <c r="M262" s="33"/>
      <c r="AY262" s="370"/>
      <c r="AZ262" s="481"/>
      <c r="BA262" s="481"/>
      <c r="BB262" s="481"/>
      <c r="BC262" s="481"/>
      <c r="BD262" s="163">
        <f t="shared" si="177"/>
        <v>8.67</v>
      </c>
      <c r="BE262" s="163">
        <f t="shared" si="176"/>
        <v>10.99</v>
      </c>
      <c r="BF262" s="163">
        <f t="shared" si="174"/>
        <v>120.89</v>
      </c>
    </row>
    <row r="263" spans="1:58" s="62" customFormat="1" ht="45">
      <c r="A263" s="23" t="s">
        <v>840</v>
      </c>
      <c r="B263" s="24">
        <v>90375</v>
      </c>
      <c r="C263" s="23" t="s">
        <v>1584</v>
      </c>
      <c r="D263" s="25" t="s">
        <v>12</v>
      </c>
      <c r="E263" s="25" t="s">
        <v>17</v>
      </c>
      <c r="F263" s="26">
        <v>8</v>
      </c>
      <c r="G263" s="26">
        <f t="shared" si="157"/>
        <v>6.0350000000000001</v>
      </c>
      <c r="H263" s="26">
        <f t="shared" si="171"/>
        <v>7.65</v>
      </c>
      <c r="I263" s="26">
        <f t="shared" si="172"/>
        <v>61.2</v>
      </c>
      <c r="J263" s="63" t="e">
        <f>IF(B263&lt;&gt;0,VLOOKUP(B263,#REF!,4,FALSE),"")</f>
        <v>#REF!</v>
      </c>
      <c r="K263" s="379" t="s">
        <v>1910</v>
      </c>
      <c r="L263" s="362">
        <f t="shared" si="158"/>
        <v>48.28</v>
      </c>
      <c r="M263" s="63"/>
      <c r="N263" s="62" t="e">
        <f>IF(B263&lt;&gt;0,VLOOKUP(B263,#REF!,2,FALSE),"")</f>
        <v>#REF!</v>
      </c>
      <c r="AY263" s="221"/>
      <c r="AZ263" s="481"/>
      <c r="BA263" s="481"/>
      <c r="BB263" s="481"/>
      <c r="BC263" s="481"/>
      <c r="BD263" s="163">
        <f t="shared" si="177"/>
        <v>6.72</v>
      </c>
      <c r="BE263" s="163">
        <f t="shared" si="176"/>
        <v>8.52</v>
      </c>
      <c r="BF263" s="163">
        <f t="shared" si="174"/>
        <v>68.16</v>
      </c>
    </row>
    <row r="264" spans="1:58" ht="45">
      <c r="A264" s="23" t="s">
        <v>841</v>
      </c>
      <c r="B264" s="25" t="s">
        <v>2102</v>
      </c>
      <c r="C264" s="23" t="s">
        <v>1585</v>
      </c>
      <c r="D264" s="25" t="s">
        <v>1915</v>
      </c>
      <c r="E264" s="25" t="s">
        <v>17</v>
      </c>
      <c r="F264" s="26">
        <v>4</v>
      </c>
      <c r="G264" s="26">
        <f t="shared" si="157"/>
        <v>9.1715</v>
      </c>
      <c r="H264" s="26">
        <f t="shared" si="171"/>
        <v>11.63</v>
      </c>
      <c r="I264" s="26">
        <f t="shared" si="172"/>
        <v>46.52</v>
      </c>
      <c r="J264" s="32">
        <f>'COMPOSIÇÃO DE CUSTOS'!G549</f>
        <v>9.17</v>
      </c>
      <c r="K264" s="368">
        <v>10.79</v>
      </c>
      <c r="L264" s="362">
        <f t="shared" si="158"/>
        <v>36.686</v>
      </c>
      <c r="M264" s="32"/>
      <c r="AY264" s="21"/>
      <c r="AZ264" s="481"/>
      <c r="BA264" s="481"/>
      <c r="BB264" s="481"/>
      <c r="BC264" s="481"/>
      <c r="BD264" s="163">
        <f t="shared" si="177"/>
        <v>10.220000000000001</v>
      </c>
      <c r="BE264" s="163">
        <f t="shared" si="176"/>
        <v>12.96</v>
      </c>
      <c r="BF264" s="163">
        <f t="shared" si="174"/>
        <v>51.84</v>
      </c>
    </row>
    <row r="265" spans="1:58" ht="45">
      <c r="A265" s="23" t="s">
        <v>842</v>
      </c>
      <c r="B265" s="25" t="s">
        <v>2104</v>
      </c>
      <c r="C265" s="23" t="s">
        <v>1586</v>
      </c>
      <c r="D265" s="25" t="s">
        <v>1915</v>
      </c>
      <c r="E265" s="25" t="s">
        <v>17</v>
      </c>
      <c r="F265" s="26">
        <v>4</v>
      </c>
      <c r="G265" s="26">
        <f t="shared" si="157"/>
        <v>7.242</v>
      </c>
      <c r="H265" s="26">
        <f t="shared" si="171"/>
        <v>9.18</v>
      </c>
      <c r="I265" s="26">
        <f t="shared" si="172"/>
        <v>36.72</v>
      </c>
      <c r="J265" s="32">
        <f>'COMPOSIÇÃO DE CUSTOS'!G559</f>
        <v>7.24</v>
      </c>
      <c r="K265" s="368">
        <v>8.52</v>
      </c>
      <c r="L265" s="362">
        <f t="shared" si="158"/>
        <v>28.968</v>
      </c>
      <c r="M265" s="32"/>
      <c r="AY265" s="21"/>
      <c r="AZ265" s="481"/>
      <c r="BA265" s="481"/>
      <c r="BB265" s="481"/>
      <c r="BC265" s="481"/>
      <c r="BD265" s="163">
        <f t="shared" si="177"/>
        <v>8.07</v>
      </c>
      <c r="BE265" s="163">
        <f t="shared" si="176"/>
        <v>10.23</v>
      </c>
      <c r="BF265" s="163">
        <f t="shared" si="174"/>
        <v>40.92</v>
      </c>
    </row>
    <row r="266" spans="1:58" ht="45">
      <c r="A266" s="23" t="s">
        <v>843</v>
      </c>
      <c r="B266" s="24">
        <v>89408</v>
      </c>
      <c r="C266" s="23" t="s">
        <v>1587</v>
      </c>
      <c r="D266" s="25" t="s">
        <v>12</v>
      </c>
      <c r="E266" s="25" t="s">
        <v>17</v>
      </c>
      <c r="F266" s="26">
        <v>28</v>
      </c>
      <c r="G266" s="26">
        <f t="shared" si="157"/>
        <v>3.8334999999999999</v>
      </c>
      <c r="H266" s="26">
        <f t="shared" si="171"/>
        <v>4.8600000000000003</v>
      </c>
      <c r="I266" s="26">
        <f t="shared" si="172"/>
        <v>136.08000000000001</v>
      </c>
      <c r="J266" s="33" t="e">
        <f>IF(B266&lt;&gt;0,VLOOKUP(B266,#REF!,4,FALSE),"")</f>
        <v>#REF!</v>
      </c>
      <c r="K266" s="377" t="s">
        <v>2650</v>
      </c>
      <c r="L266" s="362">
        <f t="shared" si="158"/>
        <v>107.33799999999999</v>
      </c>
      <c r="M266" s="33"/>
      <c r="N266" s="28" t="e">
        <f>IF(B266&lt;&gt;0,VLOOKUP(B266,#REF!,2,FALSE),"")</f>
        <v>#REF!</v>
      </c>
      <c r="AY266" s="21"/>
      <c r="AZ266" s="481"/>
      <c r="BA266" s="481"/>
      <c r="BB266" s="481"/>
      <c r="BC266" s="481"/>
      <c r="BD266" s="163">
        <f t="shared" si="177"/>
        <v>4.2699999999999996</v>
      </c>
      <c r="BE266" s="163">
        <f t="shared" si="176"/>
        <v>5.41</v>
      </c>
      <c r="BF266" s="163">
        <f t="shared" si="174"/>
        <v>151.47999999999999</v>
      </c>
    </row>
    <row r="267" spans="1:58" ht="45">
      <c r="A267" s="23" t="s">
        <v>844</v>
      </c>
      <c r="B267" s="24">
        <v>89413</v>
      </c>
      <c r="C267" s="23" t="s">
        <v>1588</v>
      </c>
      <c r="D267" s="25" t="s">
        <v>12</v>
      </c>
      <c r="E267" s="25" t="s">
        <v>17</v>
      </c>
      <c r="F267" s="26">
        <v>12</v>
      </c>
      <c r="G267" s="26">
        <f t="shared" si="157"/>
        <v>5.8990000000000009</v>
      </c>
      <c r="H267" s="26">
        <f t="shared" si="171"/>
        <v>7.48</v>
      </c>
      <c r="I267" s="26">
        <f t="shared" si="172"/>
        <v>89.76</v>
      </c>
      <c r="J267" s="33" t="e">
        <f>IF(B267&lt;&gt;0,VLOOKUP(B267,#REF!,4,FALSE),"")</f>
        <v>#REF!</v>
      </c>
      <c r="K267" s="377" t="s">
        <v>1852</v>
      </c>
      <c r="L267" s="362">
        <f t="shared" si="158"/>
        <v>70.788000000000011</v>
      </c>
      <c r="M267" s="33"/>
      <c r="N267" s="28" t="e">
        <f>IF(B267&lt;&gt;0,VLOOKUP(B267,#REF!,2,FALSE),"")</f>
        <v>#REF!</v>
      </c>
      <c r="AY267" s="21"/>
      <c r="AZ267" s="481"/>
      <c r="BA267" s="481"/>
      <c r="BB267" s="481"/>
      <c r="BC267" s="481"/>
      <c r="BD267" s="163">
        <f t="shared" si="177"/>
        <v>6.57</v>
      </c>
      <c r="BE267" s="163">
        <f t="shared" si="176"/>
        <v>8.33</v>
      </c>
      <c r="BF267" s="163">
        <f t="shared" si="174"/>
        <v>99.96</v>
      </c>
    </row>
    <row r="268" spans="1:58" ht="45">
      <c r="A268" s="23" t="s">
        <v>845</v>
      </c>
      <c r="B268" s="24">
        <v>89497</v>
      </c>
      <c r="C268" s="23" t="s">
        <v>1589</v>
      </c>
      <c r="D268" s="25" t="s">
        <v>12</v>
      </c>
      <c r="E268" s="25" t="s">
        <v>17</v>
      </c>
      <c r="F268" s="26">
        <v>3</v>
      </c>
      <c r="G268" s="26">
        <f t="shared" si="157"/>
        <v>8.5084999999999997</v>
      </c>
      <c r="H268" s="26">
        <f t="shared" si="171"/>
        <v>10.79</v>
      </c>
      <c r="I268" s="26">
        <f t="shared" si="172"/>
        <v>32.369999999999997</v>
      </c>
      <c r="J268" s="33" t="e">
        <f>IF(B268&lt;&gt;0,VLOOKUP(B268,#REF!,4,FALSE),"")</f>
        <v>#REF!</v>
      </c>
      <c r="K268" s="377" t="s">
        <v>1908</v>
      </c>
      <c r="L268" s="362">
        <f t="shared" si="158"/>
        <v>25.525500000000001</v>
      </c>
      <c r="M268" s="33"/>
      <c r="N268" s="28" t="e">
        <f>IF(B268&lt;&gt;0,VLOOKUP(B268,#REF!,2,FALSE),"")</f>
        <v>#REF!</v>
      </c>
      <c r="AY268" s="21"/>
      <c r="AZ268" s="481"/>
      <c r="BA268" s="481"/>
      <c r="BB268" s="481"/>
      <c r="BC268" s="481"/>
      <c r="BD268" s="163">
        <f t="shared" si="177"/>
        <v>9.48</v>
      </c>
      <c r="BE268" s="163">
        <f t="shared" si="176"/>
        <v>12.02</v>
      </c>
      <c r="BF268" s="163">
        <f t="shared" si="174"/>
        <v>36.06</v>
      </c>
    </row>
    <row r="269" spans="1:58" ht="45">
      <c r="A269" s="23" t="s">
        <v>846</v>
      </c>
      <c r="B269" s="24">
        <v>89501</v>
      </c>
      <c r="C269" s="23" t="s">
        <v>1590</v>
      </c>
      <c r="D269" s="25" t="s">
        <v>12</v>
      </c>
      <c r="E269" s="25" t="s">
        <v>17</v>
      </c>
      <c r="F269" s="26">
        <v>3</v>
      </c>
      <c r="G269" s="26">
        <f t="shared" si="157"/>
        <v>10.1065</v>
      </c>
      <c r="H269" s="26">
        <f t="shared" si="171"/>
        <v>12.82</v>
      </c>
      <c r="I269" s="26">
        <f t="shared" si="172"/>
        <v>38.46</v>
      </c>
      <c r="J269" s="33" t="e">
        <f>IF(B269&lt;&gt;0,VLOOKUP(B269,#REF!,4,FALSE),"")</f>
        <v>#REF!</v>
      </c>
      <c r="K269" s="377" t="s">
        <v>1873</v>
      </c>
      <c r="L269" s="362">
        <f t="shared" si="158"/>
        <v>30.319500000000001</v>
      </c>
      <c r="M269" s="33"/>
      <c r="N269" s="28" t="e">
        <f>IF(B269&lt;&gt;0,VLOOKUP(B269,#REF!,2,FALSE),"")</f>
        <v>#REF!</v>
      </c>
      <c r="AY269" s="21"/>
      <c r="AZ269" s="481"/>
      <c r="BA269" s="481"/>
      <c r="BB269" s="481"/>
      <c r="BC269" s="481"/>
      <c r="BD269" s="163">
        <f t="shared" si="177"/>
        <v>11.26</v>
      </c>
      <c r="BE269" s="163">
        <f t="shared" si="176"/>
        <v>14.28</v>
      </c>
      <c r="BF269" s="163">
        <f t="shared" si="174"/>
        <v>42.84</v>
      </c>
    </row>
    <row r="270" spans="1:58" ht="45">
      <c r="A270" s="23" t="s">
        <v>847</v>
      </c>
      <c r="B270" s="24">
        <v>89513</v>
      </c>
      <c r="C270" s="23" t="s">
        <v>1591</v>
      </c>
      <c r="D270" s="25" t="s">
        <v>12</v>
      </c>
      <c r="E270" s="25" t="s">
        <v>17</v>
      </c>
      <c r="F270" s="26">
        <v>4</v>
      </c>
      <c r="G270" s="26">
        <f t="shared" si="157"/>
        <v>93.848500000000001</v>
      </c>
      <c r="H270" s="26">
        <f t="shared" si="171"/>
        <v>119.01</v>
      </c>
      <c r="I270" s="26">
        <f t="shared" si="172"/>
        <v>476.04</v>
      </c>
      <c r="J270" s="33" t="e">
        <f>IF(B270&lt;&gt;0,VLOOKUP(B270,#REF!,4,FALSE),"")</f>
        <v>#REF!</v>
      </c>
      <c r="K270" s="377" t="s">
        <v>3283</v>
      </c>
      <c r="L270" s="362">
        <f t="shared" si="158"/>
        <v>375.39400000000001</v>
      </c>
      <c r="M270" s="33"/>
      <c r="N270" s="28" t="e">
        <f>IF(B270&lt;&gt;0,VLOOKUP(B270,#REF!,2,FALSE),"")</f>
        <v>#REF!</v>
      </c>
      <c r="AY270" s="21"/>
      <c r="AZ270" s="481"/>
      <c r="BA270" s="481"/>
      <c r="BB270" s="481"/>
      <c r="BC270" s="481"/>
      <c r="BD270" s="163">
        <f t="shared" si="177"/>
        <v>104.55</v>
      </c>
      <c r="BE270" s="163">
        <f t="shared" si="176"/>
        <v>132.58000000000001</v>
      </c>
      <c r="BF270" s="163">
        <f t="shared" si="174"/>
        <v>530.32000000000005</v>
      </c>
    </row>
    <row r="271" spans="1:58" ht="45">
      <c r="A271" s="23" t="s">
        <v>848</v>
      </c>
      <c r="B271" s="24">
        <v>89409</v>
      </c>
      <c r="C271" s="23" t="s">
        <v>1592</v>
      </c>
      <c r="D271" s="25" t="s">
        <v>12</v>
      </c>
      <c r="E271" s="25" t="s">
        <v>17</v>
      </c>
      <c r="F271" s="26">
        <v>73</v>
      </c>
      <c r="G271" s="26">
        <f t="shared" si="157"/>
        <v>4.5389999999999997</v>
      </c>
      <c r="H271" s="26">
        <f t="shared" si="171"/>
        <v>5.76</v>
      </c>
      <c r="I271" s="26">
        <f t="shared" si="172"/>
        <v>420.48</v>
      </c>
      <c r="J271" s="33" t="e">
        <f>IF(B271&lt;&gt;0,VLOOKUP(B271,#REF!,4,FALSE),"")</f>
        <v>#REF!</v>
      </c>
      <c r="K271" s="377" t="s">
        <v>3116</v>
      </c>
      <c r="L271" s="362">
        <f t="shared" si="158"/>
        <v>331.34699999999998</v>
      </c>
      <c r="M271" s="33"/>
      <c r="N271" s="28" t="e">
        <f>IF(B271&lt;&gt;0,VLOOKUP(B271,#REF!,2,FALSE),"")</f>
        <v>#REF!</v>
      </c>
      <c r="AY271" s="21"/>
      <c r="AZ271" s="481"/>
      <c r="BA271" s="481"/>
      <c r="BB271" s="481"/>
      <c r="BC271" s="481"/>
      <c r="BD271" s="163">
        <f t="shared" si="177"/>
        <v>5.0599999999999996</v>
      </c>
      <c r="BE271" s="163">
        <f t="shared" si="176"/>
        <v>6.42</v>
      </c>
      <c r="BF271" s="163">
        <f t="shared" si="174"/>
        <v>468.66</v>
      </c>
    </row>
    <row r="272" spans="1:58" ht="45">
      <c r="A272" s="23" t="s">
        <v>849</v>
      </c>
      <c r="B272" s="24">
        <v>89440</v>
      </c>
      <c r="C272" s="23" t="s">
        <v>1593</v>
      </c>
      <c r="D272" s="25" t="s">
        <v>12</v>
      </c>
      <c r="E272" s="25" t="s">
        <v>17</v>
      </c>
      <c r="F272" s="26">
        <v>24</v>
      </c>
      <c r="G272" s="26">
        <f t="shared" si="157"/>
        <v>5.5419999999999998</v>
      </c>
      <c r="H272" s="26">
        <f t="shared" si="171"/>
        <v>7.03</v>
      </c>
      <c r="I272" s="26">
        <f t="shared" si="172"/>
        <v>168.72</v>
      </c>
      <c r="J272" s="33" t="e">
        <f>IF(B272&lt;&gt;0,VLOOKUP(B272,#REF!,4,FALSE),"")</f>
        <v>#REF!</v>
      </c>
      <c r="K272" s="377" t="s">
        <v>3115</v>
      </c>
      <c r="L272" s="362">
        <f t="shared" si="158"/>
        <v>133.00799999999998</v>
      </c>
      <c r="M272" s="33"/>
      <c r="N272" s="28" t="e">
        <f>IF(B272&lt;&gt;0,VLOOKUP(B272,#REF!,2,FALSE),"")</f>
        <v>#REF!</v>
      </c>
      <c r="AY272" s="21"/>
      <c r="AZ272" s="481"/>
      <c r="BA272" s="481"/>
      <c r="BB272" s="481"/>
      <c r="BC272" s="481"/>
      <c r="BD272" s="163">
        <f t="shared" si="177"/>
        <v>6.17</v>
      </c>
      <c r="BE272" s="163">
        <f t="shared" si="176"/>
        <v>7.82</v>
      </c>
      <c r="BF272" s="163">
        <f t="shared" si="174"/>
        <v>187.68</v>
      </c>
    </row>
    <row r="273" spans="1:59" ht="45">
      <c r="A273" s="23" t="s">
        <v>850</v>
      </c>
      <c r="B273" s="24">
        <v>89443</v>
      </c>
      <c r="C273" s="23" t="s">
        <v>1594</v>
      </c>
      <c r="D273" s="25" t="s">
        <v>12</v>
      </c>
      <c r="E273" s="25" t="s">
        <v>17</v>
      </c>
      <c r="F273" s="26">
        <v>4</v>
      </c>
      <c r="G273" s="26">
        <f t="shared" si="157"/>
        <v>9.2565000000000008</v>
      </c>
      <c r="H273" s="26">
        <f t="shared" si="171"/>
        <v>11.74</v>
      </c>
      <c r="I273" s="26">
        <f t="shared" si="172"/>
        <v>46.96</v>
      </c>
      <c r="J273" s="33" t="e">
        <f>IF(B273&lt;&gt;0,VLOOKUP(B273,#REF!,4,FALSE),"")</f>
        <v>#REF!</v>
      </c>
      <c r="K273" s="377" t="s">
        <v>3114</v>
      </c>
      <c r="L273" s="362">
        <f t="shared" si="158"/>
        <v>37.026000000000003</v>
      </c>
      <c r="M273" s="33"/>
      <c r="N273" s="28" t="e">
        <f>IF(B273&lt;&gt;0,VLOOKUP(B273,#REF!,2,FALSE),"")</f>
        <v>#REF!</v>
      </c>
      <c r="AY273" s="21"/>
      <c r="AZ273" s="481"/>
      <c r="BA273" s="481"/>
      <c r="BB273" s="481"/>
      <c r="BC273" s="481"/>
      <c r="BD273" s="163">
        <f t="shared" si="177"/>
        <v>10.31</v>
      </c>
      <c r="BE273" s="163">
        <f t="shared" si="176"/>
        <v>13.07</v>
      </c>
      <c r="BF273" s="163">
        <f t="shared" si="174"/>
        <v>52.28</v>
      </c>
    </row>
    <row r="274" spans="1:59" ht="45">
      <c r="A274" s="23" t="s">
        <v>851</v>
      </c>
      <c r="B274" s="24">
        <v>89625</v>
      </c>
      <c r="C274" s="23" t="s">
        <v>1595</v>
      </c>
      <c r="D274" s="25" t="s">
        <v>12</v>
      </c>
      <c r="E274" s="25" t="s">
        <v>17</v>
      </c>
      <c r="F274" s="26">
        <v>3</v>
      </c>
      <c r="G274" s="26">
        <f t="shared" si="157"/>
        <v>16.234999999999999</v>
      </c>
      <c r="H274" s="26">
        <f t="shared" si="171"/>
        <v>20.59</v>
      </c>
      <c r="I274" s="26">
        <f t="shared" si="172"/>
        <v>61.77</v>
      </c>
      <c r="J274" s="36" t="e">
        <f>IF(B274&lt;&gt;0,VLOOKUP(B274,#REF!,4,FALSE),"")</f>
        <v>#REF!</v>
      </c>
      <c r="K274" s="374" t="s">
        <v>3236</v>
      </c>
      <c r="L274" s="362">
        <f t="shared" si="158"/>
        <v>48.704999999999998</v>
      </c>
      <c r="M274" s="36"/>
      <c r="N274" s="37" t="e">
        <f>IF(B274&lt;&gt;0,VLOOKUP(B274,#REF!,2,FALSE),"")</f>
        <v>#REF!</v>
      </c>
      <c r="AY274" s="21"/>
      <c r="AZ274" s="481"/>
      <c r="BA274" s="481"/>
      <c r="BB274" s="481"/>
      <c r="BC274" s="481"/>
      <c r="BD274" s="163">
        <f t="shared" si="177"/>
        <v>18.09</v>
      </c>
      <c r="BE274" s="163">
        <f t="shared" si="176"/>
        <v>22.94</v>
      </c>
      <c r="BF274" s="163">
        <f t="shared" si="174"/>
        <v>68.819999999999993</v>
      </c>
    </row>
    <row r="275" spans="1:59" s="28" customFormat="1" ht="60">
      <c r="A275" s="23" t="s">
        <v>852</v>
      </c>
      <c r="B275" s="25" t="s">
        <v>2106</v>
      </c>
      <c r="C275" s="23" t="s">
        <v>1596</v>
      </c>
      <c r="D275" s="25" t="s">
        <v>1915</v>
      </c>
      <c r="E275" s="25" t="s">
        <v>17</v>
      </c>
      <c r="F275" s="26">
        <v>10</v>
      </c>
      <c r="G275" s="26">
        <f t="shared" si="157"/>
        <v>11.135</v>
      </c>
      <c r="H275" s="26">
        <f t="shared" si="171"/>
        <v>14.12</v>
      </c>
      <c r="I275" s="26">
        <f t="shared" si="172"/>
        <v>141.19999999999999</v>
      </c>
      <c r="J275" s="36">
        <f>'COMPOSIÇÃO DE CUSTOS'!G570</f>
        <v>11.13</v>
      </c>
      <c r="K275" s="374">
        <v>13.1</v>
      </c>
      <c r="L275" s="362">
        <f t="shared" si="158"/>
        <v>111.35</v>
      </c>
      <c r="M275" s="36"/>
      <c r="AY275" s="370"/>
      <c r="AZ275" s="481"/>
      <c r="BA275" s="481"/>
      <c r="BB275" s="481"/>
      <c r="BC275" s="481"/>
      <c r="BD275" s="163">
        <f t="shared" si="177"/>
        <v>12.4</v>
      </c>
      <c r="BE275" s="163">
        <f t="shared" si="176"/>
        <v>15.72</v>
      </c>
      <c r="BF275" s="163">
        <f t="shared" si="174"/>
        <v>157.19999999999999</v>
      </c>
    </row>
    <row r="276" spans="1:59" ht="60">
      <c r="A276" s="23" t="s">
        <v>853</v>
      </c>
      <c r="B276" s="25" t="s">
        <v>2109</v>
      </c>
      <c r="C276" s="23" t="s">
        <v>1597</v>
      </c>
      <c r="D276" s="25" t="s">
        <v>1915</v>
      </c>
      <c r="E276" s="25" t="s">
        <v>17</v>
      </c>
      <c r="F276" s="26">
        <v>4</v>
      </c>
      <c r="G276" s="26">
        <f t="shared" si="157"/>
        <v>14.773</v>
      </c>
      <c r="H276" s="26">
        <f t="shared" si="171"/>
        <v>18.73</v>
      </c>
      <c r="I276" s="26">
        <f t="shared" si="172"/>
        <v>74.92</v>
      </c>
      <c r="J276" s="36">
        <f>'COMPOSIÇÃO DE CUSTOS'!G580</f>
        <v>14.76</v>
      </c>
      <c r="K276" s="374">
        <v>17.38</v>
      </c>
      <c r="L276" s="362">
        <f t="shared" si="158"/>
        <v>59.091999999999999</v>
      </c>
      <c r="M276" s="36"/>
      <c r="N276" s="28"/>
      <c r="AY276" s="21"/>
      <c r="AZ276" s="481"/>
      <c r="BA276" s="481"/>
      <c r="BB276" s="481"/>
      <c r="BC276" s="481"/>
      <c r="BD276" s="163">
        <f t="shared" si="177"/>
        <v>16.46</v>
      </c>
      <c r="BE276" s="163">
        <f t="shared" si="176"/>
        <v>20.87</v>
      </c>
      <c r="BF276" s="163">
        <f t="shared" si="174"/>
        <v>83.48</v>
      </c>
    </row>
    <row r="277" spans="1:59" ht="60">
      <c r="A277" s="23" t="s">
        <v>854</v>
      </c>
      <c r="B277" s="25" t="s">
        <v>2110</v>
      </c>
      <c r="C277" s="23" t="s">
        <v>1598</v>
      </c>
      <c r="D277" s="25" t="s">
        <v>1915</v>
      </c>
      <c r="E277" s="25" t="s">
        <v>17</v>
      </c>
      <c r="F277" s="26">
        <v>6</v>
      </c>
      <c r="G277" s="26">
        <f t="shared" si="157"/>
        <v>22.057500000000001</v>
      </c>
      <c r="H277" s="26">
        <f t="shared" si="171"/>
        <v>27.97</v>
      </c>
      <c r="I277" s="26">
        <f t="shared" si="172"/>
        <v>167.82</v>
      </c>
      <c r="J277" s="38">
        <f>'COMPOSIÇÃO DE CUSTOS'!G590</f>
        <v>22.05</v>
      </c>
      <c r="K277" s="375">
        <v>25.95</v>
      </c>
      <c r="L277" s="362">
        <f t="shared" si="158"/>
        <v>132.345</v>
      </c>
      <c r="M277" s="38"/>
      <c r="N277" s="35"/>
      <c r="AY277" s="21"/>
      <c r="AZ277" s="481"/>
      <c r="BA277" s="481"/>
      <c r="BB277" s="481"/>
      <c r="BC277" s="481"/>
      <c r="BD277" s="163">
        <f t="shared" si="177"/>
        <v>24.57</v>
      </c>
      <c r="BE277" s="163">
        <f t="shared" si="176"/>
        <v>31.16</v>
      </c>
      <c r="BF277" s="163">
        <f t="shared" si="174"/>
        <v>186.96</v>
      </c>
    </row>
    <row r="278" spans="1:59" s="28" customFormat="1" ht="15" customHeight="1">
      <c r="A278" s="356" t="s">
        <v>855</v>
      </c>
      <c r="B278" s="356"/>
      <c r="C278" s="356" t="s">
        <v>124</v>
      </c>
      <c r="D278" s="357"/>
      <c r="E278" s="357"/>
      <c r="F278" s="357"/>
      <c r="G278" s="26"/>
      <c r="H278" s="357"/>
      <c r="I278" s="96"/>
      <c r="J278" s="37"/>
      <c r="K278" s="374"/>
      <c r="L278" s="362">
        <f t="shared" si="158"/>
        <v>0</v>
      </c>
      <c r="M278" s="37"/>
      <c r="N278" s="37"/>
      <c r="AY278" s="370"/>
      <c r="AZ278" s="481"/>
      <c r="BA278" s="481"/>
      <c r="BB278" s="481"/>
      <c r="BC278" s="481"/>
      <c r="BD278" s="481"/>
      <c r="BE278" s="481"/>
      <c r="BF278" s="481"/>
    </row>
    <row r="279" spans="1:59" s="34" customFormat="1" ht="75">
      <c r="A279" s="471" t="s">
        <v>856</v>
      </c>
      <c r="B279" s="475">
        <v>86888</v>
      </c>
      <c r="C279" s="471" t="s">
        <v>125</v>
      </c>
      <c r="D279" s="472" t="s">
        <v>1915</v>
      </c>
      <c r="E279" s="472" t="s">
        <v>17</v>
      </c>
      <c r="F279" s="473">
        <f>18+12+5</f>
        <v>35</v>
      </c>
      <c r="G279" s="473">
        <f t="shared" si="157"/>
        <v>871.65800000000002</v>
      </c>
      <c r="H279" s="473">
        <f t="shared" ref="H279:H294" si="178">ROUND(G279*(1+$J$14),2)</f>
        <v>1105.3499999999999</v>
      </c>
      <c r="I279" s="473">
        <f t="shared" ref="I279:I294" si="179">ROUND(H279*F279,2)</f>
        <v>38687.25</v>
      </c>
      <c r="J279" s="474">
        <f>'COMPOSIÇÃO DE CUSTOS'!G602</f>
        <v>871.66</v>
      </c>
      <c r="K279" s="378">
        <v>1025.48</v>
      </c>
      <c r="L279" s="378">
        <f t="shared" si="158"/>
        <v>30508.03</v>
      </c>
      <c r="M279" s="474"/>
      <c r="N279" s="47"/>
      <c r="AY279" s="577"/>
      <c r="AZ279" s="502"/>
      <c r="BA279" s="502"/>
      <c r="BB279" s="502"/>
      <c r="BC279" s="502"/>
      <c r="BD279" s="523">
        <f>BG279</f>
        <v>832.64</v>
      </c>
      <c r="BE279" s="523">
        <f>ROUND(BD279*(1+$J$14),2)</f>
        <v>1055.8699999999999</v>
      </c>
      <c r="BF279" s="523">
        <f t="shared" ref="BF279:BF294" si="180">ROUND(BE279*F279,2)</f>
        <v>36955.449999999997</v>
      </c>
      <c r="BG279" s="34">
        <f>'COMPOSIÇÃO AB'!G500</f>
        <v>832.64</v>
      </c>
    </row>
    <row r="280" spans="1:59" s="27" customFormat="1" ht="45">
      <c r="A280" s="23" t="s">
        <v>857</v>
      </c>
      <c r="B280" s="24">
        <v>95547</v>
      </c>
      <c r="C280" s="23" t="s">
        <v>1599</v>
      </c>
      <c r="D280" s="25" t="s">
        <v>12</v>
      </c>
      <c r="E280" s="25" t="s">
        <v>17</v>
      </c>
      <c r="F280" s="26">
        <v>20</v>
      </c>
      <c r="G280" s="26">
        <f t="shared" ref="G280:G343" si="181">K280-(K280*$K$15)</f>
        <v>48.152500000000003</v>
      </c>
      <c r="H280" s="26">
        <f t="shared" si="178"/>
        <v>61.06</v>
      </c>
      <c r="I280" s="26">
        <f t="shared" si="179"/>
        <v>1221.2</v>
      </c>
      <c r="J280" s="43" t="e">
        <f>IF(B280&lt;&gt;0,VLOOKUP(B280,#REF!,4,FALSE),"")</f>
        <v>#REF!</v>
      </c>
      <c r="K280" s="365" t="s">
        <v>3178</v>
      </c>
      <c r="L280" s="362">
        <f t="shared" ref="L280:L343" si="182">F280*G280</f>
        <v>963.05000000000007</v>
      </c>
      <c r="M280" s="43"/>
      <c r="N280" s="42" t="e">
        <f>IF(B280&lt;&gt;0,VLOOKUP(B280,#REF!,2,FALSE),"")</f>
        <v>#REF!</v>
      </c>
      <c r="AY280" s="552"/>
      <c r="AZ280" s="481"/>
      <c r="BA280" s="481"/>
      <c r="BB280" s="481"/>
      <c r="BC280" s="481"/>
      <c r="BD280" s="163">
        <f t="shared" ref="BD280" si="183">ROUND(G280*$BH$19,2)</f>
        <v>53.64</v>
      </c>
      <c r="BE280" s="163">
        <f t="shared" ref="BE280:BE343" si="184">ROUND(BD280*(1+$J$14),2)</f>
        <v>68.02</v>
      </c>
      <c r="BF280" s="163">
        <f t="shared" si="180"/>
        <v>1360.4</v>
      </c>
    </row>
    <row r="281" spans="1:59" s="27" customFormat="1" ht="45">
      <c r="A281" s="23" t="s">
        <v>858</v>
      </c>
      <c r="B281" s="24">
        <v>95542</v>
      </c>
      <c r="C281" s="23" t="s">
        <v>126</v>
      </c>
      <c r="D281" s="25" t="s">
        <v>12</v>
      </c>
      <c r="E281" s="25" t="s">
        <v>17</v>
      </c>
      <c r="F281" s="26">
        <v>20</v>
      </c>
      <c r="G281" s="26">
        <f t="shared" si="181"/>
        <v>40.392000000000003</v>
      </c>
      <c r="H281" s="26">
        <f t="shared" si="178"/>
        <v>51.22</v>
      </c>
      <c r="I281" s="26">
        <f t="shared" si="179"/>
        <v>1024.4000000000001</v>
      </c>
      <c r="J281" s="43" t="e">
        <f>IF(B281&lt;&gt;0,VLOOKUP(B281,#REF!,4,FALSE),"")</f>
        <v>#REF!</v>
      </c>
      <c r="K281" s="365" t="s">
        <v>3110</v>
      </c>
      <c r="L281" s="362">
        <f t="shared" si="182"/>
        <v>807.84</v>
      </c>
      <c r="M281" s="43"/>
      <c r="N281" s="42" t="e">
        <f>IF(B281&lt;&gt;0,VLOOKUP(B281,#REF!,2,FALSE),"")</f>
        <v>#REF!</v>
      </c>
      <c r="AY281" s="552"/>
      <c r="AZ281" s="481"/>
      <c r="BA281" s="481"/>
      <c r="BB281" s="481"/>
      <c r="BC281" s="481"/>
      <c r="BD281" s="163">
        <f t="shared" ref="BD281:BD315" si="185">ROUND(G281*$BH$19,2)</f>
        <v>45</v>
      </c>
      <c r="BE281" s="163">
        <f t="shared" si="184"/>
        <v>57.06</v>
      </c>
      <c r="BF281" s="163">
        <f t="shared" si="180"/>
        <v>1141.2</v>
      </c>
    </row>
    <row r="282" spans="1:59" s="27" customFormat="1" ht="45">
      <c r="A282" s="23" t="s">
        <v>859</v>
      </c>
      <c r="B282" s="24">
        <v>86895</v>
      </c>
      <c r="C282" s="23" t="s">
        <v>1600</v>
      </c>
      <c r="D282" s="25" t="s">
        <v>1915</v>
      </c>
      <c r="E282" s="25" t="s">
        <v>17</v>
      </c>
      <c r="F282" s="26">
        <v>20</v>
      </c>
      <c r="G282" s="26">
        <f t="shared" si="181"/>
        <v>804.54200000000003</v>
      </c>
      <c r="H282" s="26">
        <f t="shared" si="178"/>
        <v>1020.24</v>
      </c>
      <c r="I282" s="26">
        <f t="shared" si="179"/>
        <v>20404.8</v>
      </c>
      <c r="J282" s="43">
        <f>'COMPOSIÇÃO DE CUSTOS'!G614</f>
        <v>804.55</v>
      </c>
      <c r="K282" s="365">
        <v>946.52</v>
      </c>
      <c r="L282" s="362">
        <f t="shared" si="182"/>
        <v>16090.84</v>
      </c>
      <c r="M282" s="43"/>
      <c r="N282" s="42"/>
      <c r="AY282" s="552"/>
      <c r="AZ282" s="481"/>
      <c r="BA282" s="481"/>
      <c r="BB282" s="481"/>
      <c r="BC282" s="481"/>
      <c r="BD282" s="163">
        <f t="shared" si="185"/>
        <v>896.27</v>
      </c>
      <c r="BE282" s="163">
        <f t="shared" si="184"/>
        <v>1136.56</v>
      </c>
      <c r="BF282" s="163">
        <f t="shared" si="180"/>
        <v>22731.200000000001</v>
      </c>
    </row>
    <row r="283" spans="1:59" s="27" customFormat="1" ht="30">
      <c r="A283" s="23" t="s">
        <v>860</v>
      </c>
      <c r="B283" s="25" t="s">
        <v>127</v>
      </c>
      <c r="C283" s="23" t="s">
        <v>128</v>
      </c>
      <c r="D283" s="25" t="s">
        <v>70</v>
      </c>
      <c r="E283" s="25" t="s">
        <v>17</v>
      </c>
      <c r="F283" s="26">
        <v>11</v>
      </c>
      <c r="G283" s="26">
        <f t="shared" si="181"/>
        <v>514.70049999999992</v>
      </c>
      <c r="H283" s="26">
        <f t="shared" si="178"/>
        <v>652.69000000000005</v>
      </c>
      <c r="I283" s="26">
        <f t="shared" si="179"/>
        <v>7179.59</v>
      </c>
      <c r="J283" s="43">
        <f>'COMPOSIÇÃO DE CUSTOS'!G628</f>
        <v>514.71</v>
      </c>
      <c r="K283" s="365">
        <v>605.53</v>
      </c>
      <c r="L283" s="362">
        <f t="shared" si="182"/>
        <v>5661.7054999999991</v>
      </c>
      <c r="M283" s="43"/>
      <c r="N283" s="42"/>
      <c r="AY283" s="552"/>
      <c r="AZ283" s="481"/>
      <c r="BA283" s="481"/>
      <c r="BB283" s="481"/>
      <c r="BC283" s="481"/>
      <c r="BD283" s="163">
        <f t="shared" si="185"/>
        <v>573.38</v>
      </c>
      <c r="BE283" s="163">
        <f t="shared" si="184"/>
        <v>727.1</v>
      </c>
      <c r="BF283" s="163">
        <f t="shared" si="180"/>
        <v>7998.1</v>
      </c>
    </row>
    <row r="284" spans="1:59" s="27" customFormat="1" ht="30">
      <c r="A284" s="23" t="s">
        <v>861</v>
      </c>
      <c r="B284" s="24">
        <v>36796</v>
      </c>
      <c r="C284" s="23" t="s">
        <v>508</v>
      </c>
      <c r="D284" s="25" t="s">
        <v>12</v>
      </c>
      <c r="E284" s="25" t="s">
        <v>17</v>
      </c>
      <c r="F284" s="26">
        <v>31</v>
      </c>
      <c r="G284" s="26">
        <f t="shared" si="181"/>
        <v>155.66899999999998</v>
      </c>
      <c r="H284" s="26">
        <f t="shared" si="178"/>
        <v>197.4</v>
      </c>
      <c r="I284" s="26">
        <f t="shared" si="179"/>
        <v>6119.4</v>
      </c>
      <c r="J284" s="43" t="e">
        <f>IF(B284&lt;&gt;0,VLOOKUP(B284,#REF!,4,FALSE),"")</f>
        <v>#REF!</v>
      </c>
      <c r="K284" s="365" t="s">
        <v>3130</v>
      </c>
      <c r="L284" s="362">
        <f t="shared" si="182"/>
        <v>4825.7389999999996</v>
      </c>
      <c r="M284" s="43"/>
      <c r="N284" s="42" t="e">
        <f>IF(B284&lt;&gt;0,VLOOKUP(B284,#REF!,2,FALSE),"")</f>
        <v>#REF!</v>
      </c>
      <c r="AY284" s="552"/>
      <c r="AZ284" s="481"/>
      <c r="BA284" s="481"/>
      <c r="BB284" s="481"/>
      <c r="BC284" s="481"/>
      <c r="BD284" s="163">
        <f t="shared" si="185"/>
        <v>173.42</v>
      </c>
      <c r="BE284" s="163">
        <f t="shared" si="184"/>
        <v>219.91</v>
      </c>
      <c r="BF284" s="163">
        <f t="shared" si="180"/>
        <v>6817.21</v>
      </c>
    </row>
    <row r="285" spans="1:59" s="27" customFormat="1" ht="30">
      <c r="A285" s="23" t="s">
        <v>862</v>
      </c>
      <c r="B285" s="24">
        <v>86881</v>
      </c>
      <c r="C285" s="23" t="s">
        <v>129</v>
      </c>
      <c r="D285" s="25" t="s">
        <v>12</v>
      </c>
      <c r="E285" s="25" t="s">
        <v>17</v>
      </c>
      <c r="F285" s="26">
        <v>8</v>
      </c>
      <c r="G285" s="26">
        <f t="shared" si="181"/>
        <v>102.02549999999999</v>
      </c>
      <c r="H285" s="26">
        <f t="shared" si="178"/>
        <v>129.38</v>
      </c>
      <c r="I285" s="26">
        <f t="shared" si="179"/>
        <v>1035.04</v>
      </c>
      <c r="J285" s="43" t="e">
        <f>IF(B285&lt;&gt;0,VLOOKUP(B285,#REF!,4,FALSE),"")</f>
        <v>#REF!</v>
      </c>
      <c r="K285" s="365" t="s">
        <v>3176</v>
      </c>
      <c r="L285" s="362">
        <f t="shared" si="182"/>
        <v>816.20399999999995</v>
      </c>
      <c r="M285" s="43"/>
      <c r="N285" s="42" t="e">
        <f>IF(B285&lt;&gt;0,VLOOKUP(B285,#REF!,2,FALSE),"")</f>
        <v>#REF!</v>
      </c>
      <c r="AY285" s="552"/>
      <c r="AZ285" s="481"/>
      <c r="BA285" s="481"/>
      <c r="BB285" s="481"/>
      <c r="BC285" s="481"/>
      <c r="BD285" s="163">
        <f t="shared" si="185"/>
        <v>113.66</v>
      </c>
      <c r="BE285" s="163">
        <f t="shared" si="184"/>
        <v>144.13</v>
      </c>
      <c r="BF285" s="163">
        <f t="shared" si="180"/>
        <v>1153.04</v>
      </c>
    </row>
    <row r="286" spans="1:59" s="27" customFormat="1" ht="30">
      <c r="A286" s="23" t="s">
        <v>863</v>
      </c>
      <c r="B286" s="24">
        <v>86881</v>
      </c>
      <c r="C286" s="23" t="s">
        <v>1601</v>
      </c>
      <c r="D286" s="25" t="s">
        <v>12</v>
      </c>
      <c r="E286" s="25" t="s">
        <v>17</v>
      </c>
      <c r="F286" s="26">
        <v>18</v>
      </c>
      <c r="G286" s="26">
        <f t="shared" si="181"/>
        <v>102.02549999999999</v>
      </c>
      <c r="H286" s="26">
        <f t="shared" si="178"/>
        <v>129.38</v>
      </c>
      <c r="I286" s="26">
        <f t="shared" si="179"/>
        <v>2328.84</v>
      </c>
      <c r="J286" s="43" t="e">
        <f>IF(B286&lt;&gt;0,VLOOKUP(B286,#REF!,4,FALSE),"")</f>
        <v>#REF!</v>
      </c>
      <c r="K286" s="365" t="s">
        <v>3176</v>
      </c>
      <c r="L286" s="362">
        <f t="shared" si="182"/>
        <v>1836.4589999999998</v>
      </c>
      <c r="M286" s="43"/>
      <c r="N286" s="42" t="e">
        <f>IF(B286&lt;&gt;0,VLOOKUP(B286,#REF!,2,FALSE),"")</f>
        <v>#REF!</v>
      </c>
      <c r="AY286" s="552"/>
      <c r="AZ286" s="481"/>
      <c r="BA286" s="481"/>
      <c r="BB286" s="481"/>
      <c r="BC286" s="481"/>
      <c r="BD286" s="163">
        <f t="shared" si="185"/>
        <v>113.66</v>
      </c>
      <c r="BE286" s="163">
        <f t="shared" si="184"/>
        <v>144.13</v>
      </c>
      <c r="BF286" s="163">
        <f t="shared" si="180"/>
        <v>2594.34</v>
      </c>
    </row>
    <row r="287" spans="1:59" s="27" customFormat="1" ht="45">
      <c r="A287" s="23" t="s">
        <v>864</v>
      </c>
      <c r="B287" s="24">
        <v>2024</v>
      </c>
      <c r="C287" s="23" t="s">
        <v>1992</v>
      </c>
      <c r="D287" s="25" t="s">
        <v>44</v>
      </c>
      <c r="E287" s="25" t="s">
        <v>17</v>
      </c>
      <c r="F287" s="26">
        <v>1</v>
      </c>
      <c r="G287" s="26">
        <f t="shared" si="181"/>
        <v>328.185</v>
      </c>
      <c r="H287" s="26">
        <f t="shared" si="178"/>
        <v>416.17</v>
      </c>
      <c r="I287" s="26">
        <f t="shared" si="179"/>
        <v>416.17</v>
      </c>
      <c r="J287" s="43">
        <f>'COMPOSIÇÃO DE CUSTOS'!G2081</f>
        <v>328.18</v>
      </c>
      <c r="K287" s="365">
        <v>386.1</v>
      </c>
      <c r="L287" s="362">
        <f t="shared" si="182"/>
        <v>328.185</v>
      </c>
      <c r="M287" s="43"/>
      <c r="N287" s="42"/>
      <c r="AY287" s="552"/>
      <c r="AZ287" s="481"/>
      <c r="BA287" s="481"/>
      <c r="BB287" s="481"/>
      <c r="BC287" s="481"/>
      <c r="BD287" s="163">
        <f t="shared" si="185"/>
        <v>365.6</v>
      </c>
      <c r="BE287" s="163">
        <f t="shared" si="184"/>
        <v>463.62</v>
      </c>
      <c r="BF287" s="163">
        <f t="shared" si="180"/>
        <v>463.62</v>
      </c>
    </row>
    <row r="288" spans="1:59" s="27" customFormat="1" ht="30">
      <c r="A288" s="23" t="s">
        <v>865</v>
      </c>
      <c r="B288" s="24">
        <v>95543</v>
      </c>
      <c r="C288" s="23" t="s">
        <v>1602</v>
      </c>
      <c r="D288" s="25" t="s">
        <v>12</v>
      </c>
      <c r="E288" s="25" t="s">
        <v>17</v>
      </c>
      <c r="F288" s="26">
        <v>20</v>
      </c>
      <c r="G288" s="26">
        <f t="shared" si="181"/>
        <v>65.484000000000009</v>
      </c>
      <c r="H288" s="26">
        <f t="shared" si="178"/>
        <v>83.04</v>
      </c>
      <c r="I288" s="26">
        <f t="shared" si="179"/>
        <v>1660.8</v>
      </c>
      <c r="J288" s="43" t="e">
        <f>IF(B288&lt;&gt;0,VLOOKUP(B288,#REF!,4,FALSE),"")</f>
        <v>#REF!</v>
      </c>
      <c r="K288" s="365" t="s">
        <v>3177</v>
      </c>
      <c r="L288" s="362">
        <f t="shared" si="182"/>
        <v>1309.6800000000003</v>
      </c>
      <c r="M288" s="43"/>
      <c r="N288" s="42" t="e">
        <f>IF(B288&lt;&gt;0,VLOOKUP(B288,#REF!,2,FALSE),"")</f>
        <v>#REF!</v>
      </c>
      <c r="AY288" s="552"/>
      <c r="AZ288" s="481"/>
      <c r="BA288" s="481"/>
      <c r="BB288" s="481"/>
      <c r="BC288" s="481"/>
      <c r="BD288" s="163">
        <f t="shared" si="185"/>
        <v>72.95</v>
      </c>
      <c r="BE288" s="163">
        <f t="shared" si="184"/>
        <v>92.51</v>
      </c>
      <c r="BF288" s="163">
        <f t="shared" si="180"/>
        <v>1850.2</v>
      </c>
    </row>
    <row r="289" spans="1:58" s="27" customFormat="1">
      <c r="A289" s="23" t="s">
        <v>866</v>
      </c>
      <c r="B289" s="24">
        <v>9502</v>
      </c>
      <c r="C289" s="23" t="s">
        <v>130</v>
      </c>
      <c r="D289" s="25" t="s">
        <v>44</v>
      </c>
      <c r="E289" s="25" t="s">
        <v>17</v>
      </c>
      <c r="F289" s="26">
        <v>35</v>
      </c>
      <c r="G289" s="26">
        <f t="shared" si="181"/>
        <v>191.22450000000001</v>
      </c>
      <c r="H289" s="26">
        <f t="shared" si="178"/>
        <v>242.49</v>
      </c>
      <c r="I289" s="26">
        <f t="shared" si="179"/>
        <v>8487.15</v>
      </c>
      <c r="J289" s="43">
        <f>'COMPOSIÇÃO DE CUSTOS'!G1862</f>
        <v>191.22</v>
      </c>
      <c r="K289" s="365">
        <v>224.97</v>
      </c>
      <c r="L289" s="362">
        <f t="shared" si="182"/>
        <v>6692.8575000000001</v>
      </c>
      <c r="M289" s="43"/>
      <c r="N289" s="42"/>
      <c r="AY289" s="552"/>
      <c r="AZ289" s="481"/>
      <c r="BA289" s="481"/>
      <c r="BB289" s="481"/>
      <c r="BC289" s="481"/>
      <c r="BD289" s="163">
        <f t="shared" si="185"/>
        <v>213.03</v>
      </c>
      <c r="BE289" s="163">
        <f t="shared" si="184"/>
        <v>270.14</v>
      </c>
      <c r="BF289" s="163">
        <f t="shared" si="180"/>
        <v>9454.9</v>
      </c>
    </row>
    <row r="290" spans="1:58" ht="75">
      <c r="A290" s="23" t="s">
        <v>867</v>
      </c>
      <c r="B290" s="24">
        <v>86923</v>
      </c>
      <c r="C290" s="23" t="s">
        <v>1603</v>
      </c>
      <c r="D290" s="25" t="s">
        <v>12</v>
      </c>
      <c r="E290" s="25" t="s">
        <v>17</v>
      </c>
      <c r="F290" s="26">
        <v>2</v>
      </c>
      <c r="G290" s="26">
        <f t="shared" si="181"/>
        <v>368.51750000000004</v>
      </c>
      <c r="H290" s="26">
        <f t="shared" si="178"/>
        <v>467.32</v>
      </c>
      <c r="I290" s="26">
        <f t="shared" si="179"/>
        <v>934.64</v>
      </c>
      <c r="J290" s="36" t="e">
        <f>IF(B290&lt;&gt;0,VLOOKUP(B290,#REF!,4,FALSE),"")</f>
        <v>#REF!</v>
      </c>
      <c r="K290" s="374" t="s">
        <v>3295</v>
      </c>
      <c r="L290" s="362">
        <f t="shared" si="182"/>
        <v>737.03500000000008</v>
      </c>
      <c r="M290" s="36"/>
      <c r="N290" s="37" t="e">
        <f>IF(B290&lt;&gt;0,VLOOKUP(B290,#REF!,2,FALSE),"")</f>
        <v>#REF!</v>
      </c>
      <c r="AY290" s="21"/>
      <c r="AZ290" s="481"/>
      <c r="BA290" s="481"/>
      <c r="BB290" s="481"/>
      <c r="BC290" s="481"/>
      <c r="BD290" s="163">
        <f t="shared" si="185"/>
        <v>410.53</v>
      </c>
      <c r="BE290" s="163">
        <f t="shared" si="184"/>
        <v>520.59</v>
      </c>
      <c r="BF290" s="163">
        <f t="shared" si="180"/>
        <v>1041.18</v>
      </c>
    </row>
    <row r="291" spans="1:58" s="27" customFormat="1" ht="105">
      <c r="A291" s="23" t="s">
        <v>868</v>
      </c>
      <c r="B291" s="24">
        <v>93441</v>
      </c>
      <c r="C291" s="23" t="s">
        <v>1604</v>
      </c>
      <c r="D291" s="25" t="s">
        <v>12</v>
      </c>
      <c r="E291" s="25" t="s">
        <v>17</v>
      </c>
      <c r="F291" s="26">
        <v>2</v>
      </c>
      <c r="G291" s="26">
        <f t="shared" si="181"/>
        <v>661.6825</v>
      </c>
      <c r="H291" s="26">
        <f t="shared" si="178"/>
        <v>839.08</v>
      </c>
      <c r="I291" s="26">
        <f t="shared" si="179"/>
        <v>1678.16</v>
      </c>
      <c r="J291" s="43" t="e">
        <f>IF(B291&lt;&gt;0,VLOOKUP(B291,#REF!,4,FALSE),"")</f>
        <v>#REF!</v>
      </c>
      <c r="K291" s="365" t="s">
        <v>3296</v>
      </c>
      <c r="L291" s="362">
        <f t="shared" si="182"/>
        <v>1323.365</v>
      </c>
      <c r="M291" s="43"/>
      <c r="N291" s="42" t="e">
        <f>IF(B291&lt;&gt;0,VLOOKUP(B291,#REF!,2,FALSE),"")</f>
        <v>#REF!</v>
      </c>
      <c r="AY291" s="552"/>
      <c r="AZ291" s="481"/>
      <c r="BA291" s="481"/>
      <c r="BB291" s="481"/>
      <c r="BC291" s="481"/>
      <c r="BD291" s="163">
        <f t="shared" si="185"/>
        <v>737.12</v>
      </c>
      <c r="BE291" s="163">
        <f t="shared" si="184"/>
        <v>934.74</v>
      </c>
      <c r="BF291" s="163">
        <f t="shared" si="180"/>
        <v>1869.48</v>
      </c>
    </row>
    <row r="292" spans="1:58" s="27" customFormat="1" ht="37.5" customHeight="1">
      <c r="A292" s="23" t="s">
        <v>2682</v>
      </c>
      <c r="B292" s="24">
        <v>466</v>
      </c>
      <c r="C292" s="23" t="s">
        <v>3099</v>
      </c>
      <c r="D292" s="25" t="s">
        <v>44</v>
      </c>
      <c r="E292" s="25" t="s">
        <v>17</v>
      </c>
      <c r="F292" s="26">
        <v>2</v>
      </c>
      <c r="G292" s="26">
        <f t="shared" si="181"/>
        <v>6535.65</v>
      </c>
      <c r="H292" s="26">
        <f t="shared" si="178"/>
        <v>8287.86</v>
      </c>
      <c r="I292" s="26">
        <f t="shared" ref="I292" si="186">ROUND(H292*F292,2)</f>
        <v>16575.72</v>
      </c>
      <c r="J292" s="43" t="e">
        <f>IF(B292&lt;&gt;0,VLOOKUP(B292,#REF!,2,FALSE),"")</f>
        <v>#REF!</v>
      </c>
      <c r="K292" s="365">
        <v>7689</v>
      </c>
      <c r="L292" s="362">
        <f t="shared" si="182"/>
        <v>13071.3</v>
      </c>
      <c r="M292" s="43"/>
      <c r="N292" s="42" t="s">
        <v>2681</v>
      </c>
      <c r="AY292" s="552"/>
      <c r="AZ292" s="481"/>
      <c r="BA292" s="481"/>
      <c r="BB292" s="481"/>
      <c r="BC292" s="481"/>
      <c r="BD292" s="163">
        <f t="shared" si="185"/>
        <v>7280.77</v>
      </c>
      <c r="BE292" s="163">
        <f t="shared" si="184"/>
        <v>9232.74</v>
      </c>
      <c r="BF292" s="163">
        <f t="shared" si="180"/>
        <v>18465.48</v>
      </c>
    </row>
    <row r="293" spans="1:58" s="27" customFormat="1" ht="30">
      <c r="A293" s="23" t="s">
        <v>2683</v>
      </c>
      <c r="B293" s="24">
        <v>8492</v>
      </c>
      <c r="C293" s="23" t="s">
        <v>131</v>
      </c>
      <c r="D293" s="25" t="s">
        <v>44</v>
      </c>
      <c r="E293" s="25" t="s">
        <v>17</v>
      </c>
      <c r="F293" s="26">
        <v>12</v>
      </c>
      <c r="G293" s="26">
        <f t="shared" si="181"/>
        <v>147.084</v>
      </c>
      <c r="H293" s="26">
        <f t="shared" si="178"/>
        <v>186.52</v>
      </c>
      <c r="I293" s="26">
        <f t="shared" si="179"/>
        <v>2238.2399999999998</v>
      </c>
      <c r="J293" s="43">
        <f>'COMPOSIÇÃO DE CUSTOS'!G2066</f>
        <v>147.09</v>
      </c>
      <c r="K293" s="365">
        <v>173.04</v>
      </c>
      <c r="L293" s="362">
        <f t="shared" si="182"/>
        <v>1765.008</v>
      </c>
      <c r="M293" s="43"/>
      <c r="N293" s="42"/>
      <c r="AY293" s="552"/>
      <c r="AZ293" s="481"/>
      <c r="BA293" s="481"/>
      <c r="BB293" s="481"/>
      <c r="BC293" s="481"/>
      <c r="BD293" s="163">
        <f t="shared" si="185"/>
        <v>163.85</v>
      </c>
      <c r="BE293" s="163">
        <f t="shared" si="184"/>
        <v>207.78</v>
      </c>
      <c r="BF293" s="163">
        <f t="shared" si="180"/>
        <v>2493.36</v>
      </c>
    </row>
    <row r="294" spans="1:58" s="27" customFormat="1" ht="30">
      <c r="A294" s="23" t="s">
        <v>2684</v>
      </c>
      <c r="B294" s="24">
        <v>12122</v>
      </c>
      <c r="C294" s="23" t="s">
        <v>132</v>
      </c>
      <c r="D294" s="25" t="s">
        <v>44</v>
      </c>
      <c r="E294" s="25" t="s">
        <v>17</v>
      </c>
      <c r="F294" s="26">
        <v>6</v>
      </c>
      <c r="G294" s="26">
        <f t="shared" si="181"/>
        <v>140.45400000000001</v>
      </c>
      <c r="H294" s="26">
        <f t="shared" si="178"/>
        <v>178.11</v>
      </c>
      <c r="I294" s="26">
        <f t="shared" si="179"/>
        <v>1068.6600000000001</v>
      </c>
      <c r="J294" s="43">
        <f>'COMPOSIÇÃO DE CUSTOS'!G2072</f>
        <v>140.46</v>
      </c>
      <c r="K294" s="365">
        <v>165.24</v>
      </c>
      <c r="L294" s="362">
        <f t="shared" si="182"/>
        <v>842.72400000000005</v>
      </c>
      <c r="M294" s="43"/>
      <c r="N294" s="42"/>
      <c r="AY294" s="552"/>
      <c r="AZ294" s="481"/>
      <c r="BA294" s="481"/>
      <c r="BB294" s="481"/>
      <c r="BC294" s="481"/>
      <c r="BD294" s="163">
        <f t="shared" si="185"/>
        <v>156.47</v>
      </c>
      <c r="BE294" s="163">
        <f t="shared" si="184"/>
        <v>198.42</v>
      </c>
      <c r="BF294" s="163">
        <f t="shared" si="180"/>
        <v>1190.52</v>
      </c>
    </row>
    <row r="295" spans="1:58" ht="15" customHeight="1">
      <c r="A295" s="356" t="s">
        <v>869</v>
      </c>
      <c r="B295" s="356"/>
      <c r="C295" s="356" t="s">
        <v>133</v>
      </c>
      <c r="D295" s="357"/>
      <c r="E295" s="357"/>
      <c r="F295" s="357"/>
      <c r="G295" s="26"/>
      <c r="H295" s="357"/>
      <c r="I295" s="96"/>
      <c r="J295" s="35"/>
      <c r="K295" s="375"/>
      <c r="L295" s="362">
        <f t="shared" si="182"/>
        <v>0</v>
      </c>
      <c r="M295" s="35"/>
      <c r="N295" s="35"/>
      <c r="AY295" s="21"/>
      <c r="AZ295" s="481"/>
      <c r="BA295" s="481"/>
      <c r="BB295" s="481"/>
      <c r="BC295" s="481"/>
      <c r="BD295" s="163"/>
      <c r="BE295" s="163"/>
      <c r="BF295" s="163"/>
    </row>
    <row r="296" spans="1:58" s="28" customFormat="1" ht="45">
      <c r="A296" s="23" t="s">
        <v>870</v>
      </c>
      <c r="B296" s="24">
        <v>89985</v>
      </c>
      <c r="C296" s="23" t="s">
        <v>1605</v>
      </c>
      <c r="D296" s="25" t="s">
        <v>12</v>
      </c>
      <c r="E296" s="25" t="s">
        <v>17</v>
      </c>
      <c r="F296" s="26">
        <v>13</v>
      </c>
      <c r="G296" s="26">
        <f t="shared" si="181"/>
        <v>61.506</v>
      </c>
      <c r="H296" s="26">
        <f>ROUND(G296*(1+$J$14),2)</f>
        <v>78</v>
      </c>
      <c r="I296" s="26">
        <f>ROUND(H296*F296,2)</f>
        <v>1014</v>
      </c>
      <c r="J296" s="36" t="e">
        <f>IF(B296&lt;&gt;0,VLOOKUP(B296,#REF!,4,FALSE),"")</f>
        <v>#REF!</v>
      </c>
      <c r="K296" s="374" t="s">
        <v>3298</v>
      </c>
      <c r="L296" s="362">
        <f t="shared" si="182"/>
        <v>799.57799999999997</v>
      </c>
      <c r="M296" s="36"/>
      <c r="N296" s="37" t="e">
        <f>IF(B296&lt;&gt;0,VLOOKUP(B296,#REF!,2,FALSE),"")</f>
        <v>#REF!</v>
      </c>
      <c r="AY296" s="370"/>
      <c r="AZ296" s="481"/>
      <c r="BA296" s="481"/>
      <c r="BB296" s="481"/>
      <c r="BC296" s="481"/>
      <c r="BD296" s="163">
        <f t="shared" si="185"/>
        <v>68.52</v>
      </c>
      <c r="BE296" s="163">
        <f t="shared" si="184"/>
        <v>86.89</v>
      </c>
      <c r="BF296" s="163">
        <f>ROUND(BE296*F296,2)</f>
        <v>1129.57</v>
      </c>
    </row>
    <row r="297" spans="1:58" ht="15" customHeight="1">
      <c r="A297" s="356" t="s">
        <v>871</v>
      </c>
      <c r="B297" s="356"/>
      <c r="C297" s="356" t="s">
        <v>134</v>
      </c>
      <c r="D297" s="357"/>
      <c r="E297" s="357"/>
      <c r="F297" s="357"/>
      <c r="G297" s="26"/>
      <c r="H297" s="357"/>
      <c r="I297" s="96"/>
      <c r="J297" s="35"/>
      <c r="K297" s="375"/>
      <c r="L297" s="362">
        <f t="shared" si="182"/>
        <v>0</v>
      </c>
      <c r="M297" s="35"/>
      <c r="N297" s="35"/>
      <c r="AY297" s="21"/>
      <c r="AZ297" s="481"/>
      <c r="BA297" s="481"/>
      <c r="BB297" s="481"/>
      <c r="BC297" s="481"/>
      <c r="BD297" s="163"/>
      <c r="BE297" s="163"/>
      <c r="BF297" s="163"/>
    </row>
    <row r="298" spans="1:58" ht="45">
      <c r="A298" s="23" t="s">
        <v>872</v>
      </c>
      <c r="B298" s="24">
        <v>89353</v>
      </c>
      <c r="C298" s="23" t="s">
        <v>1606</v>
      </c>
      <c r="D298" s="25" t="s">
        <v>12</v>
      </c>
      <c r="E298" s="25" t="s">
        <v>17</v>
      </c>
      <c r="F298" s="26">
        <v>2</v>
      </c>
      <c r="G298" s="26">
        <f t="shared" si="181"/>
        <v>28.984999999999999</v>
      </c>
      <c r="H298" s="26">
        <f t="shared" ref="H298:H303" si="187">ROUND(G298*(1+$J$14),2)</f>
        <v>36.76</v>
      </c>
      <c r="I298" s="26">
        <f t="shared" ref="I298:I303" si="188">ROUND(H298*F298,2)</f>
        <v>73.52</v>
      </c>
      <c r="J298" s="36" t="e">
        <f>IF(B298&lt;&gt;0,VLOOKUP(B298,#REF!,4,FALSE),"")</f>
        <v>#REF!</v>
      </c>
      <c r="K298" s="374" t="s">
        <v>3288</v>
      </c>
      <c r="L298" s="362">
        <f t="shared" si="182"/>
        <v>57.97</v>
      </c>
      <c r="M298" s="36"/>
      <c r="N298" s="37" t="e">
        <f>IF(B298&lt;&gt;0,VLOOKUP(B298,#REF!,2,FALSE),"")</f>
        <v>#REF!</v>
      </c>
      <c r="AY298" s="21"/>
      <c r="AZ298" s="481"/>
      <c r="BA298" s="481"/>
      <c r="BB298" s="481"/>
      <c r="BC298" s="481"/>
      <c r="BD298" s="163">
        <f t="shared" si="185"/>
        <v>32.29</v>
      </c>
      <c r="BE298" s="163">
        <f t="shared" si="184"/>
        <v>40.950000000000003</v>
      </c>
      <c r="BF298" s="163">
        <f t="shared" ref="BF298:BF303" si="189">ROUND(BE298*F298,2)</f>
        <v>81.900000000000006</v>
      </c>
    </row>
    <row r="299" spans="1:58" ht="75">
      <c r="A299" s="23" t="s">
        <v>873</v>
      </c>
      <c r="B299" s="24">
        <v>94495</v>
      </c>
      <c r="C299" s="23" t="s">
        <v>1607</v>
      </c>
      <c r="D299" s="25" t="s">
        <v>12</v>
      </c>
      <c r="E299" s="25" t="s">
        <v>17</v>
      </c>
      <c r="F299" s="26">
        <v>13</v>
      </c>
      <c r="G299" s="26">
        <f t="shared" si="181"/>
        <v>57.638500000000001</v>
      </c>
      <c r="H299" s="26">
        <f t="shared" si="187"/>
        <v>73.09</v>
      </c>
      <c r="I299" s="26">
        <f t="shared" si="188"/>
        <v>950.17</v>
      </c>
      <c r="J299" s="36" t="e">
        <f>IF(B299&lt;&gt;0,VLOOKUP(B299,#REF!,4,FALSE),"")</f>
        <v>#REF!</v>
      </c>
      <c r="K299" s="374" t="s">
        <v>3300</v>
      </c>
      <c r="L299" s="362">
        <f t="shared" si="182"/>
        <v>749.30050000000006</v>
      </c>
      <c r="M299" s="36"/>
      <c r="N299" s="37" t="e">
        <f>IF(B299&lt;&gt;0,VLOOKUP(B299,#REF!,2,FALSE),"")</f>
        <v>#REF!</v>
      </c>
      <c r="AY299" s="21"/>
      <c r="AZ299" s="481"/>
      <c r="BA299" s="481"/>
      <c r="BB299" s="481"/>
      <c r="BC299" s="481"/>
      <c r="BD299" s="163">
        <f t="shared" si="185"/>
        <v>64.209999999999994</v>
      </c>
      <c r="BE299" s="163">
        <f t="shared" si="184"/>
        <v>81.42</v>
      </c>
      <c r="BF299" s="163">
        <f t="shared" si="189"/>
        <v>1058.46</v>
      </c>
    </row>
    <row r="300" spans="1:58" ht="90">
      <c r="A300" s="23" t="s">
        <v>874</v>
      </c>
      <c r="B300" s="24">
        <v>94793</v>
      </c>
      <c r="C300" s="23" t="s">
        <v>1608</v>
      </c>
      <c r="D300" s="25" t="s">
        <v>12</v>
      </c>
      <c r="E300" s="25" t="s">
        <v>17</v>
      </c>
      <c r="F300" s="26">
        <v>7</v>
      </c>
      <c r="G300" s="26">
        <f t="shared" si="181"/>
        <v>118.88100000000001</v>
      </c>
      <c r="H300" s="26">
        <f t="shared" si="187"/>
        <v>150.75</v>
      </c>
      <c r="I300" s="26">
        <f t="shared" si="188"/>
        <v>1055.25</v>
      </c>
      <c r="J300" s="36" t="e">
        <f>IF(B300&lt;&gt;0,VLOOKUP(B300,#REF!,4,FALSE),"")</f>
        <v>#REF!</v>
      </c>
      <c r="K300" s="374" t="s">
        <v>3303</v>
      </c>
      <c r="L300" s="362">
        <f t="shared" si="182"/>
        <v>832.16700000000014</v>
      </c>
      <c r="M300" s="36"/>
      <c r="N300" s="37" t="e">
        <f>IF(B300&lt;&gt;0,VLOOKUP(B300,#REF!,2,FALSE),"")</f>
        <v>#REF!</v>
      </c>
      <c r="AY300" s="21"/>
      <c r="AZ300" s="481"/>
      <c r="BA300" s="481"/>
      <c r="BB300" s="481"/>
      <c r="BC300" s="481"/>
      <c r="BD300" s="163">
        <f t="shared" si="185"/>
        <v>132.43</v>
      </c>
      <c r="BE300" s="163">
        <f t="shared" si="184"/>
        <v>167.93</v>
      </c>
      <c r="BF300" s="163">
        <f t="shared" si="189"/>
        <v>1175.51</v>
      </c>
    </row>
    <row r="301" spans="1:58" ht="75">
      <c r="A301" s="23" t="s">
        <v>875</v>
      </c>
      <c r="B301" s="24">
        <v>94497</v>
      </c>
      <c r="C301" s="23" t="s">
        <v>1609</v>
      </c>
      <c r="D301" s="25" t="s">
        <v>12</v>
      </c>
      <c r="E301" s="25" t="s">
        <v>17</v>
      </c>
      <c r="F301" s="26">
        <v>3</v>
      </c>
      <c r="G301" s="26">
        <f t="shared" si="181"/>
        <v>84.974500000000006</v>
      </c>
      <c r="H301" s="26">
        <f t="shared" si="187"/>
        <v>107.76</v>
      </c>
      <c r="I301" s="26">
        <f t="shared" si="188"/>
        <v>323.27999999999997</v>
      </c>
      <c r="J301" s="36" t="e">
        <f>IF(B301&lt;&gt;0,VLOOKUP(B301,#REF!,4,FALSE),"")</f>
        <v>#REF!</v>
      </c>
      <c r="K301" s="374" t="s">
        <v>3301</v>
      </c>
      <c r="L301" s="362">
        <f t="shared" si="182"/>
        <v>254.92350000000002</v>
      </c>
      <c r="M301" s="36"/>
      <c r="N301" s="37" t="e">
        <f>IF(B301&lt;&gt;0,VLOOKUP(B301,#REF!,2,FALSE),"")</f>
        <v>#REF!</v>
      </c>
      <c r="AY301" s="21"/>
      <c r="AZ301" s="481"/>
      <c r="BA301" s="481"/>
      <c r="BB301" s="481"/>
      <c r="BC301" s="481"/>
      <c r="BD301" s="163">
        <f t="shared" si="185"/>
        <v>94.66</v>
      </c>
      <c r="BE301" s="163">
        <f t="shared" si="184"/>
        <v>120.04</v>
      </c>
      <c r="BF301" s="163">
        <f t="shared" si="189"/>
        <v>360.12</v>
      </c>
    </row>
    <row r="302" spans="1:58" ht="45">
      <c r="A302" s="23" t="s">
        <v>876</v>
      </c>
      <c r="B302" s="24">
        <v>89987</v>
      </c>
      <c r="C302" s="23" t="s">
        <v>1610</v>
      </c>
      <c r="D302" s="25" t="s">
        <v>12</v>
      </c>
      <c r="E302" s="25" t="s">
        <v>17</v>
      </c>
      <c r="F302" s="26">
        <v>7</v>
      </c>
      <c r="G302" s="26">
        <f t="shared" si="181"/>
        <v>64.778499999999994</v>
      </c>
      <c r="H302" s="26">
        <f t="shared" si="187"/>
        <v>82.15</v>
      </c>
      <c r="I302" s="26">
        <f t="shared" si="188"/>
        <v>575.04999999999995</v>
      </c>
      <c r="J302" s="36" t="e">
        <f>IF(B302&lt;&gt;0,VLOOKUP(B302,#REF!,4,FALSE),"")</f>
        <v>#REF!</v>
      </c>
      <c r="K302" s="374" t="s">
        <v>3299</v>
      </c>
      <c r="L302" s="362">
        <f t="shared" si="182"/>
        <v>453.44949999999994</v>
      </c>
      <c r="M302" s="36"/>
      <c r="N302" s="37" t="e">
        <f>IF(B302&lt;&gt;0,VLOOKUP(B302,#REF!,2,FALSE),"")</f>
        <v>#REF!</v>
      </c>
      <c r="AY302" s="21"/>
      <c r="AZ302" s="481"/>
      <c r="BA302" s="481"/>
      <c r="BB302" s="481"/>
      <c r="BC302" s="481"/>
      <c r="BD302" s="163">
        <f t="shared" si="185"/>
        <v>72.16</v>
      </c>
      <c r="BE302" s="163">
        <f t="shared" si="184"/>
        <v>91.51</v>
      </c>
      <c r="BF302" s="163">
        <f t="shared" si="189"/>
        <v>640.57000000000005</v>
      </c>
    </row>
    <row r="303" spans="1:58" ht="90">
      <c r="A303" s="23" t="s">
        <v>877</v>
      </c>
      <c r="B303" s="24">
        <v>94792</v>
      </c>
      <c r="C303" s="23" t="s">
        <v>1611</v>
      </c>
      <c r="D303" s="25" t="s">
        <v>12</v>
      </c>
      <c r="E303" s="25" t="s">
        <v>17</v>
      </c>
      <c r="F303" s="26">
        <v>13</v>
      </c>
      <c r="G303" s="26">
        <f t="shared" si="181"/>
        <v>90.873499999999993</v>
      </c>
      <c r="H303" s="26">
        <f t="shared" si="187"/>
        <v>115.24</v>
      </c>
      <c r="I303" s="26">
        <f t="shared" si="188"/>
        <v>1498.12</v>
      </c>
      <c r="J303" s="36" t="e">
        <f>IF(B303&lt;&gt;0,VLOOKUP(B303,#REF!,4,FALSE),"")</f>
        <v>#REF!</v>
      </c>
      <c r="K303" s="374" t="s">
        <v>3213</v>
      </c>
      <c r="L303" s="362">
        <f t="shared" si="182"/>
        <v>1181.3554999999999</v>
      </c>
      <c r="M303" s="36"/>
      <c r="N303" s="37" t="e">
        <f>IF(B303&lt;&gt;0,VLOOKUP(B303,#REF!,2,FALSE),"")</f>
        <v>#REF!</v>
      </c>
      <c r="AY303" s="21"/>
      <c r="AZ303" s="481"/>
      <c r="BA303" s="481"/>
      <c r="BB303" s="481"/>
      <c r="BC303" s="481"/>
      <c r="BD303" s="163">
        <f t="shared" si="185"/>
        <v>101.23</v>
      </c>
      <c r="BE303" s="163">
        <f t="shared" si="184"/>
        <v>128.37</v>
      </c>
      <c r="BF303" s="163">
        <f t="shared" si="189"/>
        <v>1668.81</v>
      </c>
    </row>
    <row r="304" spans="1:58" s="28" customFormat="1" ht="15" customHeight="1">
      <c r="A304" s="356" t="s">
        <v>878</v>
      </c>
      <c r="B304" s="356"/>
      <c r="C304" s="356" t="s">
        <v>135</v>
      </c>
      <c r="D304" s="357"/>
      <c r="E304" s="357"/>
      <c r="F304" s="357"/>
      <c r="G304" s="26"/>
      <c r="H304" s="357"/>
      <c r="I304" s="96"/>
      <c r="J304" s="37"/>
      <c r="K304" s="374"/>
      <c r="L304" s="362">
        <f t="shared" si="182"/>
        <v>0</v>
      </c>
      <c r="M304" s="37"/>
      <c r="N304" s="37"/>
      <c r="AY304" s="370"/>
      <c r="AZ304" s="481"/>
      <c r="BA304" s="481"/>
      <c r="BB304" s="481"/>
      <c r="BC304" s="481"/>
      <c r="BD304" s="163"/>
      <c r="BE304" s="163"/>
      <c r="BF304" s="163"/>
    </row>
    <row r="305" spans="1:59" s="28" customFormat="1" ht="30">
      <c r="A305" s="23" t="s">
        <v>879</v>
      </c>
      <c r="B305" s="24">
        <v>102137</v>
      </c>
      <c r="C305" s="23" t="s">
        <v>136</v>
      </c>
      <c r="D305" s="25" t="s">
        <v>12</v>
      </c>
      <c r="E305" s="25" t="s">
        <v>17</v>
      </c>
      <c r="F305" s="26">
        <v>3</v>
      </c>
      <c r="G305" s="26">
        <f t="shared" si="181"/>
        <v>52.028500000000001</v>
      </c>
      <c r="H305" s="26">
        <f>ROUND(G305*(1+$J$14),2)</f>
        <v>65.98</v>
      </c>
      <c r="I305" s="26">
        <f>ROUND(H305*F305,2)</f>
        <v>197.94</v>
      </c>
      <c r="J305" s="36" t="e">
        <f>IF(B305&lt;&gt;0,VLOOKUP(B305,#REF!,4,FALSE),"")</f>
        <v>#REF!</v>
      </c>
      <c r="K305" s="374" t="s">
        <v>3291</v>
      </c>
      <c r="L305" s="362">
        <f t="shared" si="182"/>
        <v>156.0855</v>
      </c>
      <c r="M305" s="36"/>
      <c r="N305" s="37" t="e">
        <f>IF(B305&lt;&gt;0,VLOOKUP(B305,#REF!,2,FALSE),"")</f>
        <v>#REF!</v>
      </c>
      <c r="AY305" s="370"/>
      <c r="AZ305" s="481"/>
      <c r="BA305" s="481"/>
      <c r="BB305" s="481"/>
      <c r="BC305" s="481"/>
      <c r="BD305" s="163">
        <f t="shared" si="185"/>
        <v>57.96</v>
      </c>
      <c r="BE305" s="163">
        <f t="shared" si="184"/>
        <v>73.5</v>
      </c>
      <c r="BF305" s="163">
        <f>ROUND(BE305*F305,2)</f>
        <v>220.5</v>
      </c>
    </row>
    <row r="306" spans="1:59" s="28" customFormat="1" ht="45">
      <c r="A306" s="23" t="s">
        <v>880</v>
      </c>
      <c r="B306" s="24">
        <v>94797</v>
      </c>
      <c r="C306" s="23" t="s">
        <v>1612</v>
      </c>
      <c r="D306" s="25" t="s">
        <v>12</v>
      </c>
      <c r="E306" s="25" t="s">
        <v>17</v>
      </c>
      <c r="F306" s="26">
        <v>3</v>
      </c>
      <c r="G306" s="26">
        <f t="shared" si="181"/>
        <v>21.9895</v>
      </c>
      <c r="H306" s="26">
        <f>ROUND(G306*(1+$J$14),2)</f>
        <v>27.88</v>
      </c>
      <c r="I306" s="26">
        <f>ROUND(H306*F306,2)</f>
        <v>83.64</v>
      </c>
      <c r="J306" s="36" t="e">
        <f>IF(B306&lt;&gt;0,VLOOKUP(B306,#REF!,4,FALSE),"")</f>
        <v>#REF!</v>
      </c>
      <c r="K306" s="374" t="s">
        <v>3179</v>
      </c>
      <c r="L306" s="362">
        <f t="shared" si="182"/>
        <v>65.968500000000006</v>
      </c>
      <c r="M306" s="36"/>
      <c r="N306" s="37" t="e">
        <f>IF(B306&lt;&gt;0,VLOOKUP(B306,#REF!,2,FALSE),"")</f>
        <v>#REF!</v>
      </c>
      <c r="AY306" s="370"/>
      <c r="AZ306" s="481"/>
      <c r="BA306" s="481"/>
      <c r="BB306" s="481"/>
      <c r="BC306" s="481"/>
      <c r="BD306" s="163">
        <f t="shared" si="185"/>
        <v>24.5</v>
      </c>
      <c r="BE306" s="163">
        <f t="shared" si="184"/>
        <v>31.07</v>
      </c>
      <c r="BF306" s="163">
        <f>ROUND(BE306*F306,2)</f>
        <v>93.21</v>
      </c>
    </row>
    <row r="307" spans="1:59" s="45" customFormat="1" ht="40.5" customHeight="1">
      <c r="A307" s="23" t="s">
        <v>2477</v>
      </c>
      <c r="B307" s="24">
        <v>102116</v>
      </c>
      <c r="C307" s="23" t="s">
        <v>2478</v>
      </c>
      <c r="D307" s="25" t="s">
        <v>12</v>
      </c>
      <c r="E307" s="25" t="s">
        <v>17</v>
      </c>
      <c r="F307" s="26">
        <v>2</v>
      </c>
      <c r="G307" s="26">
        <f t="shared" si="181"/>
        <v>1221.9855</v>
      </c>
      <c r="H307" s="26">
        <f>ROUND(G307*(1+$J$14),2)</f>
        <v>1549.6</v>
      </c>
      <c r="I307" s="26">
        <f>ROUND(H307*F307,2)</f>
        <v>3099.2</v>
      </c>
      <c r="J307" s="49" t="e">
        <f>IF(B307&lt;&gt;0,VLOOKUP(B307,#REF!,4,FALSE),"")</f>
        <v>#REF!</v>
      </c>
      <c r="K307" s="364" t="s">
        <v>3306</v>
      </c>
      <c r="L307" s="362">
        <f t="shared" si="182"/>
        <v>2443.971</v>
      </c>
      <c r="M307" s="49"/>
      <c r="N307" s="46" t="e">
        <f>IF(B307&lt;&gt;0,VLOOKUP(B307,#REF!,2,FALSE),"")</f>
        <v>#REF!</v>
      </c>
      <c r="AY307" s="56"/>
      <c r="AZ307" s="481"/>
      <c r="BA307" s="481"/>
      <c r="BB307" s="481"/>
      <c r="BC307" s="481"/>
      <c r="BD307" s="163">
        <f t="shared" si="185"/>
        <v>1361.3</v>
      </c>
      <c r="BE307" s="163">
        <f t="shared" si="184"/>
        <v>1726.26</v>
      </c>
      <c r="BF307" s="163">
        <f>ROUND(BE307*F307,2)</f>
        <v>3452.52</v>
      </c>
    </row>
    <row r="308" spans="1:59" s="45" customFormat="1" ht="40.5" customHeight="1">
      <c r="A308" s="23" t="s">
        <v>2626</v>
      </c>
      <c r="B308" s="24">
        <v>6801</v>
      </c>
      <c r="C308" s="23" t="s">
        <v>2627</v>
      </c>
      <c r="D308" s="25" t="s">
        <v>44</v>
      </c>
      <c r="E308" s="25" t="s">
        <v>17</v>
      </c>
      <c r="F308" s="26">
        <v>1</v>
      </c>
      <c r="G308" s="26">
        <f t="shared" si="181"/>
        <v>2888.9460000000004</v>
      </c>
      <c r="H308" s="26">
        <f>ROUND(G308*(1+$J$14),2)</f>
        <v>3663.47</v>
      </c>
      <c r="I308" s="26">
        <f t="shared" ref="I308" si="190">ROUND(H308*F308,2)</f>
        <v>3663.47</v>
      </c>
      <c r="J308" s="49">
        <f>'COMPOSIÇÃO DE CUSTOS'!G2306</f>
        <v>2888.94</v>
      </c>
      <c r="K308" s="364">
        <v>3398.76</v>
      </c>
      <c r="L308" s="362">
        <f t="shared" si="182"/>
        <v>2888.9460000000004</v>
      </c>
      <c r="M308" s="49"/>
      <c r="N308" s="46"/>
      <c r="AY308" s="56"/>
      <c r="AZ308" s="481"/>
      <c r="BA308" s="481"/>
      <c r="BB308" s="481"/>
      <c r="BC308" s="481"/>
      <c r="BD308" s="163">
        <f t="shared" si="185"/>
        <v>3218.31</v>
      </c>
      <c r="BE308" s="163">
        <f t="shared" si="184"/>
        <v>4081.14</v>
      </c>
      <c r="BF308" s="163">
        <f>ROUND(BE308*F308,2)</f>
        <v>4081.14</v>
      </c>
    </row>
    <row r="309" spans="1:59" s="28" customFormat="1" ht="15" customHeight="1">
      <c r="A309" s="356" t="s">
        <v>881</v>
      </c>
      <c r="B309" s="356"/>
      <c r="C309" s="356" t="s">
        <v>139</v>
      </c>
      <c r="D309" s="357"/>
      <c r="E309" s="357"/>
      <c r="F309" s="357"/>
      <c r="G309" s="26"/>
      <c r="H309" s="357"/>
      <c r="I309" s="96"/>
      <c r="J309" s="37"/>
      <c r="K309" s="374"/>
      <c r="L309" s="362">
        <f t="shared" si="182"/>
        <v>0</v>
      </c>
      <c r="M309" s="37"/>
      <c r="N309" s="37"/>
      <c r="AY309" s="370"/>
      <c r="AZ309" s="481"/>
      <c r="BA309" s="481"/>
      <c r="BB309" s="481"/>
      <c r="BC309" s="481"/>
      <c r="BD309" s="163"/>
      <c r="BE309" s="163"/>
      <c r="BF309" s="163"/>
    </row>
    <row r="310" spans="1:59" s="28" customFormat="1" ht="15" customHeight="1">
      <c r="A310" s="356" t="s">
        <v>882</v>
      </c>
      <c r="B310" s="356"/>
      <c r="C310" s="356" t="s">
        <v>140</v>
      </c>
      <c r="D310" s="357"/>
      <c r="E310" s="357"/>
      <c r="F310" s="357"/>
      <c r="G310" s="26"/>
      <c r="H310" s="357"/>
      <c r="I310" s="96"/>
      <c r="J310" s="37"/>
      <c r="K310" s="374"/>
      <c r="L310" s="362">
        <f t="shared" si="182"/>
        <v>0</v>
      </c>
      <c r="M310" s="37"/>
      <c r="N310" s="37"/>
      <c r="AY310" s="370"/>
      <c r="AZ310" s="481"/>
      <c r="BA310" s="481"/>
      <c r="BB310" s="481"/>
      <c r="BC310" s="481"/>
      <c r="BD310" s="163"/>
      <c r="BE310" s="163"/>
      <c r="BF310" s="163"/>
    </row>
    <row r="311" spans="1:59" ht="75">
      <c r="A311" s="23" t="s">
        <v>883</v>
      </c>
      <c r="B311" s="24">
        <v>91791</v>
      </c>
      <c r="C311" s="23" t="s">
        <v>1613</v>
      </c>
      <c r="D311" s="25" t="s">
        <v>12</v>
      </c>
      <c r="E311" s="25" t="s">
        <v>52</v>
      </c>
      <c r="F311" s="26">
        <v>40</v>
      </c>
      <c r="G311" s="26">
        <f t="shared" si="181"/>
        <v>67.184000000000012</v>
      </c>
      <c r="H311" s="26">
        <f t="shared" ref="H311:H330" si="191">ROUND(G311*(1+$J$14),2)</f>
        <v>85.2</v>
      </c>
      <c r="I311" s="26">
        <f t="shared" ref="I311:I330" si="192">ROUND(H311*F311,2)</f>
        <v>3408</v>
      </c>
      <c r="J311" s="36" t="e">
        <f>IF(B311&lt;&gt;0,VLOOKUP(B311,#REF!,4,FALSE),"")</f>
        <v>#REF!</v>
      </c>
      <c r="K311" s="374" t="s">
        <v>3277</v>
      </c>
      <c r="L311" s="362">
        <f t="shared" si="182"/>
        <v>2687.3600000000006</v>
      </c>
      <c r="M311" s="36"/>
      <c r="N311" s="37" t="e">
        <f>IF(B311&lt;&gt;0,VLOOKUP(B311,#REF!,2,FALSE),"")</f>
        <v>#REF!</v>
      </c>
      <c r="AY311" s="21"/>
      <c r="AZ311" s="481"/>
      <c r="BA311" s="481"/>
      <c r="BB311" s="481"/>
      <c r="BC311" s="481"/>
      <c r="BD311" s="163">
        <f t="shared" si="185"/>
        <v>74.84</v>
      </c>
      <c r="BE311" s="163">
        <f t="shared" si="184"/>
        <v>94.9</v>
      </c>
      <c r="BF311" s="163">
        <f t="shared" ref="BF311:BF330" si="193">ROUND(BE311*F311,2)</f>
        <v>3796</v>
      </c>
    </row>
    <row r="312" spans="1:59" ht="45">
      <c r="A312" s="23" t="s">
        <v>884</v>
      </c>
      <c r="B312" s="24">
        <v>89578</v>
      </c>
      <c r="C312" s="23" t="s">
        <v>1614</v>
      </c>
      <c r="D312" s="25" t="s">
        <v>12</v>
      </c>
      <c r="E312" s="25" t="s">
        <v>52</v>
      </c>
      <c r="F312" s="26">
        <v>41</v>
      </c>
      <c r="G312" s="26">
        <f t="shared" si="181"/>
        <v>31.866500000000002</v>
      </c>
      <c r="H312" s="26">
        <f t="shared" si="191"/>
        <v>40.409999999999997</v>
      </c>
      <c r="I312" s="26">
        <f t="shared" si="192"/>
        <v>1656.81</v>
      </c>
      <c r="J312" s="36" t="e">
        <f>IF(B312&lt;&gt;0,VLOOKUP(B312,#REF!,4,FALSE),"")</f>
        <v>#REF!</v>
      </c>
      <c r="K312" s="374" t="s">
        <v>3100</v>
      </c>
      <c r="L312" s="362">
        <f t="shared" si="182"/>
        <v>1306.5265000000002</v>
      </c>
      <c r="M312" s="36"/>
      <c r="N312" s="37" t="e">
        <f>IF(B312&lt;&gt;0,VLOOKUP(B312,#REF!,2,FALSE),"")</f>
        <v>#REF!</v>
      </c>
      <c r="AY312" s="21"/>
      <c r="AZ312" s="481"/>
      <c r="BA312" s="481"/>
      <c r="BB312" s="481"/>
      <c r="BC312" s="481"/>
      <c r="BD312" s="163">
        <f t="shared" si="185"/>
        <v>35.5</v>
      </c>
      <c r="BE312" s="163">
        <f t="shared" si="184"/>
        <v>45.02</v>
      </c>
      <c r="BF312" s="163">
        <f t="shared" si="193"/>
        <v>1845.82</v>
      </c>
    </row>
    <row r="313" spans="1:59" ht="45">
      <c r="A313" s="23" t="s">
        <v>885</v>
      </c>
      <c r="B313" s="24">
        <v>89576</v>
      </c>
      <c r="C313" s="23" t="s">
        <v>1615</v>
      </c>
      <c r="D313" s="25" t="s">
        <v>12</v>
      </c>
      <c r="E313" s="25" t="s">
        <v>52</v>
      </c>
      <c r="F313" s="26">
        <v>50</v>
      </c>
      <c r="G313" s="26">
        <f t="shared" si="181"/>
        <v>18.436500000000002</v>
      </c>
      <c r="H313" s="26">
        <f t="shared" si="191"/>
        <v>23.38</v>
      </c>
      <c r="I313" s="26">
        <f t="shared" si="192"/>
        <v>1169</v>
      </c>
      <c r="J313" s="36" t="e">
        <f>IF(B313&lt;&gt;0,VLOOKUP(B313,#REF!,4,FALSE),"")</f>
        <v>#REF!</v>
      </c>
      <c r="K313" s="374" t="s">
        <v>3272</v>
      </c>
      <c r="L313" s="362">
        <f t="shared" si="182"/>
        <v>921.82500000000016</v>
      </c>
      <c r="M313" s="36"/>
      <c r="N313" s="37" t="e">
        <f>IF(B313&lt;&gt;0,VLOOKUP(B313,#REF!,2,FALSE),"")</f>
        <v>#REF!</v>
      </c>
      <c r="AY313" s="21"/>
      <c r="AZ313" s="481"/>
      <c r="BA313" s="481"/>
      <c r="BB313" s="481"/>
      <c r="BC313" s="481"/>
      <c r="BD313" s="163">
        <f t="shared" si="185"/>
        <v>20.54</v>
      </c>
      <c r="BE313" s="163">
        <f t="shared" si="184"/>
        <v>26.05</v>
      </c>
      <c r="BF313" s="163">
        <f t="shared" si="193"/>
        <v>1302.5</v>
      </c>
    </row>
    <row r="314" spans="1:59" s="45" customFormat="1" ht="45">
      <c r="A314" s="23" t="s">
        <v>886</v>
      </c>
      <c r="B314" s="24">
        <v>10050</v>
      </c>
      <c r="C314" s="23" t="s">
        <v>2479</v>
      </c>
      <c r="D314" s="25" t="s">
        <v>44</v>
      </c>
      <c r="E314" s="25" t="s">
        <v>52</v>
      </c>
      <c r="F314" s="26">
        <v>34</v>
      </c>
      <c r="G314" s="26">
        <f t="shared" si="181"/>
        <v>754.851</v>
      </c>
      <c r="H314" s="26">
        <f t="shared" si="191"/>
        <v>957.23</v>
      </c>
      <c r="I314" s="26">
        <f t="shared" si="192"/>
        <v>32545.82</v>
      </c>
      <c r="J314" s="49">
        <f>'COMPOSIÇÃO DE CUSTOS'!G638</f>
        <v>754.85</v>
      </c>
      <c r="K314" s="364">
        <v>888.06</v>
      </c>
      <c r="L314" s="362">
        <f t="shared" si="182"/>
        <v>25664.934000000001</v>
      </c>
      <c r="M314" s="49"/>
      <c r="N314" s="46"/>
      <c r="AY314" s="56"/>
      <c r="AZ314" s="481"/>
      <c r="BA314" s="481"/>
      <c r="BB314" s="481"/>
      <c r="BC314" s="481"/>
      <c r="BD314" s="163">
        <f t="shared" si="185"/>
        <v>840.91</v>
      </c>
      <c r="BE314" s="163">
        <f t="shared" si="184"/>
        <v>1066.3599999999999</v>
      </c>
      <c r="BF314" s="163">
        <f t="shared" si="193"/>
        <v>36256.239999999998</v>
      </c>
    </row>
    <row r="315" spans="1:59" s="28" customFormat="1" ht="45">
      <c r="A315" s="23" t="s">
        <v>887</v>
      </c>
      <c r="B315" s="24">
        <v>10049</v>
      </c>
      <c r="C315" s="23" t="s">
        <v>1772</v>
      </c>
      <c r="D315" s="25" t="s">
        <v>44</v>
      </c>
      <c r="E315" s="25" t="s">
        <v>52</v>
      </c>
      <c r="F315" s="26">
        <v>26</v>
      </c>
      <c r="G315" s="26">
        <f t="shared" si="181"/>
        <v>495.94950000000006</v>
      </c>
      <c r="H315" s="26">
        <f t="shared" si="191"/>
        <v>628.91</v>
      </c>
      <c r="I315" s="26">
        <f t="shared" si="192"/>
        <v>16351.66</v>
      </c>
      <c r="J315" s="36">
        <f>'COMPOSIÇÃO DE CUSTOS'!G646</f>
        <v>495.96</v>
      </c>
      <c r="K315" s="374">
        <v>583.47</v>
      </c>
      <c r="L315" s="362">
        <f t="shared" si="182"/>
        <v>12894.687000000002</v>
      </c>
      <c r="M315" s="36"/>
      <c r="N315" s="37"/>
      <c r="AY315" s="370"/>
      <c r="AZ315" s="481"/>
      <c r="BA315" s="481"/>
      <c r="BB315" s="481"/>
      <c r="BC315" s="481"/>
      <c r="BD315" s="163">
        <f t="shared" si="185"/>
        <v>552.49</v>
      </c>
      <c r="BE315" s="163">
        <f t="shared" si="184"/>
        <v>700.61</v>
      </c>
      <c r="BF315" s="163">
        <f t="shared" si="193"/>
        <v>18215.86</v>
      </c>
    </row>
    <row r="316" spans="1:59" s="34" customFormat="1" ht="45">
      <c r="A316" s="471" t="s">
        <v>888</v>
      </c>
      <c r="B316" s="475">
        <v>10052</v>
      </c>
      <c r="C316" s="471" t="s">
        <v>2114</v>
      </c>
      <c r="D316" s="472" t="s">
        <v>44</v>
      </c>
      <c r="E316" s="472" t="s">
        <v>52</v>
      </c>
      <c r="F316" s="473">
        <v>18</v>
      </c>
      <c r="G316" s="473">
        <f t="shared" si="181"/>
        <v>1293.1644999999999</v>
      </c>
      <c r="H316" s="473">
        <f t="shared" si="191"/>
        <v>1639.86</v>
      </c>
      <c r="I316" s="473">
        <f t="shared" si="192"/>
        <v>29517.48</v>
      </c>
      <c r="J316" s="474">
        <f>'COMPOSIÇÃO DE CUSTOS'!G655</f>
        <v>1293.17</v>
      </c>
      <c r="K316" s="378">
        <v>1521.37</v>
      </c>
      <c r="L316" s="378">
        <f t="shared" si="182"/>
        <v>23276.960999999996</v>
      </c>
      <c r="M316" s="474"/>
      <c r="N316" s="47"/>
      <c r="AY316" s="577"/>
      <c r="AZ316" s="502"/>
      <c r="BA316" s="502"/>
      <c r="BB316" s="502"/>
      <c r="BC316" s="502"/>
      <c r="BD316" s="523">
        <f>BG316</f>
        <v>972.69</v>
      </c>
      <c r="BE316" s="523">
        <f>ROUND(BD316*(1+$J$14),2)</f>
        <v>1233.47</v>
      </c>
      <c r="BF316" s="523">
        <f t="shared" si="193"/>
        <v>22202.46</v>
      </c>
      <c r="BG316" s="34">
        <f>'COMPOSIÇÃO AB'!G509</f>
        <v>972.69</v>
      </c>
    </row>
    <row r="317" spans="1:59" ht="60">
      <c r="A317" s="23" t="s">
        <v>889</v>
      </c>
      <c r="B317" s="24">
        <v>89590</v>
      </c>
      <c r="C317" s="23" t="s">
        <v>1616</v>
      </c>
      <c r="D317" s="25" t="s">
        <v>12</v>
      </c>
      <c r="E317" s="25" t="s">
        <v>17</v>
      </c>
      <c r="F317" s="26">
        <v>4</v>
      </c>
      <c r="G317" s="26">
        <f t="shared" si="181"/>
        <v>96.160499999999999</v>
      </c>
      <c r="H317" s="26">
        <f t="shared" si="191"/>
        <v>121.94</v>
      </c>
      <c r="I317" s="26">
        <f t="shared" si="192"/>
        <v>487.76</v>
      </c>
      <c r="J317" s="36" t="e">
        <f>IF(B317&lt;&gt;0,VLOOKUP(B317,#REF!,4,FALSE),"")</f>
        <v>#REF!</v>
      </c>
      <c r="K317" s="374" t="s">
        <v>3285</v>
      </c>
      <c r="L317" s="362">
        <f t="shared" si="182"/>
        <v>384.642</v>
      </c>
      <c r="M317" s="36"/>
      <c r="N317" s="37" t="e">
        <f>IF(B317&lt;&gt;0,VLOOKUP(B317,#REF!,2,FALSE),"")</f>
        <v>#REF!</v>
      </c>
      <c r="AY317" s="21"/>
      <c r="AZ317" s="481"/>
      <c r="BA317" s="481"/>
      <c r="BB317" s="481"/>
      <c r="BC317" s="481"/>
      <c r="BD317" s="163">
        <f t="shared" ref="BD317" si="194">ROUND(G317*$BH$19,2)</f>
        <v>107.12</v>
      </c>
      <c r="BE317" s="163">
        <f t="shared" si="184"/>
        <v>135.84</v>
      </c>
      <c r="BF317" s="163">
        <f t="shared" si="193"/>
        <v>543.36</v>
      </c>
    </row>
    <row r="318" spans="1:59" ht="60">
      <c r="A318" s="23" t="s">
        <v>890</v>
      </c>
      <c r="B318" s="24">
        <v>89591</v>
      </c>
      <c r="C318" s="23" t="s">
        <v>1617</v>
      </c>
      <c r="D318" s="25" t="s">
        <v>12</v>
      </c>
      <c r="E318" s="25" t="s">
        <v>17</v>
      </c>
      <c r="F318" s="26">
        <v>6</v>
      </c>
      <c r="G318" s="26">
        <f t="shared" si="181"/>
        <v>78.727000000000004</v>
      </c>
      <c r="H318" s="26">
        <f t="shared" si="191"/>
        <v>99.83</v>
      </c>
      <c r="I318" s="26">
        <f t="shared" si="192"/>
        <v>598.98</v>
      </c>
      <c r="J318" s="36" t="e">
        <f>IF(B318&lt;&gt;0,VLOOKUP(B318,#REF!,4,FALSE),"")</f>
        <v>#REF!</v>
      </c>
      <c r="K318" s="374" t="s">
        <v>3189</v>
      </c>
      <c r="L318" s="362">
        <f t="shared" si="182"/>
        <v>472.36200000000002</v>
      </c>
      <c r="M318" s="36"/>
      <c r="N318" s="37" t="e">
        <f>IF(B318&lt;&gt;0,VLOOKUP(B318,#REF!,2,FALSE),"")</f>
        <v>#REF!</v>
      </c>
      <c r="AY318" s="21"/>
      <c r="AZ318" s="481"/>
      <c r="BA318" s="481"/>
      <c r="BB318" s="481"/>
      <c r="BC318" s="481"/>
      <c r="BD318" s="163">
        <f t="shared" ref="BD318:BD381" si="195">ROUND(G318*$BH$19,2)</f>
        <v>87.7</v>
      </c>
      <c r="BE318" s="163">
        <f t="shared" si="184"/>
        <v>111.21</v>
      </c>
      <c r="BF318" s="163">
        <f t="shared" si="193"/>
        <v>667.26</v>
      </c>
    </row>
    <row r="319" spans="1:59" ht="60">
      <c r="A319" s="23" t="s">
        <v>891</v>
      </c>
      <c r="B319" s="24">
        <v>89584</v>
      </c>
      <c r="C319" s="23" t="s">
        <v>1618</v>
      </c>
      <c r="D319" s="25" t="s">
        <v>12</v>
      </c>
      <c r="E319" s="25" t="s">
        <v>17</v>
      </c>
      <c r="F319" s="26">
        <v>6</v>
      </c>
      <c r="G319" s="26">
        <f t="shared" si="181"/>
        <v>29.954000000000001</v>
      </c>
      <c r="H319" s="26">
        <f t="shared" si="191"/>
        <v>37.979999999999997</v>
      </c>
      <c r="I319" s="26">
        <f t="shared" si="192"/>
        <v>227.88</v>
      </c>
      <c r="J319" s="36" t="e">
        <f>IF(B319&lt;&gt;0,VLOOKUP(B319,#REF!,4,FALSE),"")</f>
        <v>#REF!</v>
      </c>
      <c r="K319" s="374" t="s">
        <v>3129</v>
      </c>
      <c r="L319" s="362">
        <f t="shared" si="182"/>
        <v>179.72399999999999</v>
      </c>
      <c r="M319" s="36"/>
      <c r="N319" s="37" t="e">
        <f>IF(B319&lt;&gt;0,VLOOKUP(B319,#REF!,2,FALSE),"")</f>
        <v>#REF!</v>
      </c>
      <c r="AY319" s="21"/>
      <c r="AZ319" s="481"/>
      <c r="BA319" s="481"/>
      <c r="BB319" s="481"/>
      <c r="BC319" s="481"/>
      <c r="BD319" s="163">
        <f t="shared" si="195"/>
        <v>33.369999999999997</v>
      </c>
      <c r="BE319" s="163">
        <f t="shared" si="184"/>
        <v>42.32</v>
      </c>
      <c r="BF319" s="163">
        <f t="shared" si="193"/>
        <v>253.92</v>
      </c>
    </row>
    <row r="320" spans="1:59" ht="60">
      <c r="A320" s="23" t="s">
        <v>892</v>
      </c>
      <c r="B320" s="24">
        <v>89585</v>
      </c>
      <c r="C320" s="23" t="s">
        <v>1619</v>
      </c>
      <c r="D320" s="25" t="s">
        <v>12</v>
      </c>
      <c r="E320" s="25" t="s">
        <v>17</v>
      </c>
      <c r="F320" s="26">
        <v>4</v>
      </c>
      <c r="G320" s="26">
        <f t="shared" si="181"/>
        <v>23.885000000000002</v>
      </c>
      <c r="H320" s="26">
        <f t="shared" si="191"/>
        <v>30.29</v>
      </c>
      <c r="I320" s="26">
        <f t="shared" si="192"/>
        <v>121.16</v>
      </c>
      <c r="J320" s="36" t="e">
        <f>IF(B320&lt;&gt;0,VLOOKUP(B320,#REF!,4,FALSE),"")</f>
        <v>#REF!</v>
      </c>
      <c r="K320" s="374" t="s">
        <v>3284</v>
      </c>
      <c r="L320" s="362">
        <f t="shared" si="182"/>
        <v>95.54</v>
      </c>
      <c r="M320" s="36"/>
      <c r="N320" s="37" t="e">
        <f>IF(B320&lt;&gt;0,VLOOKUP(B320,#REF!,2,FALSE),"")</f>
        <v>#REF!</v>
      </c>
      <c r="AY320" s="21"/>
      <c r="AZ320" s="481"/>
      <c r="BA320" s="481"/>
      <c r="BB320" s="481"/>
      <c r="BC320" s="481"/>
      <c r="BD320" s="163">
        <f t="shared" si="195"/>
        <v>26.61</v>
      </c>
      <c r="BE320" s="163">
        <f t="shared" si="184"/>
        <v>33.74</v>
      </c>
      <c r="BF320" s="163">
        <f t="shared" si="193"/>
        <v>134.96</v>
      </c>
    </row>
    <row r="321" spans="1:58" ht="45">
      <c r="A321" s="23" t="s">
        <v>893</v>
      </c>
      <c r="B321" s="24">
        <v>89492</v>
      </c>
      <c r="C321" s="23" t="s">
        <v>1620</v>
      </c>
      <c r="D321" s="25" t="s">
        <v>12</v>
      </c>
      <c r="E321" s="25" t="s">
        <v>17</v>
      </c>
      <c r="F321" s="26">
        <v>4</v>
      </c>
      <c r="G321" s="26">
        <f t="shared" si="181"/>
        <v>4.9809999999999999</v>
      </c>
      <c r="H321" s="26">
        <f t="shared" si="191"/>
        <v>6.32</v>
      </c>
      <c r="I321" s="26">
        <f t="shared" si="192"/>
        <v>25.28</v>
      </c>
      <c r="J321" s="36" t="e">
        <f>IF(B321&lt;&gt;0,VLOOKUP(B321,#REF!,4,FALSE),"")</f>
        <v>#REF!</v>
      </c>
      <c r="K321" s="374" t="s">
        <v>3122</v>
      </c>
      <c r="L321" s="362">
        <f t="shared" si="182"/>
        <v>19.923999999999999</v>
      </c>
      <c r="M321" s="36"/>
      <c r="N321" s="37" t="e">
        <f>IF(B321&lt;&gt;0,VLOOKUP(B321,#REF!,2,FALSE),"")</f>
        <v>#REF!</v>
      </c>
      <c r="AY321" s="21"/>
      <c r="AZ321" s="481"/>
      <c r="BA321" s="481"/>
      <c r="BB321" s="481"/>
      <c r="BC321" s="481"/>
      <c r="BD321" s="163">
        <f t="shared" si="195"/>
        <v>5.55</v>
      </c>
      <c r="BE321" s="163">
        <f t="shared" si="184"/>
        <v>7.04</v>
      </c>
      <c r="BF321" s="163">
        <f t="shared" si="193"/>
        <v>28.16</v>
      </c>
    </row>
    <row r="322" spans="1:58" ht="45">
      <c r="A322" s="23" t="s">
        <v>894</v>
      </c>
      <c r="B322" s="24">
        <v>89513</v>
      </c>
      <c r="C322" s="23" t="s">
        <v>1591</v>
      </c>
      <c r="D322" s="25" t="s">
        <v>12</v>
      </c>
      <c r="E322" s="25" t="s">
        <v>17</v>
      </c>
      <c r="F322" s="26">
        <v>4</v>
      </c>
      <c r="G322" s="26">
        <f t="shared" si="181"/>
        <v>93.848500000000001</v>
      </c>
      <c r="H322" s="26">
        <f t="shared" si="191"/>
        <v>119.01</v>
      </c>
      <c r="I322" s="26">
        <f t="shared" si="192"/>
        <v>476.04</v>
      </c>
      <c r="J322" s="36" t="e">
        <f>IF(B322&lt;&gt;0,VLOOKUP(B322,#REF!,4,FALSE),"")</f>
        <v>#REF!</v>
      </c>
      <c r="K322" s="374" t="s">
        <v>3283</v>
      </c>
      <c r="L322" s="362">
        <f t="shared" si="182"/>
        <v>375.39400000000001</v>
      </c>
      <c r="M322" s="36"/>
      <c r="N322" s="37" t="e">
        <f>IF(B322&lt;&gt;0,VLOOKUP(B322,#REF!,2,FALSE),"")</f>
        <v>#REF!</v>
      </c>
      <c r="AY322" s="21"/>
      <c r="AZ322" s="481"/>
      <c r="BA322" s="481"/>
      <c r="BB322" s="481"/>
      <c r="BC322" s="481"/>
      <c r="BD322" s="163">
        <f t="shared" si="195"/>
        <v>104.55</v>
      </c>
      <c r="BE322" s="163">
        <f t="shared" si="184"/>
        <v>132.58000000000001</v>
      </c>
      <c r="BF322" s="163">
        <f t="shared" si="193"/>
        <v>530.32000000000005</v>
      </c>
    </row>
    <row r="323" spans="1:58" ht="45">
      <c r="A323" s="23" t="s">
        <v>895</v>
      </c>
      <c r="B323" s="24">
        <v>89516</v>
      </c>
      <c r="C323" s="23" t="s">
        <v>1621</v>
      </c>
      <c r="D323" s="25" t="s">
        <v>12</v>
      </c>
      <c r="E323" s="25" t="s">
        <v>17</v>
      </c>
      <c r="F323" s="26">
        <v>3</v>
      </c>
      <c r="G323" s="26">
        <f t="shared" si="181"/>
        <v>6.0605000000000002</v>
      </c>
      <c r="H323" s="26">
        <f t="shared" si="191"/>
        <v>7.69</v>
      </c>
      <c r="I323" s="26">
        <f t="shared" si="192"/>
        <v>23.07</v>
      </c>
      <c r="J323" s="36" t="e">
        <f>IF(B323&lt;&gt;0,VLOOKUP(B323,#REF!,4,FALSE),"")</f>
        <v>#REF!</v>
      </c>
      <c r="K323" s="374" t="s">
        <v>1869</v>
      </c>
      <c r="L323" s="362">
        <f t="shared" si="182"/>
        <v>18.1815</v>
      </c>
      <c r="M323" s="36"/>
      <c r="N323" s="37" t="e">
        <f>IF(B323&lt;&gt;0,VLOOKUP(B323,#REF!,2,FALSE),"")</f>
        <v>#REF!</v>
      </c>
      <c r="AY323" s="21"/>
      <c r="AZ323" s="481"/>
      <c r="BA323" s="481"/>
      <c r="BB323" s="481"/>
      <c r="BC323" s="481"/>
      <c r="BD323" s="163">
        <f t="shared" si="195"/>
        <v>6.75</v>
      </c>
      <c r="BE323" s="163">
        <f t="shared" si="184"/>
        <v>8.56</v>
      </c>
      <c r="BF323" s="163">
        <f t="shared" si="193"/>
        <v>25.68</v>
      </c>
    </row>
    <row r="324" spans="1:58" ht="60">
      <c r="A324" s="23" t="s">
        <v>896</v>
      </c>
      <c r="B324" s="24">
        <v>89582</v>
      </c>
      <c r="C324" s="23" t="s">
        <v>1622</v>
      </c>
      <c r="D324" s="25" t="s">
        <v>12</v>
      </c>
      <c r="E324" s="25" t="s">
        <v>17</v>
      </c>
      <c r="F324" s="26">
        <v>3</v>
      </c>
      <c r="G324" s="26">
        <f t="shared" si="181"/>
        <v>17.34</v>
      </c>
      <c r="H324" s="26">
        <f t="shared" si="191"/>
        <v>21.99</v>
      </c>
      <c r="I324" s="26">
        <f t="shared" si="192"/>
        <v>65.97</v>
      </c>
      <c r="J324" s="36" t="e">
        <f>IF(B324&lt;&gt;0,VLOOKUP(B324,#REF!,4,FALSE),"")</f>
        <v>#REF!</v>
      </c>
      <c r="K324" s="374" t="s">
        <v>3227</v>
      </c>
      <c r="L324" s="362">
        <f t="shared" si="182"/>
        <v>52.019999999999996</v>
      </c>
      <c r="M324" s="36"/>
      <c r="N324" s="37" t="e">
        <f>IF(B324&lt;&gt;0,VLOOKUP(B324,#REF!,2,FALSE),"")</f>
        <v>#REF!</v>
      </c>
      <c r="AY324" s="21"/>
      <c r="AZ324" s="481"/>
      <c r="BA324" s="481"/>
      <c r="BB324" s="481"/>
      <c r="BC324" s="481"/>
      <c r="BD324" s="163">
        <f t="shared" si="195"/>
        <v>19.32</v>
      </c>
      <c r="BE324" s="163">
        <f t="shared" si="184"/>
        <v>24.5</v>
      </c>
      <c r="BF324" s="163">
        <f t="shared" si="193"/>
        <v>73.5</v>
      </c>
    </row>
    <row r="325" spans="1:58" ht="45">
      <c r="A325" s="23" t="s">
        <v>897</v>
      </c>
      <c r="B325" s="24">
        <v>89368</v>
      </c>
      <c r="C325" s="23" t="s">
        <v>1623</v>
      </c>
      <c r="D325" s="25" t="s">
        <v>12</v>
      </c>
      <c r="E325" s="25" t="s">
        <v>17</v>
      </c>
      <c r="F325" s="26">
        <v>6</v>
      </c>
      <c r="G325" s="26">
        <f t="shared" si="181"/>
        <v>9.8089999999999993</v>
      </c>
      <c r="H325" s="26">
        <f t="shared" si="191"/>
        <v>12.44</v>
      </c>
      <c r="I325" s="26">
        <f t="shared" si="192"/>
        <v>74.64</v>
      </c>
      <c r="J325" s="36" t="e">
        <f>IF(B325&lt;&gt;0,VLOOKUP(B325,#REF!,4,FALSE),"")</f>
        <v>#REF!</v>
      </c>
      <c r="K325" s="374" t="s">
        <v>3125</v>
      </c>
      <c r="L325" s="362">
        <f t="shared" si="182"/>
        <v>58.853999999999999</v>
      </c>
      <c r="M325" s="36"/>
      <c r="N325" s="37" t="e">
        <f>IF(B325&lt;&gt;0,VLOOKUP(B325,#REF!,2,FALSE),"")</f>
        <v>#REF!</v>
      </c>
      <c r="AY325" s="21"/>
      <c r="AZ325" s="481"/>
      <c r="BA325" s="481"/>
      <c r="BB325" s="481"/>
      <c r="BC325" s="481"/>
      <c r="BD325" s="163">
        <f t="shared" si="195"/>
        <v>10.93</v>
      </c>
      <c r="BE325" s="163">
        <f t="shared" si="184"/>
        <v>13.86</v>
      </c>
      <c r="BF325" s="163">
        <f t="shared" si="193"/>
        <v>83.16</v>
      </c>
    </row>
    <row r="326" spans="1:58" ht="60">
      <c r="A326" s="23" t="s">
        <v>898</v>
      </c>
      <c r="B326" s="24">
        <v>89690</v>
      </c>
      <c r="C326" s="23" t="s">
        <v>1624</v>
      </c>
      <c r="D326" s="25" t="s">
        <v>12</v>
      </c>
      <c r="E326" s="25" t="s">
        <v>17</v>
      </c>
      <c r="F326" s="26">
        <v>6</v>
      </c>
      <c r="G326" s="26">
        <f t="shared" si="181"/>
        <v>55.360499999999995</v>
      </c>
      <c r="H326" s="26">
        <f t="shared" si="191"/>
        <v>70.2</v>
      </c>
      <c r="I326" s="26">
        <f t="shared" si="192"/>
        <v>421.2</v>
      </c>
      <c r="J326" s="36" t="e">
        <f>IF(B326&lt;&gt;0,VLOOKUP(B326,#REF!,4,FALSE),"")</f>
        <v>#REF!</v>
      </c>
      <c r="K326" s="374" t="s">
        <v>3287</v>
      </c>
      <c r="L326" s="362">
        <f t="shared" si="182"/>
        <v>332.16299999999995</v>
      </c>
      <c r="M326" s="36"/>
      <c r="N326" s="37" t="e">
        <f>IF(B326&lt;&gt;0,VLOOKUP(B326,#REF!,2,FALSE),"")</f>
        <v>#REF!</v>
      </c>
      <c r="AY326" s="21"/>
      <c r="AZ326" s="481"/>
      <c r="BA326" s="481"/>
      <c r="BB326" s="481"/>
      <c r="BC326" s="481"/>
      <c r="BD326" s="163">
        <f t="shared" si="195"/>
        <v>61.67</v>
      </c>
      <c r="BE326" s="163">
        <f t="shared" si="184"/>
        <v>78.2</v>
      </c>
      <c r="BF326" s="163">
        <f t="shared" si="193"/>
        <v>469.2</v>
      </c>
    </row>
    <row r="327" spans="1:58" ht="45">
      <c r="A327" s="23" t="s">
        <v>899</v>
      </c>
      <c r="B327" s="24">
        <v>89574</v>
      </c>
      <c r="C327" s="23" t="s">
        <v>1625</v>
      </c>
      <c r="D327" s="25" t="s">
        <v>12</v>
      </c>
      <c r="E327" s="25" t="s">
        <v>17</v>
      </c>
      <c r="F327" s="26">
        <v>6</v>
      </c>
      <c r="G327" s="26">
        <f t="shared" si="181"/>
        <v>93.083500000000001</v>
      </c>
      <c r="H327" s="26">
        <f t="shared" si="191"/>
        <v>118.04</v>
      </c>
      <c r="I327" s="26">
        <f t="shared" si="192"/>
        <v>708.24</v>
      </c>
      <c r="J327" s="36" t="e">
        <f>IF(B327&lt;&gt;0,VLOOKUP(B327,#REF!,4,FALSE),"")</f>
        <v>#REF!</v>
      </c>
      <c r="K327" s="374" t="s">
        <v>3174</v>
      </c>
      <c r="L327" s="362">
        <f t="shared" si="182"/>
        <v>558.50099999999998</v>
      </c>
      <c r="M327" s="36"/>
      <c r="N327" s="37" t="e">
        <f>IF(B327&lt;&gt;0,VLOOKUP(B327,#REF!,2,FALSE),"")</f>
        <v>#REF!</v>
      </c>
      <c r="AY327" s="21"/>
      <c r="AZ327" s="481"/>
      <c r="BA327" s="481"/>
      <c r="BB327" s="481"/>
      <c r="BC327" s="481"/>
      <c r="BD327" s="163">
        <f t="shared" si="195"/>
        <v>103.7</v>
      </c>
      <c r="BE327" s="163">
        <f t="shared" si="184"/>
        <v>131.5</v>
      </c>
      <c r="BF327" s="163">
        <f t="shared" si="193"/>
        <v>789</v>
      </c>
    </row>
    <row r="328" spans="1:58" ht="45">
      <c r="A328" s="23" t="s">
        <v>900</v>
      </c>
      <c r="B328" s="24">
        <v>89620</v>
      </c>
      <c r="C328" s="23" t="s">
        <v>1626</v>
      </c>
      <c r="D328" s="25" t="s">
        <v>12</v>
      </c>
      <c r="E328" s="25" t="s">
        <v>17</v>
      </c>
      <c r="F328" s="26">
        <v>7</v>
      </c>
      <c r="G328" s="26">
        <f t="shared" si="181"/>
        <v>8.0239999999999991</v>
      </c>
      <c r="H328" s="26">
        <f t="shared" si="191"/>
        <v>10.18</v>
      </c>
      <c r="I328" s="26">
        <f t="shared" si="192"/>
        <v>71.260000000000005</v>
      </c>
      <c r="J328" s="36" t="e">
        <f>IF(B328&lt;&gt;0,VLOOKUP(B328,#REF!,4,FALSE),"")</f>
        <v>#REF!</v>
      </c>
      <c r="K328" s="374" t="s">
        <v>3286</v>
      </c>
      <c r="L328" s="362">
        <f t="shared" si="182"/>
        <v>56.167999999999992</v>
      </c>
      <c r="M328" s="36"/>
      <c r="N328" s="37" t="e">
        <f>IF(B328&lt;&gt;0,VLOOKUP(B328,#REF!,2,FALSE),"")</f>
        <v>#REF!</v>
      </c>
      <c r="AY328" s="21"/>
      <c r="AZ328" s="481"/>
      <c r="BA328" s="481"/>
      <c r="BB328" s="481"/>
      <c r="BC328" s="481"/>
      <c r="BD328" s="163">
        <f t="shared" si="195"/>
        <v>8.94</v>
      </c>
      <c r="BE328" s="163">
        <f t="shared" si="184"/>
        <v>11.34</v>
      </c>
      <c r="BF328" s="163">
        <f t="shared" si="193"/>
        <v>79.38</v>
      </c>
    </row>
    <row r="329" spans="1:58" s="28" customFormat="1">
      <c r="A329" s="23" t="s">
        <v>901</v>
      </c>
      <c r="B329" s="24">
        <v>53099</v>
      </c>
      <c r="C329" s="23" t="s">
        <v>2368</v>
      </c>
      <c r="D329" s="25" t="s">
        <v>1915</v>
      </c>
      <c r="E329" s="25" t="s">
        <v>17</v>
      </c>
      <c r="F329" s="26">
        <v>3</v>
      </c>
      <c r="G329" s="26">
        <f t="shared" si="181"/>
        <v>21.385999999999999</v>
      </c>
      <c r="H329" s="26">
        <f t="shared" si="191"/>
        <v>27.12</v>
      </c>
      <c r="I329" s="26">
        <f t="shared" si="192"/>
        <v>81.36</v>
      </c>
      <c r="J329" s="36">
        <f>'COMPOSIÇÃO DE CUSTOS'!G662</f>
        <v>21.4</v>
      </c>
      <c r="K329" s="374">
        <v>25.16</v>
      </c>
      <c r="L329" s="362">
        <f t="shared" si="182"/>
        <v>64.158000000000001</v>
      </c>
      <c r="M329" s="36"/>
      <c r="N329" s="37"/>
      <c r="AY329" s="370"/>
      <c r="AZ329" s="481"/>
      <c r="BA329" s="481"/>
      <c r="BB329" s="481"/>
      <c r="BC329" s="481"/>
      <c r="BD329" s="163">
        <f t="shared" si="195"/>
        <v>23.82</v>
      </c>
      <c r="BE329" s="163">
        <f t="shared" si="184"/>
        <v>30.21</v>
      </c>
      <c r="BF329" s="163">
        <f t="shared" si="193"/>
        <v>90.63</v>
      </c>
    </row>
    <row r="330" spans="1:58" s="28" customFormat="1">
      <c r="A330" s="23" t="s">
        <v>902</v>
      </c>
      <c r="B330" s="25" t="s">
        <v>2117</v>
      </c>
      <c r="C330" s="23" t="s">
        <v>2369</v>
      </c>
      <c r="D330" s="25" t="s">
        <v>1915</v>
      </c>
      <c r="E330" s="25" t="s">
        <v>17</v>
      </c>
      <c r="F330" s="26">
        <v>3</v>
      </c>
      <c r="G330" s="26">
        <f t="shared" si="181"/>
        <v>29.460999999999999</v>
      </c>
      <c r="H330" s="26">
        <f t="shared" si="191"/>
        <v>37.36</v>
      </c>
      <c r="I330" s="26">
        <f t="shared" si="192"/>
        <v>112.08</v>
      </c>
      <c r="J330" s="36">
        <f>'COMPOSIÇÃO DE CUSTOS'!G669</f>
        <v>29.47</v>
      </c>
      <c r="K330" s="374">
        <v>34.659999999999997</v>
      </c>
      <c r="L330" s="362">
        <f t="shared" si="182"/>
        <v>88.382999999999996</v>
      </c>
      <c r="M330" s="36"/>
      <c r="N330" s="37"/>
      <c r="AY330" s="370"/>
      <c r="AZ330" s="481"/>
      <c r="BA330" s="481"/>
      <c r="BB330" s="481"/>
      <c r="BC330" s="481"/>
      <c r="BD330" s="163">
        <f t="shared" si="195"/>
        <v>32.82</v>
      </c>
      <c r="BE330" s="163">
        <f t="shared" si="184"/>
        <v>41.62</v>
      </c>
      <c r="BF330" s="163">
        <f t="shared" si="193"/>
        <v>124.86</v>
      </c>
    </row>
    <row r="331" spans="1:58" s="28" customFormat="1" ht="15" customHeight="1">
      <c r="A331" s="356" t="s">
        <v>903</v>
      </c>
      <c r="B331" s="356"/>
      <c r="C331" s="356" t="s">
        <v>141</v>
      </c>
      <c r="D331" s="357"/>
      <c r="E331" s="357"/>
      <c r="F331" s="357"/>
      <c r="G331" s="26"/>
      <c r="H331" s="357"/>
      <c r="I331" s="96"/>
      <c r="J331" s="37"/>
      <c r="K331" s="374"/>
      <c r="L331" s="362">
        <f t="shared" si="182"/>
        <v>0</v>
      </c>
      <c r="M331" s="37"/>
      <c r="N331" s="37"/>
      <c r="AY331" s="370"/>
      <c r="AZ331" s="481"/>
      <c r="BA331" s="481"/>
      <c r="BB331" s="481"/>
      <c r="BC331" s="481"/>
      <c r="BD331" s="163"/>
      <c r="BE331" s="163"/>
      <c r="BF331" s="163"/>
    </row>
    <row r="332" spans="1:58" s="28" customFormat="1" ht="90">
      <c r="A332" s="23" t="s">
        <v>904</v>
      </c>
      <c r="B332" s="25" t="s">
        <v>2118</v>
      </c>
      <c r="C332" s="23" t="s">
        <v>142</v>
      </c>
      <c r="D332" s="25" t="s">
        <v>1915</v>
      </c>
      <c r="E332" s="25" t="s">
        <v>17</v>
      </c>
      <c r="F332" s="26">
        <v>14</v>
      </c>
      <c r="G332" s="26">
        <f t="shared" si="181"/>
        <v>194.76900000000001</v>
      </c>
      <c r="H332" s="26">
        <f>ROUND(G332*(1+$J$14),2)</f>
        <v>246.99</v>
      </c>
      <c r="I332" s="26">
        <f>ROUND(H332*F332,2)</f>
        <v>3457.86</v>
      </c>
      <c r="J332" s="36">
        <f>'COMPOSIÇÃO DE CUSTOS'!G682</f>
        <v>194.75</v>
      </c>
      <c r="K332" s="374">
        <v>229.14</v>
      </c>
      <c r="L332" s="362">
        <f t="shared" si="182"/>
        <v>2726.7660000000001</v>
      </c>
      <c r="M332" s="36"/>
      <c r="N332" s="37"/>
      <c r="AY332" s="370"/>
      <c r="AZ332" s="481"/>
      <c r="BA332" s="481"/>
      <c r="BB332" s="481"/>
      <c r="BC332" s="481"/>
      <c r="BD332" s="163">
        <f t="shared" si="195"/>
        <v>216.97</v>
      </c>
      <c r="BE332" s="163">
        <f t="shared" si="184"/>
        <v>275.14</v>
      </c>
      <c r="BF332" s="163">
        <f>ROUND(BE332*F332,2)</f>
        <v>3851.96</v>
      </c>
    </row>
    <row r="333" spans="1:58" s="28" customFormat="1" ht="30">
      <c r="A333" s="23" t="s">
        <v>905</v>
      </c>
      <c r="B333" s="24">
        <v>72285</v>
      </c>
      <c r="C333" s="23" t="s">
        <v>143</v>
      </c>
      <c r="D333" s="25" t="s">
        <v>1915</v>
      </c>
      <c r="E333" s="25" t="s">
        <v>17</v>
      </c>
      <c r="F333" s="26">
        <v>7</v>
      </c>
      <c r="G333" s="26">
        <f t="shared" si="181"/>
        <v>60.375500000000002</v>
      </c>
      <c r="H333" s="26">
        <f>ROUND(G333*(1+$J$14),2)</f>
        <v>76.56</v>
      </c>
      <c r="I333" s="26">
        <f>ROUND(H333*F333,2)</f>
        <v>535.91999999999996</v>
      </c>
      <c r="J333" s="36">
        <f>'COMPOSIÇÃO DE CUSTOS'!G692</f>
        <v>60.38</v>
      </c>
      <c r="K333" s="374">
        <v>71.03</v>
      </c>
      <c r="L333" s="362">
        <f t="shared" si="182"/>
        <v>422.62850000000003</v>
      </c>
      <c r="M333" s="36"/>
      <c r="N333" s="37"/>
      <c r="AY333" s="370"/>
      <c r="AZ333" s="481"/>
      <c r="BA333" s="481"/>
      <c r="BB333" s="481"/>
      <c r="BC333" s="481"/>
      <c r="BD333" s="163">
        <f t="shared" si="195"/>
        <v>67.260000000000005</v>
      </c>
      <c r="BE333" s="163">
        <f t="shared" si="184"/>
        <v>85.29</v>
      </c>
      <c r="BF333" s="163">
        <f>ROUND(BE333*F333,2)</f>
        <v>597.03</v>
      </c>
    </row>
    <row r="334" spans="1:58" s="28" customFormat="1" ht="45">
      <c r="A334" s="23" t="s">
        <v>906</v>
      </c>
      <c r="B334" s="24">
        <v>89495</v>
      </c>
      <c r="C334" s="23" t="s">
        <v>1627</v>
      </c>
      <c r="D334" s="25" t="s">
        <v>12</v>
      </c>
      <c r="E334" s="25" t="s">
        <v>17</v>
      </c>
      <c r="F334" s="26">
        <v>8</v>
      </c>
      <c r="G334" s="26">
        <f t="shared" si="181"/>
        <v>6.0009999999999994</v>
      </c>
      <c r="H334" s="26">
        <f>ROUND(G334*(1+$J$14),2)</f>
        <v>7.61</v>
      </c>
      <c r="I334" s="26">
        <f>ROUND(H334*F334,2)</f>
        <v>60.88</v>
      </c>
      <c r="J334" s="36" t="e">
        <f>IF(B334&lt;&gt;0,VLOOKUP(B334,#REF!,4,FALSE),"")</f>
        <v>#REF!</v>
      </c>
      <c r="K334" s="374" t="s">
        <v>1840</v>
      </c>
      <c r="L334" s="362">
        <f t="shared" si="182"/>
        <v>48.007999999999996</v>
      </c>
      <c r="M334" s="36"/>
      <c r="N334" s="37" t="e">
        <f>IF(B334&lt;&gt;0,VLOOKUP(B334,#REF!,2,FALSE),"")</f>
        <v>#REF!</v>
      </c>
      <c r="AY334" s="370"/>
      <c r="AZ334" s="481"/>
      <c r="BA334" s="481"/>
      <c r="BB334" s="481"/>
      <c r="BC334" s="481"/>
      <c r="BD334" s="163">
        <f t="shared" si="195"/>
        <v>6.69</v>
      </c>
      <c r="BE334" s="163">
        <f t="shared" si="184"/>
        <v>8.48</v>
      </c>
      <c r="BF334" s="163">
        <f>ROUND(BE334*F334,2)</f>
        <v>67.84</v>
      </c>
    </row>
    <row r="335" spans="1:58" s="45" customFormat="1" ht="52.5" customHeight="1">
      <c r="A335" s="23" t="s">
        <v>907</v>
      </c>
      <c r="B335" s="24">
        <v>759</v>
      </c>
      <c r="C335" s="23" t="s">
        <v>144</v>
      </c>
      <c r="D335" s="25" t="s">
        <v>12</v>
      </c>
      <c r="E335" s="25" t="s">
        <v>17</v>
      </c>
      <c r="F335" s="26">
        <v>2</v>
      </c>
      <c r="G335" s="26">
        <f t="shared" si="181"/>
        <v>4085.1</v>
      </c>
      <c r="H335" s="26">
        <f>ROUND(G335*(1+$J$14),2)</f>
        <v>5180.32</v>
      </c>
      <c r="I335" s="26">
        <f>ROUND(H335*F335,2)</f>
        <v>10360.64</v>
      </c>
      <c r="J335" s="49" t="e">
        <f>IF(B335&lt;&gt;0,VLOOKUP(B335,#REF!,4,FALSE),"")</f>
        <v>#REF!</v>
      </c>
      <c r="K335" s="364" t="s">
        <v>3316</v>
      </c>
      <c r="L335" s="362">
        <f t="shared" si="182"/>
        <v>8170.2</v>
      </c>
      <c r="M335" s="49"/>
      <c r="N335" s="46" t="e">
        <f>IF(B335&lt;&gt;0,VLOOKUP(B335,#REF!,2,FALSE),"")</f>
        <v>#REF!</v>
      </c>
      <c r="AY335" s="56"/>
      <c r="AZ335" s="481"/>
      <c r="BA335" s="481"/>
      <c r="BB335" s="481"/>
      <c r="BC335" s="481"/>
      <c r="BD335" s="163">
        <f t="shared" si="195"/>
        <v>4550.84</v>
      </c>
      <c r="BE335" s="163">
        <f t="shared" si="184"/>
        <v>5770.92</v>
      </c>
      <c r="BF335" s="163">
        <f>ROUND(BE335*F335,2)</f>
        <v>11541.84</v>
      </c>
    </row>
    <row r="336" spans="1:58" ht="15" customHeight="1">
      <c r="A336" s="356" t="s">
        <v>908</v>
      </c>
      <c r="B336" s="356"/>
      <c r="C336" s="356" t="s">
        <v>145</v>
      </c>
      <c r="D336" s="357"/>
      <c r="E336" s="357"/>
      <c r="F336" s="357"/>
      <c r="G336" s="26"/>
      <c r="H336" s="357"/>
      <c r="I336" s="96"/>
      <c r="J336" s="35"/>
      <c r="K336" s="375"/>
      <c r="L336" s="362">
        <f t="shared" si="182"/>
        <v>0</v>
      </c>
      <c r="M336" s="35"/>
      <c r="N336" s="35"/>
      <c r="AY336" s="21"/>
      <c r="AZ336" s="481"/>
      <c r="BA336" s="481"/>
      <c r="BB336" s="481"/>
      <c r="BC336" s="481"/>
      <c r="BD336" s="163"/>
      <c r="BE336" s="163"/>
      <c r="BF336" s="163"/>
    </row>
    <row r="337" spans="1:58" ht="15" customHeight="1">
      <c r="A337" s="356" t="s">
        <v>909</v>
      </c>
      <c r="B337" s="356"/>
      <c r="C337" s="356" t="s">
        <v>140</v>
      </c>
      <c r="D337" s="357"/>
      <c r="E337" s="357"/>
      <c r="F337" s="357"/>
      <c r="G337" s="26"/>
      <c r="H337" s="357"/>
      <c r="I337" s="96"/>
      <c r="J337" s="35"/>
      <c r="K337" s="375"/>
      <c r="L337" s="362">
        <f t="shared" si="182"/>
        <v>0</v>
      </c>
      <c r="M337" s="35"/>
      <c r="N337" s="35"/>
      <c r="AY337" s="21"/>
      <c r="AZ337" s="481"/>
      <c r="BA337" s="481"/>
      <c r="BB337" s="481"/>
      <c r="BC337" s="481"/>
      <c r="BD337" s="163"/>
      <c r="BE337" s="163"/>
      <c r="BF337" s="163"/>
    </row>
    <row r="338" spans="1:58" ht="45">
      <c r="A338" s="23" t="s">
        <v>910</v>
      </c>
      <c r="B338" s="24">
        <v>89711</v>
      </c>
      <c r="C338" s="23" t="s">
        <v>1628</v>
      </c>
      <c r="D338" s="25" t="s">
        <v>12</v>
      </c>
      <c r="E338" s="25" t="s">
        <v>52</v>
      </c>
      <c r="F338" s="26">
        <v>15</v>
      </c>
      <c r="G338" s="26">
        <f t="shared" si="181"/>
        <v>12.1805</v>
      </c>
      <c r="H338" s="26">
        <f t="shared" ref="H338:H370" si="196">ROUND(G338*(1+$J$14),2)</f>
        <v>15.45</v>
      </c>
      <c r="I338" s="26">
        <f t="shared" ref="I338:I343" si="197">ROUND(H338*F338,2)</f>
        <v>231.75</v>
      </c>
      <c r="J338" s="36" t="e">
        <f>IF(B338&lt;&gt;0,VLOOKUP(B338,#REF!,4,FALSE),"")</f>
        <v>#REF!</v>
      </c>
      <c r="K338" s="374" t="s">
        <v>3118</v>
      </c>
      <c r="L338" s="362">
        <f t="shared" si="182"/>
        <v>182.70750000000001</v>
      </c>
      <c r="M338" s="36"/>
      <c r="N338" s="37" t="e">
        <f>IF(B338&lt;&gt;0,VLOOKUP(B338,#REF!,2,FALSE),"")</f>
        <v>#REF!</v>
      </c>
      <c r="AY338" s="21"/>
      <c r="AZ338" s="481"/>
      <c r="BA338" s="481"/>
      <c r="BB338" s="481"/>
      <c r="BC338" s="481"/>
      <c r="BD338" s="163">
        <f t="shared" si="195"/>
        <v>13.57</v>
      </c>
      <c r="BE338" s="163">
        <f t="shared" si="184"/>
        <v>17.21</v>
      </c>
      <c r="BF338" s="163">
        <f t="shared" ref="BF338:BF370" si="198">ROUND(BE338*F338,2)</f>
        <v>258.14999999999998</v>
      </c>
    </row>
    <row r="339" spans="1:58" ht="45">
      <c r="A339" s="23" t="s">
        <v>911</v>
      </c>
      <c r="B339" s="24">
        <v>89798</v>
      </c>
      <c r="C339" s="23" t="s">
        <v>1629</v>
      </c>
      <c r="D339" s="25" t="s">
        <v>12</v>
      </c>
      <c r="E339" s="25" t="s">
        <v>52</v>
      </c>
      <c r="F339" s="26">
        <v>190</v>
      </c>
      <c r="G339" s="26">
        <f t="shared" si="181"/>
        <v>8.84</v>
      </c>
      <c r="H339" s="26">
        <f t="shared" si="196"/>
        <v>11.21</v>
      </c>
      <c r="I339" s="26">
        <f t="shared" si="197"/>
        <v>2129.9</v>
      </c>
      <c r="J339" s="36" t="e">
        <f>IF(B339&lt;&gt;0,VLOOKUP(B339,#REF!,4,FALSE),"")</f>
        <v>#REF!</v>
      </c>
      <c r="K339" s="374" t="s">
        <v>1909</v>
      </c>
      <c r="L339" s="362">
        <f t="shared" si="182"/>
        <v>1679.6</v>
      </c>
      <c r="M339" s="36"/>
      <c r="N339" s="37" t="e">
        <f>IF(B339&lt;&gt;0,VLOOKUP(B339,#REF!,2,FALSE),"")</f>
        <v>#REF!</v>
      </c>
      <c r="AY339" s="21"/>
      <c r="AZ339" s="481"/>
      <c r="BA339" s="481"/>
      <c r="BB339" s="481"/>
      <c r="BC339" s="481"/>
      <c r="BD339" s="163">
        <f t="shared" si="195"/>
        <v>9.85</v>
      </c>
      <c r="BE339" s="163">
        <f t="shared" si="184"/>
        <v>12.49</v>
      </c>
      <c r="BF339" s="163">
        <f t="shared" si="198"/>
        <v>2373.1</v>
      </c>
    </row>
    <row r="340" spans="1:58" ht="45">
      <c r="A340" s="23" t="s">
        <v>912</v>
      </c>
      <c r="B340" s="24">
        <v>89799</v>
      </c>
      <c r="C340" s="23" t="s">
        <v>1630</v>
      </c>
      <c r="D340" s="25" t="s">
        <v>12</v>
      </c>
      <c r="E340" s="25" t="s">
        <v>52</v>
      </c>
      <c r="F340" s="26">
        <v>31</v>
      </c>
      <c r="G340" s="26">
        <f t="shared" si="181"/>
        <v>14.220500000000001</v>
      </c>
      <c r="H340" s="26">
        <f t="shared" si="196"/>
        <v>18.03</v>
      </c>
      <c r="I340" s="26">
        <f t="shared" si="197"/>
        <v>558.92999999999995</v>
      </c>
      <c r="J340" s="36" t="e">
        <f>IF(B340&lt;&gt;0,VLOOKUP(B340,#REF!,4,FALSE),"")</f>
        <v>#REF!</v>
      </c>
      <c r="K340" s="374" t="s">
        <v>3273</v>
      </c>
      <c r="L340" s="362">
        <f t="shared" si="182"/>
        <v>440.83550000000002</v>
      </c>
      <c r="M340" s="36"/>
      <c r="N340" s="37" t="e">
        <f>IF(B340&lt;&gt;0,VLOOKUP(B340,#REF!,2,FALSE),"")</f>
        <v>#REF!</v>
      </c>
      <c r="AY340" s="21"/>
      <c r="AZ340" s="481"/>
      <c r="BA340" s="481"/>
      <c r="BB340" s="481"/>
      <c r="BC340" s="481"/>
      <c r="BD340" s="163">
        <f t="shared" si="195"/>
        <v>15.84</v>
      </c>
      <c r="BE340" s="163">
        <f t="shared" si="184"/>
        <v>20.09</v>
      </c>
      <c r="BF340" s="163">
        <f t="shared" si="198"/>
        <v>622.79</v>
      </c>
    </row>
    <row r="341" spans="1:58" ht="45">
      <c r="A341" s="23" t="s">
        <v>913</v>
      </c>
      <c r="B341" s="24">
        <v>89714</v>
      </c>
      <c r="C341" s="23" t="s">
        <v>1631</v>
      </c>
      <c r="D341" s="25" t="s">
        <v>12</v>
      </c>
      <c r="E341" s="25" t="s">
        <v>52</v>
      </c>
      <c r="F341" s="26">
        <v>549</v>
      </c>
      <c r="G341" s="26">
        <f t="shared" si="181"/>
        <v>36.21</v>
      </c>
      <c r="H341" s="26">
        <f t="shared" si="196"/>
        <v>45.92</v>
      </c>
      <c r="I341" s="26">
        <f t="shared" si="197"/>
        <v>25210.080000000002</v>
      </c>
      <c r="J341" s="36" t="e">
        <f>IF(B341&lt;&gt;0,VLOOKUP(B341,#REF!,4,FALSE),"")</f>
        <v>#REF!</v>
      </c>
      <c r="K341" s="374" t="s">
        <v>3039</v>
      </c>
      <c r="L341" s="362">
        <f t="shared" si="182"/>
        <v>19879.29</v>
      </c>
      <c r="M341" s="36"/>
      <c r="N341" s="37" t="e">
        <f>IF(B341&lt;&gt;0,VLOOKUP(B341,#REF!,2,FALSE),"")</f>
        <v>#REF!</v>
      </c>
      <c r="AY341" s="21"/>
      <c r="AZ341" s="481"/>
      <c r="BA341" s="481"/>
      <c r="BB341" s="481"/>
      <c r="BC341" s="481"/>
      <c r="BD341" s="163">
        <f t="shared" si="195"/>
        <v>40.340000000000003</v>
      </c>
      <c r="BE341" s="163">
        <f t="shared" si="184"/>
        <v>51.16</v>
      </c>
      <c r="BF341" s="163">
        <f t="shared" si="198"/>
        <v>28086.84</v>
      </c>
    </row>
    <row r="342" spans="1:58" ht="45">
      <c r="A342" s="23" t="s">
        <v>914</v>
      </c>
      <c r="B342" s="24">
        <v>89849</v>
      </c>
      <c r="C342" s="23" t="s">
        <v>1632</v>
      </c>
      <c r="D342" s="25" t="s">
        <v>12</v>
      </c>
      <c r="E342" s="25" t="s">
        <v>52</v>
      </c>
      <c r="F342" s="26">
        <v>115</v>
      </c>
      <c r="G342" s="26">
        <f t="shared" si="181"/>
        <v>41.794499999999999</v>
      </c>
      <c r="H342" s="26">
        <f t="shared" si="196"/>
        <v>53</v>
      </c>
      <c r="I342" s="26">
        <f t="shared" si="197"/>
        <v>6095</v>
      </c>
      <c r="J342" s="36" t="e">
        <f>IF(B342&lt;&gt;0,VLOOKUP(B342,#REF!,4,FALSE),"")</f>
        <v>#REF!</v>
      </c>
      <c r="K342" s="374" t="s">
        <v>3274</v>
      </c>
      <c r="L342" s="362">
        <f t="shared" si="182"/>
        <v>4806.3675000000003</v>
      </c>
      <c r="M342" s="36"/>
      <c r="N342" s="37" t="e">
        <f>IF(B342&lt;&gt;0,VLOOKUP(B342,#REF!,2,FALSE),"")</f>
        <v>#REF!</v>
      </c>
      <c r="AY342" s="21"/>
      <c r="AZ342" s="481"/>
      <c r="BA342" s="481"/>
      <c r="BB342" s="481"/>
      <c r="BC342" s="481"/>
      <c r="BD342" s="163">
        <f t="shared" si="195"/>
        <v>46.56</v>
      </c>
      <c r="BE342" s="163">
        <f t="shared" si="184"/>
        <v>59.04</v>
      </c>
      <c r="BF342" s="163">
        <f t="shared" si="198"/>
        <v>6789.6</v>
      </c>
    </row>
    <row r="343" spans="1:58" ht="60">
      <c r="A343" s="23" t="s">
        <v>915</v>
      </c>
      <c r="B343" s="24">
        <v>89731</v>
      </c>
      <c r="C343" s="23" t="s">
        <v>1633</v>
      </c>
      <c r="D343" s="25" t="s">
        <v>12</v>
      </c>
      <c r="E343" s="25" t="s">
        <v>17</v>
      </c>
      <c r="F343" s="26">
        <v>110</v>
      </c>
      <c r="G343" s="26">
        <f t="shared" si="181"/>
        <v>7.3525</v>
      </c>
      <c r="H343" s="26">
        <f t="shared" si="196"/>
        <v>9.32</v>
      </c>
      <c r="I343" s="26">
        <f t="shared" si="197"/>
        <v>1025.2</v>
      </c>
      <c r="J343" s="36" t="e">
        <f>IF(B343&lt;&gt;0,VLOOKUP(B343,#REF!,4,FALSE),"")</f>
        <v>#REF!</v>
      </c>
      <c r="K343" s="374" t="s">
        <v>3042</v>
      </c>
      <c r="L343" s="362">
        <f t="shared" si="182"/>
        <v>808.77499999999998</v>
      </c>
      <c r="M343" s="36"/>
      <c r="N343" s="37" t="e">
        <f>IF(B343&lt;&gt;0,VLOOKUP(B343,#REF!,2,FALSE),"")</f>
        <v>#REF!</v>
      </c>
      <c r="AY343" s="21"/>
      <c r="AZ343" s="481"/>
      <c r="BA343" s="481"/>
      <c r="BB343" s="481"/>
      <c r="BC343" s="481"/>
      <c r="BD343" s="163">
        <f t="shared" si="195"/>
        <v>8.19</v>
      </c>
      <c r="BE343" s="163">
        <f t="shared" si="184"/>
        <v>10.39</v>
      </c>
      <c r="BF343" s="163">
        <f t="shared" si="198"/>
        <v>1142.9000000000001</v>
      </c>
    </row>
    <row r="344" spans="1:58" ht="60">
      <c r="A344" s="23" t="s">
        <v>916</v>
      </c>
      <c r="B344" s="24">
        <v>89724</v>
      </c>
      <c r="C344" s="23" t="s">
        <v>1634</v>
      </c>
      <c r="D344" s="25" t="s">
        <v>12</v>
      </c>
      <c r="E344" s="25" t="s">
        <v>17</v>
      </c>
      <c r="F344" s="26">
        <v>154</v>
      </c>
      <c r="G344" s="26">
        <f t="shared" ref="G344:G406" si="199">K344-(K344*$K$15)</f>
        <v>6.6724999999999994</v>
      </c>
      <c r="H344" s="26">
        <f t="shared" si="196"/>
        <v>8.4600000000000009</v>
      </c>
      <c r="I344" s="26">
        <f t="shared" ref="I344:I347" si="200">ROUND(H344*F344,2)</f>
        <v>1302.8399999999999</v>
      </c>
      <c r="J344" s="36" t="e">
        <f>IF(B344&lt;&gt;0,VLOOKUP(B344,#REF!,4,FALSE),"")</f>
        <v>#REF!</v>
      </c>
      <c r="K344" s="374" t="s">
        <v>2649</v>
      </c>
      <c r="L344" s="362">
        <f t="shared" ref="L344:L407" si="201">F344*G344</f>
        <v>1027.5649999999998</v>
      </c>
      <c r="M344" s="36"/>
      <c r="N344" s="37" t="e">
        <f>IF(B344&lt;&gt;0,VLOOKUP(B344,#REF!,2,FALSE),"")</f>
        <v>#REF!</v>
      </c>
      <c r="AY344" s="21"/>
      <c r="AZ344" s="481"/>
      <c r="BA344" s="481"/>
      <c r="BB344" s="481"/>
      <c r="BC344" s="481"/>
      <c r="BD344" s="163">
        <f t="shared" si="195"/>
        <v>7.43</v>
      </c>
      <c r="BE344" s="163">
        <f t="shared" ref="BE344:BE406" si="202">ROUND(BD344*(1+$J$14),2)</f>
        <v>9.42</v>
      </c>
      <c r="BF344" s="163">
        <f t="shared" si="198"/>
        <v>1450.68</v>
      </c>
    </row>
    <row r="345" spans="1:58" ht="60">
      <c r="A345" s="23" t="s">
        <v>917</v>
      </c>
      <c r="B345" s="24">
        <v>89805</v>
      </c>
      <c r="C345" s="23" t="s">
        <v>1635</v>
      </c>
      <c r="D345" s="25" t="s">
        <v>12</v>
      </c>
      <c r="E345" s="25" t="s">
        <v>17</v>
      </c>
      <c r="F345" s="26">
        <v>4</v>
      </c>
      <c r="G345" s="26">
        <f t="shared" si="199"/>
        <v>9.9705000000000013</v>
      </c>
      <c r="H345" s="26">
        <f t="shared" si="196"/>
        <v>12.64</v>
      </c>
      <c r="I345" s="26">
        <f t="shared" si="200"/>
        <v>50.56</v>
      </c>
      <c r="J345" s="36" t="e">
        <f>IF(B345&lt;&gt;0,VLOOKUP(B345,#REF!,4,FALSE),"")</f>
        <v>#REF!</v>
      </c>
      <c r="K345" s="374" t="s">
        <v>3106</v>
      </c>
      <c r="L345" s="362">
        <f t="shared" si="201"/>
        <v>39.882000000000005</v>
      </c>
      <c r="M345" s="36"/>
      <c r="N345" s="37" t="e">
        <f>IF(B345&lt;&gt;0,VLOOKUP(B345,#REF!,2,FALSE),"")</f>
        <v>#REF!</v>
      </c>
      <c r="AY345" s="21"/>
      <c r="AZ345" s="481"/>
      <c r="BA345" s="481"/>
      <c r="BB345" s="481"/>
      <c r="BC345" s="481"/>
      <c r="BD345" s="163">
        <f t="shared" si="195"/>
        <v>11.11</v>
      </c>
      <c r="BE345" s="163">
        <f t="shared" si="202"/>
        <v>14.09</v>
      </c>
      <c r="BF345" s="163">
        <f t="shared" si="198"/>
        <v>56.36</v>
      </c>
    </row>
    <row r="346" spans="1:58" ht="60">
      <c r="A346" s="23" t="s">
        <v>918</v>
      </c>
      <c r="B346" s="24">
        <v>89744</v>
      </c>
      <c r="C346" s="23" t="s">
        <v>1636</v>
      </c>
      <c r="D346" s="25" t="s">
        <v>12</v>
      </c>
      <c r="E346" s="25" t="s">
        <v>17</v>
      </c>
      <c r="F346" s="26">
        <v>48</v>
      </c>
      <c r="G346" s="26">
        <f t="shared" si="199"/>
        <v>16.677</v>
      </c>
      <c r="H346" s="26">
        <f t="shared" si="196"/>
        <v>21.15</v>
      </c>
      <c r="I346" s="26">
        <f t="shared" si="200"/>
        <v>1015.2</v>
      </c>
      <c r="J346" s="36" t="e">
        <f>IF(B346&lt;&gt;0,VLOOKUP(B346,#REF!,4,FALSE),"")</f>
        <v>#REF!</v>
      </c>
      <c r="K346" s="374" t="s">
        <v>3132</v>
      </c>
      <c r="L346" s="362">
        <f t="shared" si="201"/>
        <v>800.49599999999998</v>
      </c>
      <c r="M346" s="36"/>
      <c r="N346" s="37" t="e">
        <f>IF(B346&lt;&gt;0,VLOOKUP(B346,#REF!,2,FALSE),"")</f>
        <v>#REF!</v>
      </c>
      <c r="AY346" s="21"/>
      <c r="AZ346" s="481"/>
      <c r="BA346" s="481"/>
      <c r="BB346" s="481"/>
      <c r="BC346" s="481"/>
      <c r="BD346" s="163">
        <f t="shared" si="195"/>
        <v>18.579999999999998</v>
      </c>
      <c r="BE346" s="163">
        <f t="shared" si="202"/>
        <v>23.56</v>
      </c>
      <c r="BF346" s="163">
        <f t="shared" si="198"/>
        <v>1130.8800000000001</v>
      </c>
    </row>
    <row r="347" spans="1:58" ht="60">
      <c r="A347" s="23" t="s">
        <v>919</v>
      </c>
      <c r="B347" s="24">
        <v>89854</v>
      </c>
      <c r="C347" s="23" t="s">
        <v>1637</v>
      </c>
      <c r="D347" s="25" t="s">
        <v>12</v>
      </c>
      <c r="E347" s="25" t="s">
        <v>17</v>
      </c>
      <c r="F347" s="26">
        <v>20</v>
      </c>
      <c r="G347" s="26">
        <f t="shared" si="199"/>
        <v>59.126000000000005</v>
      </c>
      <c r="H347" s="26">
        <f t="shared" si="196"/>
        <v>74.98</v>
      </c>
      <c r="I347" s="26">
        <f t="shared" si="200"/>
        <v>1499.6</v>
      </c>
      <c r="J347" s="36" t="e">
        <f>IF(B347&lt;&gt;0,VLOOKUP(B347,#REF!,4,FALSE),"")</f>
        <v>#REF!</v>
      </c>
      <c r="K347" s="374" t="s">
        <v>3188</v>
      </c>
      <c r="L347" s="362">
        <f t="shared" si="201"/>
        <v>1182.52</v>
      </c>
      <c r="M347" s="36"/>
      <c r="N347" s="37" t="e">
        <f>IF(B347&lt;&gt;0,VLOOKUP(B347,#REF!,2,FALSE),"")</f>
        <v>#REF!</v>
      </c>
      <c r="AY347" s="21"/>
      <c r="AZ347" s="481"/>
      <c r="BA347" s="481"/>
      <c r="BB347" s="481"/>
      <c r="BC347" s="481"/>
      <c r="BD347" s="163">
        <f t="shared" si="195"/>
        <v>65.87</v>
      </c>
      <c r="BE347" s="163">
        <f t="shared" si="202"/>
        <v>83.53</v>
      </c>
      <c r="BF347" s="163">
        <f t="shared" si="198"/>
        <v>1670.6</v>
      </c>
    </row>
    <row r="348" spans="1:58" ht="60">
      <c r="A348" s="23" t="s">
        <v>920</v>
      </c>
      <c r="B348" s="24">
        <v>89855</v>
      </c>
      <c r="C348" s="23" t="s">
        <v>1638</v>
      </c>
      <c r="D348" s="25" t="s">
        <v>12</v>
      </c>
      <c r="E348" s="25" t="s">
        <v>17</v>
      </c>
      <c r="F348" s="26">
        <v>15</v>
      </c>
      <c r="G348" s="26">
        <f t="shared" si="199"/>
        <v>62.815000000000005</v>
      </c>
      <c r="H348" s="26">
        <f t="shared" si="196"/>
        <v>79.66</v>
      </c>
      <c r="I348" s="26">
        <f>ROUND(H348*F348,2)</f>
        <v>1194.9000000000001</v>
      </c>
      <c r="J348" s="36" t="e">
        <f>IF(B348&lt;&gt;0,VLOOKUP(B348,#REF!,4,FALSE),"")</f>
        <v>#REF!</v>
      </c>
      <c r="K348" s="374" t="s">
        <v>3289</v>
      </c>
      <c r="L348" s="362">
        <f t="shared" si="201"/>
        <v>942.22500000000002</v>
      </c>
      <c r="M348" s="36"/>
      <c r="N348" s="37" t="e">
        <f>IF(B348&lt;&gt;0,VLOOKUP(B348,#REF!,2,FALSE),"")</f>
        <v>#REF!</v>
      </c>
      <c r="AY348" s="21"/>
      <c r="AZ348" s="481"/>
      <c r="BA348" s="481"/>
      <c r="BB348" s="481"/>
      <c r="BC348" s="481"/>
      <c r="BD348" s="163">
        <f t="shared" si="195"/>
        <v>69.98</v>
      </c>
      <c r="BE348" s="163">
        <f t="shared" si="202"/>
        <v>88.74</v>
      </c>
      <c r="BF348" s="163">
        <f t="shared" si="198"/>
        <v>1331.1</v>
      </c>
    </row>
    <row r="349" spans="1:58" ht="60">
      <c r="A349" s="23" t="s">
        <v>921</v>
      </c>
      <c r="B349" s="24">
        <v>89746</v>
      </c>
      <c r="C349" s="23" t="s">
        <v>1639</v>
      </c>
      <c r="D349" s="25" t="s">
        <v>12</v>
      </c>
      <c r="E349" s="25" t="s">
        <v>17</v>
      </c>
      <c r="F349" s="26">
        <v>35</v>
      </c>
      <c r="G349" s="26">
        <f t="shared" si="199"/>
        <v>16.634499999999999</v>
      </c>
      <c r="H349" s="26">
        <f t="shared" si="196"/>
        <v>21.09</v>
      </c>
      <c r="I349" s="26">
        <f t="shared" ref="I349:I352" si="203">ROUND(H349*F349,2)</f>
        <v>738.15</v>
      </c>
      <c r="J349" s="36" t="e">
        <f>IF(B349&lt;&gt;0,VLOOKUP(B349,#REF!,4,FALSE),"")</f>
        <v>#REF!</v>
      </c>
      <c r="K349" s="374" t="s">
        <v>3184</v>
      </c>
      <c r="L349" s="362">
        <f t="shared" si="201"/>
        <v>582.20749999999998</v>
      </c>
      <c r="M349" s="36"/>
      <c r="N349" s="37" t="e">
        <f>IF(B349&lt;&gt;0,VLOOKUP(B349,#REF!,2,FALSE),"")</f>
        <v>#REF!</v>
      </c>
      <c r="AY349" s="21"/>
      <c r="AZ349" s="481"/>
      <c r="BA349" s="481"/>
      <c r="BB349" s="481"/>
      <c r="BC349" s="481"/>
      <c r="BD349" s="163">
        <f t="shared" si="195"/>
        <v>18.53</v>
      </c>
      <c r="BE349" s="163">
        <f t="shared" si="202"/>
        <v>23.5</v>
      </c>
      <c r="BF349" s="163">
        <f t="shared" si="198"/>
        <v>822.5</v>
      </c>
    </row>
    <row r="350" spans="1:58" ht="60">
      <c r="A350" s="23" t="s">
        <v>922</v>
      </c>
      <c r="B350" s="24">
        <v>89739</v>
      </c>
      <c r="C350" s="23" t="s">
        <v>1640</v>
      </c>
      <c r="D350" s="25" t="s">
        <v>12</v>
      </c>
      <c r="E350" s="25" t="s">
        <v>17</v>
      </c>
      <c r="F350" s="26">
        <v>8</v>
      </c>
      <c r="G350" s="26">
        <f t="shared" si="199"/>
        <v>13.506500000000001</v>
      </c>
      <c r="H350" s="26">
        <f t="shared" si="196"/>
        <v>17.13</v>
      </c>
      <c r="I350" s="26">
        <f t="shared" si="203"/>
        <v>137.04</v>
      </c>
      <c r="J350" s="36" t="e">
        <f>IF(B350&lt;&gt;0,VLOOKUP(B350,#REF!,4,FALSE),"")</f>
        <v>#REF!</v>
      </c>
      <c r="K350" s="374" t="s">
        <v>1882</v>
      </c>
      <c r="L350" s="362">
        <f t="shared" si="201"/>
        <v>108.05200000000001</v>
      </c>
      <c r="M350" s="36"/>
      <c r="N350" s="37" t="e">
        <f>IF(B350&lt;&gt;0,VLOOKUP(B350,#REF!,2,FALSE),"")</f>
        <v>#REF!</v>
      </c>
      <c r="AY350" s="21"/>
      <c r="AZ350" s="481"/>
      <c r="BA350" s="481"/>
      <c r="BB350" s="481"/>
      <c r="BC350" s="481"/>
      <c r="BD350" s="163">
        <f t="shared" si="195"/>
        <v>15.05</v>
      </c>
      <c r="BE350" s="163">
        <f t="shared" si="202"/>
        <v>19.079999999999998</v>
      </c>
      <c r="BF350" s="163">
        <f t="shared" si="198"/>
        <v>152.63999999999999</v>
      </c>
    </row>
    <row r="351" spans="1:58" ht="60">
      <c r="A351" s="23" t="s">
        <v>923</v>
      </c>
      <c r="B351" s="24">
        <v>89802</v>
      </c>
      <c r="C351" s="23" t="s">
        <v>1641</v>
      </c>
      <c r="D351" s="25" t="s">
        <v>12</v>
      </c>
      <c r="E351" s="25" t="s">
        <v>17</v>
      </c>
      <c r="F351" s="26">
        <v>52</v>
      </c>
      <c r="G351" s="26">
        <f t="shared" si="199"/>
        <v>5.4654999999999996</v>
      </c>
      <c r="H351" s="26">
        <f t="shared" si="196"/>
        <v>6.93</v>
      </c>
      <c r="I351" s="26">
        <f t="shared" si="203"/>
        <v>360.36</v>
      </c>
      <c r="J351" s="36" t="e">
        <f>IF(B351&lt;&gt;0,VLOOKUP(B351,#REF!,4,FALSE),"")</f>
        <v>#REF!</v>
      </c>
      <c r="K351" s="374" t="s">
        <v>1836</v>
      </c>
      <c r="L351" s="362">
        <f t="shared" si="201"/>
        <v>284.20599999999996</v>
      </c>
      <c r="M351" s="36"/>
      <c r="N351" s="37" t="e">
        <f>IF(B351&lt;&gt;0,VLOOKUP(B351,#REF!,2,FALSE),"")</f>
        <v>#REF!</v>
      </c>
      <c r="AY351" s="21"/>
      <c r="AZ351" s="481"/>
      <c r="BA351" s="481"/>
      <c r="BB351" s="481"/>
      <c r="BC351" s="481"/>
      <c r="BD351" s="163">
        <f t="shared" si="195"/>
        <v>6.09</v>
      </c>
      <c r="BE351" s="163">
        <f t="shared" si="202"/>
        <v>7.72</v>
      </c>
      <c r="BF351" s="163">
        <f t="shared" si="198"/>
        <v>401.44</v>
      </c>
    </row>
    <row r="352" spans="1:58" ht="60">
      <c r="A352" s="23" t="s">
        <v>924</v>
      </c>
      <c r="B352" s="24">
        <v>89726</v>
      </c>
      <c r="C352" s="23" t="s">
        <v>1642</v>
      </c>
      <c r="D352" s="25" t="s">
        <v>12</v>
      </c>
      <c r="E352" s="25" t="s">
        <v>17</v>
      </c>
      <c r="F352" s="26">
        <v>26</v>
      </c>
      <c r="G352" s="26">
        <f t="shared" si="199"/>
        <v>4.7089999999999996</v>
      </c>
      <c r="H352" s="26">
        <f t="shared" si="196"/>
        <v>5.97</v>
      </c>
      <c r="I352" s="26">
        <f t="shared" si="203"/>
        <v>155.22</v>
      </c>
      <c r="J352" s="36" t="e">
        <f>IF(B352&lt;&gt;0,VLOOKUP(B352,#REF!,4,FALSE),"")</f>
        <v>#REF!</v>
      </c>
      <c r="K352" s="374" t="s">
        <v>1905</v>
      </c>
      <c r="L352" s="362">
        <f t="shared" si="201"/>
        <v>122.434</v>
      </c>
      <c r="M352" s="36"/>
      <c r="N352" s="37" t="e">
        <f>IF(B352&lt;&gt;0,VLOOKUP(B352,#REF!,2,FALSE),"")</f>
        <v>#REF!</v>
      </c>
      <c r="AY352" s="21"/>
      <c r="AZ352" s="481"/>
      <c r="BA352" s="481"/>
      <c r="BB352" s="481"/>
      <c r="BC352" s="481"/>
      <c r="BD352" s="163">
        <f t="shared" si="195"/>
        <v>5.25</v>
      </c>
      <c r="BE352" s="163">
        <f t="shared" si="202"/>
        <v>6.66</v>
      </c>
      <c r="BF352" s="163">
        <f t="shared" si="198"/>
        <v>173.16</v>
      </c>
    </row>
    <row r="353" spans="1:58" s="28" customFormat="1" ht="30">
      <c r="A353" s="23" t="s">
        <v>925</v>
      </c>
      <c r="B353" s="25" t="s">
        <v>2210</v>
      </c>
      <c r="C353" s="23" t="s">
        <v>146</v>
      </c>
      <c r="D353" s="25" t="s">
        <v>70</v>
      </c>
      <c r="E353" s="25" t="s">
        <v>17</v>
      </c>
      <c r="F353" s="26">
        <v>26</v>
      </c>
      <c r="G353" s="26">
        <f t="shared" si="199"/>
        <v>33.855499999999999</v>
      </c>
      <c r="H353" s="26">
        <f t="shared" si="196"/>
        <v>42.93</v>
      </c>
      <c r="I353" s="26">
        <f t="shared" ref="I353" si="204">ROUND(H353*F353,2)</f>
        <v>1116.18</v>
      </c>
      <c r="J353" s="36">
        <f>'COMPOSIÇÃO DE CUSTOS'!G702</f>
        <v>33.86</v>
      </c>
      <c r="K353" s="374">
        <v>39.83</v>
      </c>
      <c r="L353" s="362">
        <f t="shared" si="201"/>
        <v>880.24299999999994</v>
      </c>
      <c r="M353" s="36"/>
      <c r="N353" s="37"/>
      <c r="AY353" s="370"/>
      <c r="AZ353" s="481"/>
      <c r="BA353" s="481"/>
      <c r="BB353" s="481"/>
      <c r="BC353" s="481"/>
      <c r="BD353" s="163">
        <f t="shared" si="195"/>
        <v>37.72</v>
      </c>
      <c r="BE353" s="163">
        <f t="shared" si="202"/>
        <v>47.83</v>
      </c>
      <c r="BF353" s="163">
        <f t="shared" si="198"/>
        <v>1243.58</v>
      </c>
    </row>
    <row r="354" spans="1:58" s="28" customFormat="1">
      <c r="A354" s="23" t="s">
        <v>926</v>
      </c>
      <c r="B354" s="24">
        <v>145683</v>
      </c>
      <c r="C354" s="23" t="s">
        <v>147</v>
      </c>
      <c r="D354" s="25" t="s">
        <v>1915</v>
      </c>
      <c r="E354" s="25" t="s">
        <v>17</v>
      </c>
      <c r="F354" s="26">
        <v>6</v>
      </c>
      <c r="G354" s="26">
        <f t="shared" si="199"/>
        <v>21.819500000000001</v>
      </c>
      <c r="H354" s="26">
        <f t="shared" si="196"/>
        <v>27.67</v>
      </c>
      <c r="I354" s="26">
        <f t="shared" ref="I354" si="205">ROUND(H354*F354,2)</f>
        <v>166.02</v>
      </c>
      <c r="J354" s="36">
        <f>'COMPOSIÇÃO DE CUSTOS'!G711</f>
        <v>21.81</v>
      </c>
      <c r="K354" s="374">
        <v>25.67</v>
      </c>
      <c r="L354" s="362">
        <f t="shared" si="201"/>
        <v>130.917</v>
      </c>
      <c r="M354" s="36"/>
      <c r="N354" s="37"/>
      <c r="AY354" s="370"/>
      <c r="AZ354" s="481"/>
      <c r="BA354" s="481"/>
      <c r="BB354" s="481"/>
      <c r="BC354" s="481"/>
      <c r="BD354" s="163">
        <f t="shared" si="195"/>
        <v>24.31</v>
      </c>
      <c r="BE354" s="163">
        <f t="shared" si="202"/>
        <v>30.83</v>
      </c>
      <c r="BF354" s="163">
        <f t="shared" si="198"/>
        <v>184.98</v>
      </c>
    </row>
    <row r="355" spans="1:58" s="28" customFormat="1" ht="60">
      <c r="A355" s="23" t="s">
        <v>927</v>
      </c>
      <c r="B355" s="24">
        <v>89784</v>
      </c>
      <c r="C355" s="23" t="s">
        <v>1643</v>
      </c>
      <c r="D355" s="25" t="s">
        <v>12</v>
      </c>
      <c r="E355" s="25" t="s">
        <v>17</v>
      </c>
      <c r="F355" s="26">
        <v>100</v>
      </c>
      <c r="G355" s="26">
        <f t="shared" si="199"/>
        <v>13.9145</v>
      </c>
      <c r="H355" s="26">
        <f t="shared" si="196"/>
        <v>17.64</v>
      </c>
      <c r="I355" s="26">
        <f t="shared" ref="I355" si="206">ROUND(H355*F355,2)</f>
        <v>1764</v>
      </c>
      <c r="J355" s="36" t="e">
        <f>IF(B355&lt;&gt;0,VLOOKUP(B355,#REF!,4,FALSE),"")</f>
        <v>#REF!</v>
      </c>
      <c r="K355" s="374" t="s">
        <v>1883</v>
      </c>
      <c r="L355" s="362">
        <f t="shared" si="201"/>
        <v>1391.45</v>
      </c>
      <c r="M355" s="36"/>
      <c r="N355" s="37" t="e">
        <f>IF(B355&lt;&gt;0,VLOOKUP(B355,#REF!,2,FALSE),"")</f>
        <v>#REF!</v>
      </c>
      <c r="AY355" s="370"/>
      <c r="AZ355" s="481"/>
      <c r="BA355" s="481"/>
      <c r="BB355" s="481"/>
      <c r="BC355" s="481"/>
      <c r="BD355" s="163">
        <f t="shared" si="195"/>
        <v>15.5</v>
      </c>
      <c r="BE355" s="163">
        <f t="shared" si="202"/>
        <v>19.66</v>
      </c>
      <c r="BF355" s="163">
        <f t="shared" si="198"/>
        <v>1966</v>
      </c>
    </row>
    <row r="356" spans="1:58" ht="60">
      <c r="A356" s="23" t="s">
        <v>928</v>
      </c>
      <c r="B356" s="24">
        <v>89677</v>
      </c>
      <c r="C356" s="23" t="s">
        <v>1644</v>
      </c>
      <c r="D356" s="25" t="s">
        <v>12</v>
      </c>
      <c r="E356" s="25" t="s">
        <v>17</v>
      </c>
      <c r="F356" s="26">
        <v>11</v>
      </c>
      <c r="G356" s="26">
        <f t="shared" si="199"/>
        <v>49.146999999999998</v>
      </c>
      <c r="H356" s="26">
        <f t="shared" si="196"/>
        <v>62.32</v>
      </c>
      <c r="I356" s="26">
        <f t="shared" ref="I356" si="207">ROUND(H356*F356,2)</f>
        <v>685.52</v>
      </c>
      <c r="J356" s="36" t="e">
        <f>IF(B356&lt;&gt;0,VLOOKUP(B356,#REF!,4,FALSE),"")</f>
        <v>#REF!</v>
      </c>
      <c r="K356" s="374" t="s">
        <v>3183</v>
      </c>
      <c r="L356" s="362">
        <f t="shared" si="201"/>
        <v>540.61699999999996</v>
      </c>
      <c r="M356" s="36"/>
      <c r="N356" s="37" t="e">
        <f>IF(B356&lt;&gt;0,VLOOKUP(B356,#REF!,2,FALSE),"")</f>
        <v>#REF!</v>
      </c>
      <c r="AY356" s="21"/>
      <c r="AZ356" s="481"/>
      <c r="BA356" s="481"/>
      <c r="BB356" s="481"/>
      <c r="BC356" s="481"/>
      <c r="BD356" s="163">
        <f t="shared" si="195"/>
        <v>54.75</v>
      </c>
      <c r="BE356" s="163">
        <f t="shared" si="202"/>
        <v>69.430000000000007</v>
      </c>
      <c r="BF356" s="163">
        <f t="shared" si="198"/>
        <v>763.73</v>
      </c>
    </row>
    <row r="357" spans="1:58" ht="60">
      <c r="A357" s="23" t="s">
        <v>929</v>
      </c>
      <c r="B357" s="24">
        <v>89856</v>
      </c>
      <c r="C357" s="23" t="s">
        <v>1645</v>
      </c>
      <c r="D357" s="25" t="s">
        <v>12</v>
      </c>
      <c r="E357" s="25" t="s">
        <v>17</v>
      </c>
      <c r="F357" s="26">
        <v>7</v>
      </c>
      <c r="G357" s="26">
        <f t="shared" si="199"/>
        <v>12.835000000000001</v>
      </c>
      <c r="H357" s="26">
        <f t="shared" si="196"/>
        <v>16.28</v>
      </c>
      <c r="I357" s="26">
        <f t="shared" ref="I357:I360" si="208">ROUND(H357*F357,2)</f>
        <v>113.96</v>
      </c>
      <c r="J357" s="36" t="e">
        <f>IF(B357&lt;&gt;0,VLOOKUP(B357,#REF!,4,FALSE),"")</f>
        <v>#REF!</v>
      </c>
      <c r="K357" s="374" t="s">
        <v>3239</v>
      </c>
      <c r="L357" s="362">
        <f t="shared" si="201"/>
        <v>89.844999999999999</v>
      </c>
      <c r="M357" s="36"/>
      <c r="N357" s="37" t="e">
        <f>IF(B357&lt;&gt;0,VLOOKUP(B357,#REF!,2,FALSE),"")</f>
        <v>#REF!</v>
      </c>
      <c r="AY357" s="21"/>
      <c r="AZ357" s="481"/>
      <c r="BA357" s="481"/>
      <c r="BB357" s="481"/>
      <c r="BC357" s="481"/>
      <c r="BD357" s="163">
        <f t="shared" si="195"/>
        <v>14.3</v>
      </c>
      <c r="BE357" s="163">
        <f t="shared" si="202"/>
        <v>18.13</v>
      </c>
      <c r="BF357" s="163">
        <f t="shared" si="198"/>
        <v>126.91</v>
      </c>
    </row>
    <row r="358" spans="1:58" ht="60">
      <c r="A358" s="23" t="s">
        <v>930</v>
      </c>
      <c r="B358" s="24">
        <v>89813</v>
      </c>
      <c r="C358" s="23" t="s">
        <v>1646</v>
      </c>
      <c r="D358" s="25" t="s">
        <v>12</v>
      </c>
      <c r="E358" s="25" t="s">
        <v>17</v>
      </c>
      <c r="F358" s="26">
        <v>4</v>
      </c>
      <c r="G358" s="26">
        <f t="shared" si="199"/>
        <v>5.0065</v>
      </c>
      <c r="H358" s="26">
        <f t="shared" si="196"/>
        <v>6.35</v>
      </c>
      <c r="I358" s="26">
        <f t="shared" si="208"/>
        <v>25.4</v>
      </c>
      <c r="J358" s="36" t="e">
        <f>IF(B358&lt;&gt;0,VLOOKUP(B358,#REF!,4,FALSE),"")</f>
        <v>#REF!</v>
      </c>
      <c r="K358" s="374" t="s">
        <v>3126</v>
      </c>
      <c r="L358" s="362">
        <f t="shared" si="201"/>
        <v>20.026</v>
      </c>
      <c r="M358" s="36"/>
      <c r="N358" s="37" t="e">
        <f>IF(B358&lt;&gt;0,VLOOKUP(B358,#REF!,2,FALSE),"")</f>
        <v>#REF!</v>
      </c>
      <c r="AY358" s="21"/>
      <c r="AZ358" s="481"/>
      <c r="BA358" s="481"/>
      <c r="BB358" s="481"/>
      <c r="BC358" s="481"/>
      <c r="BD358" s="163">
        <f t="shared" si="195"/>
        <v>5.58</v>
      </c>
      <c r="BE358" s="163">
        <f t="shared" si="202"/>
        <v>7.08</v>
      </c>
      <c r="BF358" s="163">
        <f t="shared" si="198"/>
        <v>28.32</v>
      </c>
    </row>
    <row r="359" spans="1:58" ht="60">
      <c r="A359" s="23" t="s">
        <v>931</v>
      </c>
      <c r="B359" s="24">
        <v>89752</v>
      </c>
      <c r="C359" s="23" t="s">
        <v>1647</v>
      </c>
      <c r="D359" s="25" t="s">
        <v>12</v>
      </c>
      <c r="E359" s="25" t="s">
        <v>17</v>
      </c>
      <c r="F359" s="26">
        <v>5</v>
      </c>
      <c r="G359" s="26">
        <f t="shared" si="199"/>
        <v>4.0970000000000004</v>
      </c>
      <c r="H359" s="26">
        <f t="shared" si="196"/>
        <v>5.2</v>
      </c>
      <c r="I359" s="26">
        <f t="shared" si="208"/>
        <v>26</v>
      </c>
      <c r="J359" s="36" t="e">
        <f>IF(B359&lt;&gt;0,VLOOKUP(B359,#REF!,4,FALSE),"")</f>
        <v>#REF!</v>
      </c>
      <c r="K359" s="374" t="s">
        <v>1863</v>
      </c>
      <c r="L359" s="362">
        <f t="shared" si="201"/>
        <v>20.485000000000003</v>
      </c>
      <c r="M359" s="36"/>
      <c r="N359" s="37" t="e">
        <f>IF(B359&lt;&gt;0,VLOOKUP(B359,#REF!,2,FALSE),"")</f>
        <v>#REF!</v>
      </c>
      <c r="AY359" s="21"/>
      <c r="AZ359" s="481"/>
      <c r="BA359" s="481"/>
      <c r="BB359" s="481"/>
      <c r="BC359" s="481"/>
      <c r="BD359" s="163">
        <f t="shared" si="195"/>
        <v>4.5599999999999996</v>
      </c>
      <c r="BE359" s="163">
        <f t="shared" si="202"/>
        <v>5.78</v>
      </c>
      <c r="BF359" s="163">
        <f t="shared" si="198"/>
        <v>28.9</v>
      </c>
    </row>
    <row r="360" spans="1:58" ht="45">
      <c r="A360" s="23" t="s">
        <v>932</v>
      </c>
      <c r="B360" s="24">
        <v>89798</v>
      </c>
      <c r="C360" s="23" t="s">
        <v>1629</v>
      </c>
      <c r="D360" s="25" t="s">
        <v>12</v>
      </c>
      <c r="E360" s="25" t="s">
        <v>52</v>
      </c>
      <c r="F360" s="26">
        <v>11</v>
      </c>
      <c r="G360" s="26">
        <f t="shared" si="199"/>
        <v>8.84</v>
      </c>
      <c r="H360" s="26">
        <f t="shared" si="196"/>
        <v>11.21</v>
      </c>
      <c r="I360" s="26">
        <f t="shared" si="208"/>
        <v>123.31</v>
      </c>
      <c r="J360" s="36" t="e">
        <f>IF(B360&lt;&gt;0,VLOOKUP(B360,#REF!,4,FALSE),"")</f>
        <v>#REF!</v>
      </c>
      <c r="K360" s="374" t="s">
        <v>1909</v>
      </c>
      <c r="L360" s="362">
        <f t="shared" si="201"/>
        <v>97.24</v>
      </c>
      <c r="M360" s="36"/>
      <c r="N360" s="37" t="e">
        <f>IF(B360&lt;&gt;0,VLOOKUP(B360,#REF!,2,FALSE),"")</f>
        <v>#REF!</v>
      </c>
      <c r="AY360" s="21"/>
      <c r="AZ360" s="481"/>
      <c r="BA360" s="481"/>
      <c r="BB360" s="481"/>
      <c r="BC360" s="481"/>
      <c r="BD360" s="163">
        <f t="shared" si="195"/>
        <v>9.85</v>
      </c>
      <c r="BE360" s="163">
        <f t="shared" si="202"/>
        <v>12.49</v>
      </c>
      <c r="BF360" s="163">
        <f t="shared" si="198"/>
        <v>137.38999999999999</v>
      </c>
    </row>
    <row r="361" spans="1:58" ht="60">
      <c r="A361" s="23" t="s">
        <v>933</v>
      </c>
      <c r="B361" s="24">
        <v>89782</v>
      </c>
      <c r="C361" s="23" t="s">
        <v>1648</v>
      </c>
      <c r="D361" s="25" t="s">
        <v>12</v>
      </c>
      <c r="E361" s="25" t="s">
        <v>17</v>
      </c>
      <c r="F361" s="26">
        <v>4</v>
      </c>
      <c r="G361" s="26">
        <f t="shared" si="199"/>
        <v>7.8370000000000006</v>
      </c>
      <c r="H361" s="26">
        <f t="shared" si="196"/>
        <v>9.94</v>
      </c>
      <c r="I361" s="26">
        <f t="shared" ref="I361:I363" si="209">ROUND(H361*F361,2)</f>
        <v>39.76</v>
      </c>
      <c r="J361" s="36" t="e">
        <f>IF(B361&lt;&gt;0,VLOOKUP(B361,#REF!,4,FALSE),"")</f>
        <v>#REF!</v>
      </c>
      <c r="K361" s="374" t="s">
        <v>1885</v>
      </c>
      <c r="L361" s="362">
        <f t="shared" si="201"/>
        <v>31.348000000000003</v>
      </c>
      <c r="M361" s="36"/>
      <c r="N361" s="37" t="e">
        <f>IF(B361&lt;&gt;0,VLOOKUP(B361,#REF!,2,FALSE),"")</f>
        <v>#REF!</v>
      </c>
      <c r="AY361" s="21"/>
      <c r="AZ361" s="481"/>
      <c r="BA361" s="481"/>
      <c r="BB361" s="481"/>
      <c r="BC361" s="481"/>
      <c r="BD361" s="163">
        <f t="shared" si="195"/>
        <v>8.73</v>
      </c>
      <c r="BE361" s="163">
        <f t="shared" si="202"/>
        <v>11.07</v>
      </c>
      <c r="BF361" s="163">
        <f t="shared" si="198"/>
        <v>44.28</v>
      </c>
    </row>
    <row r="362" spans="1:58" ht="60">
      <c r="A362" s="23" t="s">
        <v>934</v>
      </c>
      <c r="B362" s="24">
        <v>89829</v>
      </c>
      <c r="C362" s="23" t="s">
        <v>1649</v>
      </c>
      <c r="D362" s="25" t="s">
        <v>12</v>
      </c>
      <c r="E362" s="25" t="s">
        <v>17</v>
      </c>
      <c r="F362" s="26">
        <v>20</v>
      </c>
      <c r="G362" s="26">
        <f t="shared" si="199"/>
        <v>19.456500000000002</v>
      </c>
      <c r="H362" s="26">
        <f t="shared" si="196"/>
        <v>24.67</v>
      </c>
      <c r="I362" s="26">
        <f t="shared" si="209"/>
        <v>493.4</v>
      </c>
      <c r="J362" s="36" t="e">
        <f>IF(B362&lt;&gt;0,VLOOKUP(B362,#REF!,4,FALSE),"")</f>
        <v>#REF!</v>
      </c>
      <c r="K362" s="374" t="s">
        <v>3102</v>
      </c>
      <c r="L362" s="362">
        <f t="shared" si="201"/>
        <v>389.13000000000005</v>
      </c>
      <c r="M362" s="36"/>
      <c r="N362" s="37" t="e">
        <f>IF(B362&lt;&gt;0,VLOOKUP(B362,#REF!,2,FALSE),"")</f>
        <v>#REF!</v>
      </c>
      <c r="AY362" s="21"/>
      <c r="AZ362" s="481"/>
      <c r="BA362" s="481"/>
      <c r="BB362" s="481"/>
      <c r="BC362" s="481"/>
      <c r="BD362" s="163">
        <f t="shared" si="195"/>
        <v>21.67</v>
      </c>
      <c r="BE362" s="163">
        <f t="shared" si="202"/>
        <v>27.48</v>
      </c>
      <c r="BF362" s="163">
        <f t="shared" si="198"/>
        <v>549.6</v>
      </c>
    </row>
    <row r="363" spans="1:58" ht="60">
      <c r="A363" s="23" t="s">
        <v>935</v>
      </c>
      <c r="B363" s="24">
        <v>89833</v>
      </c>
      <c r="C363" s="23" t="s">
        <v>1650</v>
      </c>
      <c r="D363" s="25" t="s">
        <v>12</v>
      </c>
      <c r="E363" s="25" t="s">
        <v>17</v>
      </c>
      <c r="F363" s="26">
        <v>33</v>
      </c>
      <c r="G363" s="26">
        <f t="shared" si="199"/>
        <v>23.97</v>
      </c>
      <c r="H363" s="26">
        <f t="shared" si="196"/>
        <v>30.4</v>
      </c>
      <c r="I363" s="26">
        <f t="shared" si="209"/>
        <v>1003.2</v>
      </c>
      <c r="J363" s="36" t="e">
        <f>IF(B363&lt;&gt;0,VLOOKUP(B363,#REF!,4,FALSE),"")</f>
        <v>#REF!</v>
      </c>
      <c r="K363" s="374" t="s">
        <v>3152</v>
      </c>
      <c r="L363" s="362">
        <f t="shared" si="201"/>
        <v>791.01</v>
      </c>
      <c r="M363" s="36"/>
      <c r="N363" s="37" t="e">
        <f>IF(B363&lt;&gt;0,VLOOKUP(B363,#REF!,2,FALSE),"")</f>
        <v>#REF!</v>
      </c>
      <c r="AY363" s="21"/>
      <c r="AZ363" s="481"/>
      <c r="BA363" s="481"/>
      <c r="BB363" s="481"/>
      <c r="BC363" s="481"/>
      <c r="BD363" s="163">
        <f t="shared" si="195"/>
        <v>26.7</v>
      </c>
      <c r="BE363" s="163">
        <f t="shared" si="202"/>
        <v>33.86</v>
      </c>
      <c r="BF363" s="163">
        <f t="shared" si="198"/>
        <v>1117.3800000000001</v>
      </c>
    </row>
    <row r="364" spans="1:58" s="62" customFormat="1" ht="60">
      <c r="A364" s="23" t="s">
        <v>936</v>
      </c>
      <c r="B364" s="25" t="s">
        <v>2123</v>
      </c>
      <c r="C364" s="23" t="s">
        <v>148</v>
      </c>
      <c r="D364" s="25" t="s">
        <v>1915</v>
      </c>
      <c r="E364" s="25" t="s">
        <v>17</v>
      </c>
      <c r="F364" s="26">
        <v>6</v>
      </c>
      <c r="G364" s="26">
        <f t="shared" si="199"/>
        <v>23.442999999999998</v>
      </c>
      <c r="H364" s="26">
        <f t="shared" si="196"/>
        <v>29.73</v>
      </c>
      <c r="I364" s="26">
        <f t="shared" ref="I364" si="210">ROUND(H364*F364,2)</f>
        <v>178.38</v>
      </c>
      <c r="J364" s="64">
        <f>'COMPOSIÇÃO DE CUSTOS'!G721</f>
        <v>23.44</v>
      </c>
      <c r="K364" s="362">
        <v>27.58</v>
      </c>
      <c r="L364" s="362">
        <f t="shared" si="201"/>
        <v>140.65799999999999</v>
      </c>
      <c r="M364" s="64"/>
      <c r="N364" s="65" t="e">
        <f>IF(B364&lt;&gt;0,VLOOKUP(B364,#REF!,2,FALSE),"")</f>
        <v>#REF!</v>
      </c>
      <c r="AY364" s="221"/>
      <c r="AZ364" s="481"/>
      <c r="BA364" s="481"/>
      <c r="BB364" s="481"/>
      <c r="BC364" s="481"/>
      <c r="BD364" s="163">
        <f t="shared" si="195"/>
        <v>26.12</v>
      </c>
      <c r="BE364" s="163">
        <f t="shared" si="202"/>
        <v>33.119999999999997</v>
      </c>
      <c r="BF364" s="163">
        <f t="shared" si="198"/>
        <v>198.72</v>
      </c>
    </row>
    <row r="365" spans="1:58" s="62" customFormat="1" ht="60">
      <c r="A365" s="23" t="s">
        <v>937</v>
      </c>
      <c r="B365" s="25" t="s">
        <v>2124</v>
      </c>
      <c r="C365" s="23" t="s">
        <v>1651</v>
      </c>
      <c r="D365" s="25" t="s">
        <v>1915</v>
      </c>
      <c r="E365" s="25" t="s">
        <v>17</v>
      </c>
      <c r="F365" s="26">
        <v>6</v>
      </c>
      <c r="G365" s="26">
        <f t="shared" si="199"/>
        <v>19.277999999999999</v>
      </c>
      <c r="H365" s="26">
        <f t="shared" si="196"/>
        <v>24.45</v>
      </c>
      <c r="I365" s="26">
        <f t="shared" ref="I365:I366" si="211">ROUND(H365*F365,2)</f>
        <v>146.69999999999999</v>
      </c>
      <c r="J365" s="64">
        <f>'COMPOSIÇÃO DE CUSTOS'!G730</f>
        <v>19.27</v>
      </c>
      <c r="K365" s="362">
        <v>22.68</v>
      </c>
      <c r="L365" s="362">
        <f t="shared" si="201"/>
        <v>115.66799999999999</v>
      </c>
      <c r="M365" s="64"/>
      <c r="N365" s="65"/>
      <c r="AY365" s="221"/>
      <c r="AZ365" s="481"/>
      <c r="BA365" s="481"/>
      <c r="BB365" s="481"/>
      <c r="BC365" s="481"/>
      <c r="BD365" s="163">
        <f t="shared" si="195"/>
        <v>21.48</v>
      </c>
      <c r="BE365" s="163">
        <f t="shared" si="202"/>
        <v>27.24</v>
      </c>
      <c r="BF365" s="163">
        <f t="shared" si="198"/>
        <v>163.44</v>
      </c>
    </row>
    <row r="366" spans="1:58" s="62" customFormat="1" ht="60">
      <c r="A366" s="23" t="s">
        <v>938</v>
      </c>
      <c r="B366" s="25" t="s">
        <v>2125</v>
      </c>
      <c r="C366" s="23" t="s">
        <v>1652</v>
      </c>
      <c r="D366" s="25" t="s">
        <v>1915</v>
      </c>
      <c r="E366" s="25" t="s">
        <v>17</v>
      </c>
      <c r="F366" s="26">
        <v>12</v>
      </c>
      <c r="G366" s="26">
        <f t="shared" si="199"/>
        <v>64.61699999999999</v>
      </c>
      <c r="H366" s="26">
        <f t="shared" si="196"/>
        <v>81.94</v>
      </c>
      <c r="I366" s="26">
        <f t="shared" si="211"/>
        <v>983.28</v>
      </c>
      <c r="J366" s="64">
        <f>'COMPOSIÇÃO DE CUSTOS'!G739</f>
        <v>64.61</v>
      </c>
      <c r="K366" s="362">
        <v>76.02</v>
      </c>
      <c r="L366" s="362">
        <f t="shared" si="201"/>
        <v>775.40399999999988</v>
      </c>
      <c r="M366" s="64"/>
      <c r="N366" s="65" t="e">
        <f>IF(B366&lt;&gt;0,VLOOKUP(B366,#REF!,2,FALSE),"")</f>
        <v>#REF!</v>
      </c>
      <c r="AY366" s="221"/>
      <c r="AZ366" s="481"/>
      <c r="BA366" s="481"/>
      <c r="BB366" s="481"/>
      <c r="BC366" s="481"/>
      <c r="BD366" s="163">
        <f t="shared" si="195"/>
        <v>71.98</v>
      </c>
      <c r="BE366" s="163">
        <f t="shared" si="202"/>
        <v>91.28</v>
      </c>
      <c r="BF366" s="163">
        <f t="shared" si="198"/>
        <v>1095.3599999999999</v>
      </c>
    </row>
    <row r="367" spans="1:58" s="62" customFormat="1" ht="30">
      <c r="A367" s="23" t="s">
        <v>939</v>
      </c>
      <c r="B367" s="24">
        <v>1208</v>
      </c>
      <c r="C367" s="23" t="s">
        <v>149</v>
      </c>
      <c r="D367" s="25" t="s">
        <v>44</v>
      </c>
      <c r="E367" s="25" t="s">
        <v>17</v>
      </c>
      <c r="F367" s="26">
        <v>20</v>
      </c>
      <c r="G367" s="26">
        <f t="shared" si="199"/>
        <v>51.186999999999998</v>
      </c>
      <c r="H367" s="26">
        <f t="shared" si="196"/>
        <v>64.91</v>
      </c>
      <c r="I367" s="26">
        <f t="shared" ref="I367:I370" si="212">ROUND(H367*F367,2)</f>
        <v>1298.2</v>
      </c>
      <c r="J367" s="64">
        <f>'COMPOSIÇÃO DE CUSTOS'!G748</f>
        <v>51.2</v>
      </c>
      <c r="K367" s="362">
        <v>60.22</v>
      </c>
      <c r="L367" s="362">
        <f t="shared" si="201"/>
        <v>1023.74</v>
      </c>
      <c r="M367" s="64"/>
      <c r="N367" s="65"/>
      <c r="AY367" s="221"/>
      <c r="AZ367" s="481"/>
      <c r="BA367" s="481"/>
      <c r="BB367" s="481"/>
      <c r="BC367" s="481"/>
      <c r="BD367" s="163">
        <f t="shared" si="195"/>
        <v>57.02</v>
      </c>
      <c r="BE367" s="163">
        <f t="shared" si="202"/>
        <v>72.31</v>
      </c>
      <c r="BF367" s="163">
        <f t="shared" si="198"/>
        <v>1446.2</v>
      </c>
    </row>
    <row r="368" spans="1:58" ht="45">
      <c r="A368" s="23" t="s">
        <v>940</v>
      </c>
      <c r="B368" s="24">
        <v>1582</v>
      </c>
      <c r="C368" s="23" t="s">
        <v>150</v>
      </c>
      <c r="D368" s="25" t="s">
        <v>44</v>
      </c>
      <c r="E368" s="25" t="s">
        <v>17</v>
      </c>
      <c r="F368" s="26">
        <v>19</v>
      </c>
      <c r="G368" s="26">
        <f t="shared" si="199"/>
        <v>12.6905</v>
      </c>
      <c r="H368" s="26">
        <f t="shared" si="196"/>
        <v>16.09</v>
      </c>
      <c r="I368" s="26">
        <f t="shared" si="212"/>
        <v>305.70999999999998</v>
      </c>
      <c r="J368" s="38">
        <f>'COMPOSIÇÃO DE CUSTOS'!G757</f>
        <v>12.68</v>
      </c>
      <c r="K368" s="375">
        <v>14.93</v>
      </c>
      <c r="L368" s="362">
        <f t="shared" si="201"/>
        <v>241.11950000000002</v>
      </c>
      <c r="M368" s="38"/>
      <c r="N368" s="35"/>
      <c r="AY368" s="21"/>
      <c r="AZ368" s="481"/>
      <c r="BA368" s="481"/>
      <c r="BB368" s="481"/>
      <c r="BC368" s="481"/>
      <c r="BD368" s="163">
        <f t="shared" si="195"/>
        <v>14.14</v>
      </c>
      <c r="BE368" s="163">
        <f t="shared" si="202"/>
        <v>17.93</v>
      </c>
      <c r="BF368" s="163">
        <f t="shared" si="198"/>
        <v>340.67</v>
      </c>
    </row>
    <row r="369" spans="1:58" ht="30">
      <c r="A369" s="23" t="s">
        <v>941</v>
      </c>
      <c r="B369" s="25" t="s">
        <v>2135</v>
      </c>
      <c r="C369" s="23" t="s">
        <v>151</v>
      </c>
      <c r="D369" s="25" t="s">
        <v>70</v>
      </c>
      <c r="E369" s="25" t="s">
        <v>17</v>
      </c>
      <c r="F369" s="26">
        <v>8</v>
      </c>
      <c r="G369" s="26">
        <f t="shared" si="199"/>
        <v>13.123999999999999</v>
      </c>
      <c r="H369" s="26">
        <f t="shared" si="196"/>
        <v>16.64</v>
      </c>
      <c r="I369" s="26">
        <f t="shared" si="212"/>
        <v>133.12</v>
      </c>
      <c r="J369" s="38">
        <f>'COMPOSIÇÃO DE CUSTOS'!G766</f>
        <v>13.13</v>
      </c>
      <c r="K369" s="375">
        <v>15.44</v>
      </c>
      <c r="L369" s="362">
        <f t="shared" si="201"/>
        <v>104.99199999999999</v>
      </c>
      <c r="M369" s="38"/>
      <c r="N369" s="35"/>
      <c r="AY369" s="21"/>
      <c r="AZ369" s="481"/>
      <c r="BA369" s="481"/>
      <c r="BB369" s="481"/>
      <c r="BC369" s="481"/>
      <c r="BD369" s="163">
        <f t="shared" si="195"/>
        <v>14.62</v>
      </c>
      <c r="BE369" s="163">
        <f t="shared" si="202"/>
        <v>18.54</v>
      </c>
      <c r="BF369" s="163">
        <f t="shared" si="198"/>
        <v>148.32</v>
      </c>
    </row>
    <row r="370" spans="1:58" ht="30">
      <c r="A370" s="23" t="s">
        <v>942</v>
      </c>
      <c r="B370" s="25" t="s">
        <v>2136</v>
      </c>
      <c r="C370" s="23" t="s">
        <v>152</v>
      </c>
      <c r="D370" s="25" t="s">
        <v>70</v>
      </c>
      <c r="E370" s="25" t="s">
        <v>17</v>
      </c>
      <c r="F370" s="26">
        <v>1</v>
      </c>
      <c r="G370" s="26">
        <f t="shared" si="199"/>
        <v>5.0999999999999996</v>
      </c>
      <c r="H370" s="26">
        <f t="shared" si="196"/>
        <v>6.47</v>
      </c>
      <c r="I370" s="26">
        <f t="shared" si="212"/>
        <v>6.47</v>
      </c>
      <c r="J370" s="38">
        <f>'COMPOSIÇÃO DE CUSTOS'!G775</f>
        <v>5.0999999999999996</v>
      </c>
      <c r="K370" s="375">
        <v>6</v>
      </c>
      <c r="L370" s="362">
        <f t="shared" si="201"/>
        <v>5.0999999999999996</v>
      </c>
      <c r="M370" s="38"/>
      <c r="N370" s="35"/>
      <c r="AY370" s="21"/>
      <c r="AZ370" s="481"/>
      <c r="BA370" s="481"/>
      <c r="BB370" s="481"/>
      <c r="BC370" s="481"/>
      <c r="BD370" s="163">
        <f t="shared" si="195"/>
        <v>5.68</v>
      </c>
      <c r="BE370" s="163">
        <f t="shared" si="202"/>
        <v>7.2</v>
      </c>
      <c r="BF370" s="163">
        <f t="shared" si="198"/>
        <v>7.2</v>
      </c>
    </row>
    <row r="371" spans="1:58" ht="15" customHeight="1">
      <c r="A371" s="356" t="s">
        <v>943</v>
      </c>
      <c r="B371" s="356"/>
      <c r="C371" s="356" t="s">
        <v>141</v>
      </c>
      <c r="D371" s="357"/>
      <c r="E371" s="357"/>
      <c r="F371" s="357"/>
      <c r="G371" s="26"/>
      <c r="H371" s="357"/>
      <c r="I371" s="96"/>
      <c r="J371" s="38"/>
      <c r="K371" s="375"/>
      <c r="L371" s="362">
        <f t="shared" si="201"/>
        <v>0</v>
      </c>
      <c r="M371" s="38"/>
      <c r="N371" s="35"/>
      <c r="AY371" s="21"/>
      <c r="AZ371" s="481"/>
      <c r="BA371" s="481"/>
      <c r="BB371" s="481"/>
      <c r="BC371" s="481"/>
      <c r="BD371" s="163"/>
      <c r="BE371" s="163"/>
      <c r="BF371" s="163"/>
    </row>
    <row r="372" spans="1:58" ht="90">
      <c r="A372" s="23" t="s">
        <v>944</v>
      </c>
      <c r="B372" s="25" t="s">
        <v>2118</v>
      </c>
      <c r="C372" s="23" t="s">
        <v>142</v>
      </c>
      <c r="D372" s="25" t="s">
        <v>1915</v>
      </c>
      <c r="E372" s="25" t="s">
        <v>17</v>
      </c>
      <c r="F372" s="26">
        <v>4</v>
      </c>
      <c r="G372" s="26">
        <f t="shared" si="199"/>
        <v>194.76900000000001</v>
      </c>
      <c r="H372" s="26">
        <f>ROUND(G372*(1+$J$14),2)</f>
        <v>246.99</v>
      </c>
      <c r="I372" s="26">
        <f t="shared" ref="I372:I374" si="213">ROUND(H372*F372,2)</f>
        <v>987.96</v>
      </c>
      <c r="J372" s="38">
        <f>'COMPOSIÇÃO DE CUSTOS'!G788</f>
        <v>194.75</v>
      </c>
      <c r="K372" s="375">
        <v>229.14</v>
      </c>
      <c r="L372" s="362">
        <f t="shared" si="201"/>
        <v>779.07600000000002</v>
      </c>
      <c r="M372" s="38"/>
      <c r="N372" s="35"/>
      <c r="AY372" s="21"/>
      <c r="AZ372" s="481"/>
      <c r="BA372" s="481"/>
      <c r="BB372" s="481"/>
      <c r="BC372" s="481"/>
      <c r="BD372" s="163">
        <f t="shared" si="195"/>
        <v>216.97</v>
      </c>
      <c r="BE372" s="163">
        <f t="shared" si="202"/>
        <v>275.14</v>
      </c>
      <c r="BF372" s="163">
        <f>ROUND(BE372*F372,2)</f>
        <v>1100.56</v>
      </c>
    </row>
    <row r="373" spans="1:58" ht="45">
      <c r="A373" s="23" t="s">
        <v>945</v>
      </c>
      <c r="B373" s="25" t="s">
        <v>2140</v>
      </c>
      <c r="C373" s="23" t="s">
        <v>153</v>
      </c>
      <c r="D373" s="25" t="s">
        <v>1915</v>
      </c>
      <c r="E373" s="25" t="s">
        <v>17</v>
      </c>
      <c r="F373" s="26">
        <v>3</v>
      </c>
      <c r="G373" s="26">
        <f t="shared" si="199"/>
        <v>337.12700000000001</v>
      </c>
      <c r="H373" s="26">
        <f>ROUND(G373*(1+$J$14),2)</f>
        <v>427.51</v>
      </c>
      <c r="I373" s="26">
        <f t="shared" si="213"/>
        <v>1282.53</v>
      </c>
      <c r="J373" s="38">
        <f>'COMPOSIÇÃO DE CUSTOS'!G796</f>
        <v>337.13</v>
      </c>
      <c r="K373" s="375">
        <v>396.62</v>
      </c>
      <c r="L373" s="362">
        <f t="shared" si="201"/>
        <v>1011.3810000000001</v>
      </c>
      <c r="M373" s="38"/>
      <c r="N373" s="35"/>
      <c r="AY373" s="21"/>
      <c r="AZ373" s="481"/>
      <c r="BA373" s="481"/>
      <c r="BB373" s="481"/>
      <c r="BC373" s="481"/>
      <c r="BD373" s="163">
        <f t="shared" si="195"/>
        <v>375.56</v>
      </c>
      <c r="BE373" s="163">
        <f t="shared" si="202"/>
        <v>476.25</v>
      </c>
      <c r="BF373" s="163">
        <f>ROUND(BE373*F373,2)</f>
        <v>1428.75</v>
      </c>
    </row>
    <row r="374" spans="1:58" ht="30">
      <c r="A374" s="23" t="s">
        <v>946</v>
      </c>
      <c r="B374" s="24">
        <v>522265</v>
      </c>
      <c r="C374" s="23" t="s">
        <v>154</v>
      </c>
      <c r="D374" s="25" t="s">
        <v>1915</v>
      </c>
      <c r="E374" s="25" t="s">
        <v>17</v>
      </c>
      <c r="F374" s="26">
        <v>22</v>
      </c>
      <c r="G374" s="26">
        <f t="shared" si="199"/>
        <v>6.63</v>
      </c>
      <c r="H374" s="26">
        <f>ROUND(G374*(1+$J$14),2)</f>
        <v>8.41</v>
      </c>
      <c r="I374" s="26">
        <f t="shared" si="213"/>
        <v>185.02</v>
      </c>
      <c r="J374" s="36">
        <f>'COMPOSIÇÃO DE CUSTOS'!G805</f>
        <v>6.63</v>
      </c>
      <c r="K374" s="374">
        <v>7.8</v>
      </c>
      <c r="L374" s="362">
        <f t="shared" si="201"/>
        <v>145.85999999999999</v>
      </c>
      <c r="M374" s="36"/>
      <c r="N374" s="35"/>
      <c r="AY374" s="21"/>
      <c r="AZ374" s="481"/>
      <c r="BA374" s="481"/>
      <c r="BB374" s="481"/>
      <c r="BC374" s="481"/>
      <c r="BD374" s="163">
        <f t="shared" si="195"/>
        <v>7.39</v>
      </c>
      <c r="BE374" s="163">
        <f t="shared" si="202"/>
        <v>9.3699999999999992</v>
      </c>
      <c r="BF374" s="163">
        <f>ROUND(BE374*F374,2)</f>
        <v>206.14</v>
      </c>
    </row>
    <row r="375" spans="1:58" ht="15" customHeight="1">
      <c r="A375" s="356" t="s">
        <v>947</v>
      </c>
      <c r="B375" s="356"/>
      <c r="C375" s="356" t="s">
        <v>155</v>
      </c>
      <c r="D375" s="357"/>
      <c r="E375" s="357"/>
      <c r="F375" s="357"/>
      <c r="G375" s="26"/>
      <c r="H375" s="357"/>
      <c r="I375" s="96"/>
      <c r="J375" s="38"/>
      <c r="K375" s="375"/>
      <c r="L375" s="362">
        <f t="shared" si="201"/>
        <v>0</v>
      </c>
      <c r="M375" s="38"/>
      <c r="N375" s="35"/>
      <c r="AY375" s="21"/>
      <c r="AZ375" s="481"/>
      <c r="BA375" s="481"/>
      <c r="BB375" s="481"/>
      <c r="BC375" s="481"/>
      <c r="BD375" s="163"/>
      <c r="BE375" s="163"/>
      <c r="BF375" s="163"/>
    </row>
    <row r="376" spans="1:58" s="62" customFormat="1" ht="15" customHeight="1">
      <c r="A376" s="356" t="s">
        <v>948</v>
      </c>
      <c r="B376" s="356"/>
      <c r="C376" s="356" t="s">
        <v>156</v>
      </c>
      <c r="D376" s="357"/>
      <c r="E376" s="357"/>
      <c r="F376" s="357"/>
      <c r="G376" s="26"/>
      <c r="H376" s="357"/>
      <c r="I376" s="96"/>
      <c r="J376" s="64"/>
      <c r="K376" s="362"/>
      <c r="L376" s="362">
        <f t="shared" si="201"/>
        <v>0</v>
      </c>
      <c r="M376" s="64"/>
      <c r="N376" s="65"/>
      <c r="AY376" s="221"/>
      <c r="AZ376" s="481"/>
      <c r="BA376" s="481"/>
      <c r="BB376" s="481"/>
      <c r="BC376" s="481"/>
      <c r="BD376" s="163"/>
      <c r="BE376" s="163"/>
      <c r="BF376" s="163"/>
    </row>
    <row r="377" spans="1:58" s="45" customFormat="1">
      <c r="A377" s="23" t="s">
        <v>949</v>
      </c>
      <c r="B377" s="25" t="s">
        <v>2148</v>
      </c>
      <c r="C377" s="23" t="s">
        <v>157</v>
      </c>
      <c r="D377" s="25" t="s">
        <v>70</v>
      </c>
      <c r="E377" s="25" t="s">
        <v>52</v>
      </c>
      <c r="F377" s="26">
        <v>85</v>
      </c>
      <c r="G377" s="26">
        <f t="shared" si="199"/>
        <v>177.2165</v>
      </c>
      <c r="H377" s="26">
        <f t="shared" ref="H377:H383" si="214">ROUND(G377*(1+$J$14),2)</f>
        <v>224.73</v>
      </c>
      <c r="I377" s="26">
        <f t="shared" ref="I377" si="215">ROUND(H377*F377,2)</f>
        <v>19102.05</v>
      </c>
      <c r="J377" s="49">
        <f>'COMPOSIÇÃO DE CUSTOS'!G817</f>
        <v>177.22</v>
      </c>
      <c r="K377" s="364">
        <v>208.49</v>
      </c>
      <c r="L377" s="362">
        <f t="shared" si="201"/>
        <v>15063.4025</v>
      </c>
      <c r="M377" s="49"/>
      <c r="N377" s="46"/>
      <c r="AY377" s="56"/>
      <c r="AZ377" s="481"/>
      <c r="BA377" s="481"/>
      <c r="BB377" s="481"/>
      <c r="BC377" s="481"/>
      <c r="BD377" s="163">
        <f t="shared" si="195"/>
        <v>197.42</v>
      </c>
      <c r="BE377" s="163">
        <f t="shared" si="202"/>
        <v>250.35</v>
      </c>
      <c r="BF377" s="163">
        <f t="shared" ref="BF377:BF383" si="216">ROUND(BE377*F377,2)</f>
        <v>21279.75</v>
      </c>
    </row>
    <row r="378" spans="1:58" s="62" customFormat="1" ht="45">
      <c r="A378" s="23" t="s">
        <v>950</v>
      </c>
      <c r="B378" s="25" t="s">
        <v>2149</v>
      </c>
      <c r="C378" s="23" t="s">
        <v>158</v>
      </c>
      <c r="D378" s="25" t="s">
        <v>70</v>
      </c>
      <c r="E378" s="25" t="s">
        <v>17</v>
      </c>
      <c r="F378" s="26">
        <v>13</v>
      </c>
      <c r="G378" s="26">
        <f t="shared" si="199"/>
        <v>575.22900000000004</v>
      </c>
      <c r="H378" s="26">
        <f t="shared" si="214"/>
        <v>729.45</v>
      </c>
      <c r="I378" s="26">
        <f t="shared" ref="I378:I383" si="217">ROUND(H378*F378,2)</f>
        <v>9482.85</v>
      </c>
      <c r="J378" s="64">
        <f>'COMPOSIÇÃO DE CUSTOS'!G836</f>
        <v>575.22</v>
      </c>
      <c r="K378" s="362">
        <v>676.74</v>
      </c>
      <c r="L378" s="362">
        <f t="shared" si="201"/>
        <v>7477.9770000000008</v>
      </c>
      <c r="M378" s="64"/>
      <c r="N378" s="65"/>
      <c r="AY378" s="221"/>
      <c r="AZ378" s="481"/>
      <c r="BA378" s="481"/>
      <c r="BB378" s="481"/>
      <c r="BC378" s="481"/>
      <c r="BD378" s="163">
        <f t="shared" si="195"/>
        <v>640.80999999999995</v>
      </c>
      <c r="BE378" s="163">
        <f t="shared" si="202"/>
        <v>812.61</v>
      </c>
      <c r="BF378" s="163">
        <f t="shared" si="216"/>
        <v>10563.93</v>
      </c>
    </row>
    <row r="379" spans="1:58" s="62" customFormat="1" ht="45">
      <c r="A379" s="23" t="s">
        <v>951</v>
      </c>
      <c r="B379" s="24">
        <v>238093</v>
      </c>
      <c r="C379" s="23" t="s">
        <v>159</v>
      </c>
      <c r="D379" s="25" t="s">
        <v>1915</v>
      </c>
      <c r="E379" s="25" t="s">
        <v>17</v>
      </c>
      <c r="F379" s="26">
        <v>2</v>
      </c>
      <c r="G379" s="26">
        <f t="shared" si="199"/>
        <v>350.625</v>
      </c>
      <c r="H379" s="26">
        <f t="shared" si="214"/>
        <v>444.63</v>
      </c>
      <c r="I379" s="26">
        <f t="shared" si="217"/>
        <v>889.26</v>
      </c>
      <c r="J379" s="64">
        <f>'COMPOSIÇÃO DE CUSTOS'!G845</f>
        <v>350.63</v>
      </c>
      <c r="K379" s="362">
        <v>412.5</v>
      </c>
      <c r="L379" s="362">
        <f t="shared" si="201"/>
        <v>701.25</v>
      </c>
      <c r="M379" s="64"/>
      <c r="N379" s="65"/>
      <c r="AY379" s="221"/>
      <c r="AZ379" s="481"/>
      <c r="BA379" s="481"/>
      <c r="BB379" s="481"/>
      <c r="BC379" s="481"/>
      <c r="BD379" s="163">
        <f t="shared" si="195"/>
        <v>390.6</v>
      </c>
      <c r="BE379" s="163">
        <f t="shared" si="202"/>
        <v>495.32</v>
      </c>
      <c r="BF379" s="163">
        <f t="shared" si="216"/>
        <v>990.64</v>
      </c>
    </row>
    <row r="380" spans="1:58" s="62" customFormat="1" ht="75">
      <c r="A380" s="23" t="s">
        <v>952</v>
      </c>
      <c r="B380" s="25" t="s">
        <v>2143</v>
      </c>
      <c r="C380" s="23" t="s">
        <v>160</v>
      </c>
      <c r="D380" s="25" t="s">
        <v>1915</v>
      </c>
      <c r="E380" s="25" t="s">
        <v>17</v>
      </c>
      <c r="F380" s="26">
        <v>14</v>
      </c>
      <c r="G380" s="26">
        <f t="shared" si="199"/>
        <v>343.80799999999999</v>
      </c>
      <c r="H380" s="26">
        <f t="shared" si="214"/>
        <v>435.98</v>
      </c>
      <c r="I380" s="26">
        <f t="shared" si="217"/>
        <v>6103.72</v>
      </c>
      <c r="J380" s="64">
        <f>'COMPOSIÇÃO DE CUSTOS'!G855</f>
        <v>343.79</v>
      </c>
      <c r="K380" s="362">
        <v>404.48</v>
      </c>
      <c r="L380" s="362">
        <f t="shared" si="201"/>
        <v>4813.3119999999999</v>
      </c>
      <c r="M380" s="64"/>
      <c r="N380" s="65" t="e">
        <f>IF(B380&lt;&gt;0,VLOOKUP(B380,#REF!,2,FALSE),"")</f>
        <v>#REF!</v>
      </c>
      <c r="AY380" s="221"/>
      <c r="AZ380" s="481"/>
      <c r="BA380" s="481"/>
      <c r="BB380" s="481"/>
      <c r="BC380" s="481"/>
      <c r="BD380" s="163">
        <f t="shared" si="195"/>
        <v>383</v>
      </c>
      <c r="BE380" s="163">
        <f t="shared" si="202"/>
        <v>485.68</v>
      </c>
      <c r="BF380" s="163">
        <f t="shared" si="216"/>
        <v>6799.52</v>
      </c>
    </row>
    <row r="381" spans="1:58" s="62" customFormat="1" ht="45">
      <c r="A381" s="23" t="s">
        <v>953</v>
      </c>
      <c r="B381" s="25" t="s">
        <v>2144</v>
      </c>
      <c r="C381" s="23" t="s">
        <v>161</v>
      </c>
      <c r="D381" s="25" t="s">
        <v>1915</v>
      </c>
      <c r="E381" s="25" t="s">
        <v>17</v>
      </c>
      <c r="F381" s="26">
        <v>3</v>
      </c>
      <c r="G381" s="26">
        <f t="shared" si="199"/>
        <v>1425.1185</v>
      </c>
      <c r="H381" s="26">
        <f t="shared" si="214"/>
        <v>1807.19</v>
      </c>
      <c r="I381" s="26">
        <f t="shared" si="217"/>
        <v>5421.57</v>
      </c>
      <c r="J381" s="64">
        <f>'COMPOSIÇÃO DE CUSTOS'!G866</f>
        <v>1425.13</v>
      </c>
      <c r="K381" s="362">
        <v>1676.61</v>
      </c>
      <c r="L381" s="362">
        <f t="shared" si="201"/>
        <v>4275.3554999999997</v>
      </c>
      <c r="M381" s="64"/>
      <c r="N381" s="65" t="e">
        <f>IF(B381&lt;&gt;0,VLOOKUP(B381,#REF!,2,FALSE),"")</f>
        <v>#REF!</v>
      </c>
      <c r="AY381" s="221"/>
      <c r="AZ381" s="481"/>
      <c r="BA381" s="481"/>
      <c r="BB381" s="481"/>
      <c r="BC381" s="481"/>
      <c r="BD381" s="163">
        <f t="shared" si="195"/>
        <v>1587.59</v>
      </c>
      <c r="BE381" s="163">
        <f t="shared" si="202"/>
        <v>2013.22</v>
      </c>
      <c r="BF381" s="163">
        <f t="shared" si="216"/>
        <v>6039.66</v>
      </c>
    </row>
    <row r="382" spans="1:58" s="62" customFormat="1">
      <c r="A382" s="23" t="s">
        <v>954</v>
      </c>
      <c r="B382" s="25" t="s">
        <v>2150</v>
      </c>
      <c r="C382" s="23" t="s">
        <v>162</v>
      </c>
      <c r="D382" s="25" t="s">
        <v>70</v>
      </c>
      <c r="E382" s="25" t="s">
        <v>17</v>
      </c>
      <c r="F382" s="26">
        <v>2</v>
      </c>
      <c r="G382" s="26">
        <f t="shared" si="199"/>
        <v>206.97499999999999</v>
      </c>
      <c r="H382" s="26">
        <f t="shared" si="214"/>
        <v>262.45999999999998</v>
      </c>
      <c r="I382" s="26">
        <f t="shared" si="217"/>
        <v>524.91999999999996</v>
      </c>
      <c r="J382" s="64">
        <f>'COMPOSIÇÃO DE CUSTOS'!G883</f>
        <v>206.98</v>
      </c>
      <c r="K382" s="362">
        <v>243.5</v>
      </c>
      <c r="L382" s="362">
        <f t="shared" si="201"/>
        <v>413.95</v>
      </c>
      <c r="M382" s="64"/>
      <c r="N382" s="65"/>
      <c r="AY382" s="221"/>
      <c r="AZ382" s="481"/>
      <c r="BA382" s="481"/>
      <c r="BB382" s="481"/>
      <c r="BC382" s="481"/>
      <c r="BD382" s="163">
        <f t="shared" ref="BD382:BD419" si="218">ROUND(G382*$BH$19,2)</f>
        <v>230.57</v>
      </c>
      <c r="BE382" s="163">
        <f t="shared" si="202"/>
        <v>292.39</v>
      </c>
      <c r="BF382" s="163">
        <f t="shared" si="216"/>
        <v>584.78</v>
      </c>
    </row>
    <row r="383" spans="1:58" s="62" customFormat="1">
      <c r="A383" s="23" t="s">
        <v>955</v>
      </c>
      <c r="B383" s="25" t="s">
        <v>2151</v>
      </c>
      <c r="C383" s="23" t="s">
        <v>163</v>
      </c>
      <c r="D383" s="25" t="s">
        <v>70</v>
      </c>
      <c r="E383" s="25" t="s">
        <v>26</v>
      </c>
      <c r="F383" s="26">
        <v>14</v>
      </c>
      <c r="G383" s="26">
        <f t="shared" si="199"/>
        <v>221.73950000000002</v>
      </c>
      <c r="H383" s="26">
        <f t="shared" si="214"/>
        <v>281.19</v>
      </c>
      <c r="I383" s="26">
        <f t="shared" si="217"/>
        <v>3936.66</v>
      </c>
      <c r="J383" s="64">
        <f>'COMPOSIÇÃO DE CUSTOS'!G893</f>
        <v>221.74</v>
      </c>
      <c r="K383" s="362">
        <v>260.87</v>
      </c>
      <c r="L383" s="362">
        <f t="shared" si="201"/>
        <v>3104.3530000000001</v>
      </c>
      <c r="M383" s="64"/>
      <c r="N383" s="65"/>
      <c r="AY383" s="221"/>
      <c r="AZ383" s="481"/>
      <c r="BA383" s="481"/>
      <c r="BB383" s="481"/>
      <c r="BC383" s="481"/>
      <c r="BD383" s="163">
        <f t="shared" si="218"/>
        <v>247.02</v>
      </c>
      <c r="BE383" s="163">
        <f t="shared" si="202"/>
        <v>313.25</v>
      </c>
      <c r="BF383" s="163">
        <f t="shared" si="216"/>
        <v>4385.5</v>
      </c>
    </row>
    <row r="384" spans="1:58" ht="15" customHeight="1">
      <c r="A384" s="356" t="s">
        <v>956</v>
      </c>
      <c r="B384" s="356"/>
      <c r="C384" s="356" t="s">
        <v>164</v>
      </c>
      <c r="D384" s="357"/>
      <c r="E384" s="357"/>
      <c r="F384" s="357"/>
      <c r="G384" s="26"/>
      <c r="H384" s="357"/>
      <c r="I384" s="96"/>
      <c r="J384" s="35"/>
      <c r="K384" s="375"/>
      <c r="L384" s="362">
        <f t="shared" si="201"/>
        <v>0</v>
      </c>
      <c r="M384" s="35"/>
      <c r="N384" s="35"/>
      <c r="AY384" s="21"/>
      <c r="AZ384" s="481"/>
      <c r="BA384" s="481"/>
      <c r="BB384" s="481"/>
      <c r="BC384" s="481"/>
      <c r="BD384" s="163"/>
      <c r="BE384" s="163"/>
      <c r="BF384" s="163"/>
    </row>
    <row r="385" spans="1:58" ht="45">
      <c r="A385" s="23" t="s">
        <v>957</v>
      </c>
      <c r="B385" s="24">
        <v>89865</v>
      </c>
      <c r="C385" s="23" t="s">
        <v>1653</v>
      </c>
      <c r="D385" s="25" t="s">
        <v>12</v>
      </c>
      <c r="E385" s="25" t="s">
        <v>52</v>
      </c>
      <c r="F385" s="26">
        <v>99</v>
      </c>
      <c r="G385" s="26">
        <f t="shared" si="199"/>
        <v>8.6870000000000012</v>
      </c>
      <c r="H385" s="26">
        <f>ROUND(G385*(1+$J$14),2)</f>
        <v>11.02</v>
      </c>
      <c r="I385" s="26">
        <f t="shared" ref="I385:I388" si="219">ROUND(H385*F385,2)</f>
        <v>1090.98</v>
      </c>
      <c r="J385" s="36" t="e">
        <f>IF(B385&lt;&gt;0,VLOOKUP(B385,#REF!,4,FALSE),"")</f>
        <v>#REF!</v>
      </c>
      <c r="K385" s="374" t="s">
        <v>1853</v>
      </c>
      <c r="L385" s="362">
        <f t="shared" si="201"/>
        <v>860.01300000000015</v>
      </c>
      <c r="M385" s="36"/>
      <c r="N385" s="37" t="e">
        <f>IF(B385&lt;&gt;0,VLOOKUP(B385,#REF!,2,FALSE),"")</f>
        <v>#REF!</v>
      </c>
      <c r="AY385" s="21"/>
      <c r="AZ385" s="481"/>
      <c r="BA385" s="481"/>
      <c r="BB385" s="481"/>
      <c r="BC385" s="481"/>
      <c r="BD385" s="163">
        <f t="shared" si="218"/>
        <v>9.68</v>
      </c>
      <c r="BE385" s="163">
        <f t="shared" si="202"/>
        <v>12.28</v>
      </c>
      <c r="BF385" s="163">
        <f>ROUND(BE385*F385,2)</f>
        <v>1215.72</v>
      </c>
    </row>
    <row r="386" spans="1:58" ht="45">
      <c r="A386" s="23" t="s">
        <v>958</v>
      </c>
      <c r="B386" s="24">
        <v>89868</v>
      </c>
      <c r="C386" s="23" t="s">
        <v>1654</v>
      </c>
      <c r="D386" s="25" t="s">
        <v>12</v>
      </c>
      <c r="E386" s="25" t="s">
        <v>17</v>
      </c>
      <c r="F386" s="26">
        <v>32</v>
      </c>
      <c r="G386" s="26">
        <f t="shared" si="199"/>
        <v>2.5840000000000001</v>
      </c>
      <c r="H386" s="26">
        <f>ROUND(G386*(1+$J$14),2)</f>
        <v>3.28</v>
      </c>
      <c r="I386" s="26">
        <f t="shared" si="219"/>
        <v>104.96</v>
      </c>
      <c r="J386" s="36" t="e">
        <f>IF(B386&lt;&gt;0,VLOOKUP(B386,#REF!,4,FALSE),"")</f>
        <v>#REF!</v>
      </c>
      <c r="K386" s="374" t="s">
        <v>1842</v>
      </c>
      <c r="L386" s="362">
        <f t="shared" si="201"/>
        <v>82.688000000000002</v>
      </c>
      <c r="M386" s="36"/>
      <c r="N386" s="37" t="e">
        <f>IF(B386&lt;&gt;0,VLOOKUP(B386,#REF!,2,FALSE),"")</f>
        <v>#REF!</v>
      </c>
      <c r="AY386" s="21"/>
      <c r="AZ386" s="481"/>
      <c r="BA386" s="481"/>
      <c r="BB386" s="481"/>
      <c r="BC386" s="481"/>
      <c r="BD386" s="163">
        <f t="shared" si="218"/>
        <v>2.88</v>
      </c>
      <c r="BE386" s="163">
        <f t="shared" si="202"/>
        <v>3.65</v>
      </c>
      <c r="BF386" s="163">
        <f>ROUND(BE386*F386,2)</f>
        <v>116.8</v>
      </c>
    </row>
    <row r="387" spans="1:58" ht="45">
      <c r="A387" s="23" t="s">
        <v>959</v>
      </c>
      <c r="B387" s="24">
        <v>89866</v>
      </c>
      <c r="C387" s="23" t="s">
        <v>1655</v>
      </c>
      <c r="D387" s="25" t="s">
        <v>12</v>
      </c>
      <c r="E387" s="25" t="s">
        <v>17</v>
      </c>
      <c r="F387" s="26">
        <v>124</v>
      </c>
      <c r="G387" s="26">
        <f t="shared" si="199"/>
        <v>3.3149999999999999</v>
      </c>
      <c r="H387" s="26">
        <f>ROUND(G387*(1+$J$14),2)</f>
        <v>4.2</v>
      </c>
      <c r="I387" s="26">
        <f t="shared" si="219"/>
        <v>520.79999999999995</v>
      </c>
      <c r="J387" s="36" t="e">
        <f>IF(B387&lt;&gt;0,VLOOKUP(B387,#REF!,4,FALSE),"")</f>
        <v>#REF!</v>
      </c>
      <c r="K387" s="374" t="s">
        <v>3033</v>
      </c>
      <c r="L387" s="362">
        <f t="shared" si="201"/>
        <v>411.06</v>
      </c>
      <c r="M387" s="36"/>
      <c r="N387" s="37" t="e">
        <f>IF(B387&lt;&gt;0,VLOOKUP(B387,#REF!,2,FALSE),"")</f>
        <v>#REF!</v>
      </c>
      <c r="AY387" s="21"/>
      <c r="AZ387" s="481"/>
      <c r="BA387" s="481"/>
      <c r="BB387" s="481"/>
      <c r="BC387" s="481"/>
      <c r="BD387" s="163">
        <f t="shared" si="218"/>
        <v>3.69</v>
      </c>
      <c r="BE387" s="163">
        <f t="shared" si="202"/>
        <v>4.68</v>
      </c>
      <c r="BF387" s="163">
        <f>ROUND(BE387*F387,2)</f>
        <v>580.32000000000005</v>
      </c>
    </row>
    <row r="388" spans="1:58" ht="45">
      <c r="A388" s="23" t="s">
        <v>960</v>
      </c>
      <c r="B388" s="24">
        <v>89869</v>
      </c>
      <c r="C388" s="23" t="s">
        <v>1656</v>
      </c>
      <c r="D388" s="25" t="s">
        <v>12</v>
      </c>
      <c r="E388" s="25" t="s">
        <v>17</v>
      </c>
      <c r="F388" s="26">
        <v>35</v>
      </c>
      <c r="G388" s="26">
        <f t="shared" si="199"/>
        <v>5.4485000000000001</v>
      </c>
      <c r="H388" s="26">
        <f>ROUND(G388*(1+$J$14),2)</f>
        <v>6.91</v>
      </c>
      <c r="I388" s="26">
        <f t="shared" si="219"/>
        <v>241.85</v>
      </c>
      <c r="J388" s="36" t="e">
        <f>IF(B388&lt;&gt;0,VLOOKUP(B388,#REF!,4,FALSE),"")</f>
        <v>#REF!</v>
      </c>
      <c r="K388" s="374" t="s">
        <v>1911</v>
      </c>
      <c r="L388" s="362">
        <f t="shared" si="201"/>
        <v>190.69749999999999</v>
      </c>
      <c r="M388" s="36"/>
      <c r="N388" s="37" t="e">
        <f>IF(B388&lt;&gt;0,VLOOKUP(B388,#REF!,2,FALSE),"")</f>
        <v>#REF!</v>
      </c>
      <c r="AY388" s="21"/>
      <c r="AZ388" s="481"/>
      <c r="BA388" s="481"/>
      <c r="BB388" s="481"/>
      <c r="BC388" s="481"/>
      <c r="BD388" s="163">
        <f t="shared" si="218"/>
        <v>6.07</v>
      </c>
      <c r="BE388" s="163">
        <f t="shared" si="202"/>
        <v>7.7</v>
      </c>
      <c r="BF388" s="163">
        <f>ROUND(BE388*F388,2)</f>
        <v>269.5</v>
      </c>
    </row>
    <row r="389" spans="1:58" ht="26.25" customHeight="1">
      <c r="A389" s="23"/>
      <c r="B389" s="24"/>
      <c r="C389" s="23"/>
      <c r="D389" s="25"/>
      <c r="E389" s="25"/>
      <c r="F389" s="26"/>
      <c r="G389" s="26"/>
      <c r="H389" s="26"/>
      <c r="I389" s="26"/>
      <c r="J389" s="35"/>
      <c r="K389" s="375"/>
      <c r="L389" s="362">
        <f t="shared" si="201"/>
        <v>0</v>
      </c>
      <c r="M389" s="35"/>
      <c r="N389" s="35"/>
      <c r="AY389" s="21"/>
      <c r="AZ389" s="481"/>
      <c r="BA389" s="481"/>
      <c r="BB389" s="481"/>
      <c r="BC389" s="481"/>
      <c r="BD389" s="163"/>
      <c r="BE389" s="163"/>
      <c r="BF389" s="163"/>
    </row>
    <row r="390" spans="1:58" s="45" customFormat="1" ht="33.75" customHeight="1">
      <c r="A390" s="356" t="s">
        <v>961</v>
      </c>
      <c r="B390" s="356"/>
      <c r="C390" s="356" t="s">
        <v>165</v>
      </c>
      <c r="D390" s="357"/>
      <c r="E390" s="357"/>
      <c r="F390" s="357"/>
      <c r="G390" s="26"/>
      <c r="H390" s="357"/>
      <c r="I390" s="96">
        <f>ROUND(SUM(I391:I425),2)</f>
        <v>135149.96</v>
      </c>
      <c r="J390" s="46"/>
      <c r="K390" s="364"/>
      <c r="L390" s="362">
        <f t="shared" si="201"/>
        <v>0</v>
      </c>
      <c r="M390" s="46"/>
      <c r="N390" s="46"/>
      <c r="AY390" s="56"/>
      <c r="AZ390" s="481"/>
      <c r="BA390" s="481"/>
      <c r="BB390" s="481"/>
      <c r="BC390" s="481"/>
      <c r="BD390" s="163"/>
      <c r="BE390" s="163"/>
      <c r="BF390" s="96">
        <f>ROUND(SUM(BF391:BF425),2)</f>
        <v>122626.43</v>
      </c>
    </row>
    <row r="391" spans="1:58" ht="15" customHeight="1">
      <c r="A391" s="356" t="s">
        <v>962</v>
      </c>
      <c r="B391" s="356"/>
      <c r="C391" s="356" t="s">
        <v>166</v>
      </c>
      <c r="D391" s="357"/>
      <c r="E391" s="357"/>
      <c r="F391" s="357"/>
      <c r="G391" s="26"/>
      <c r="H391" s="357"/>
      <c r="I391" s="96"/>
      <c r="J391" s="35"/>
      <c r="K391" s="375"/>
      <c r="L391" s="362">
        <f t="shared" si="201"/>
        <v>0</v>
      </c>
      <c r="M391" s="35"/>
      <c r="N391" s="35"/>
      <c r="AY391" s="21"/>
      <c r="AZ391" s="481"/>
      <c r="BA391" s="481"/>
      <c r="BB391" s="481"/>
      <c r="BC391" s="481"/>
      <c r="BD391" s="163"/>
      <c r="BE391" s="163"/>
      <c r="BF391" s="163"/>
    </row>
    <row r="392" spans="1:58" ht="15" customHeight="1">
      <c r="A392" s="356" t="s">
        <v>963</v>
      </c>
      <c r="B392" s="356"/>
      <c r="C392" s="356" t="s">
        <v>167</v>
      </c>
      <c r="D392" s="357"/>
      <c r="E392" s="357"/>
      <c r="F392" s="357"/>
      <c r="G392" s="26"/>
      <c r="H392" s="357"/>
      <c r="I392" s="96"/>
      <c r="J392" s="35"/>
      <c r="K392" s="375"/>
      <c r="L392" s="362">
        <f t="shared" si="201"/>
        <v>0</v>
      </c>
      <c r="M392" s="35"/>
      <c r="N392" s="35"/>
      <c r="AY392" s="21"/>
      <c r="AZ392" s="481"/>
      <c r="BA392" s="481"/>
      <c r="BB392" s="481"/>
      <c r="BC392" s="481"/>
      <c r="BD392" s="163"/>
      <c r="BE392" s="163"/>
      <c r="BF392" s="163"/>
    </row>
    <row r="393" spans="1:58" s="28" customFormat="1" ht="60">
      <c r="A393" s="23" t="s">
        <v>964</v>
      </c>
      <c r="B393" s="24">
        <v>92336</v>
      </c>
      <c r="C393" s="23" t="s">
        <v>1657</v>
      </c>
      <c r="D393" s="25" t="s">
        <v>12</v>
      </c>
      <c r="E393" s="25" t="s">
        <v>52</v>
      </c>
      <c r="F393" s="26">
        <v>105</v>
      </c>
      <c r="G393" s="26">
        <f t="shared" si="199"/>
        <v>105.9525</v>
      </c>
      <c r="H393" s="26">
        <f t="shared" ref="H393:H406" si="220">ROUND(G393*(1+$J$14),2)</f>
        <v>134.36000000000001</v>
      </c>
      <c r="I393" s="26">
        <f t="shared" ref="I393:I394" si="221">ROUND(H393*F393,2)</f>
        <v>14107.8</v>
      </c>
      <c r="J393" s="36" t="e">
        <f>IF(B393&lt;&gt;0,VLOOKUP(B393,#REF!,4,FALSE),"")</f>
        <v>#REF!</v>
      </c>
      <c r="K393" s="374" t="s">
        <v>3279</v>
      </c>
      <c r="L393" s="362">
        <f t="shared" si="201"/>
        <v>11125.012500000001</v>
      </c>
      <c r="M393" s="36"/>
      <c r="N393" s="37" t="e">
        <f>IF(B393&lt;&gt;0,VLOOKUP(B393,#REF!,2,FALSE),"")</f>
        <v>#REF!</v>
      </c>
      <c r="AY393" s="370"/>
      <c r="AZ393" s="481"/>
      <c r="BA393" s="481"/>
      <c r="BB393" s="481"/>
      <c r="BC393" s="481"/>
      <c r="BD393" s="163">
        <f t="shared" si="218"/>
        <v>118.03</v>
      </c>
      <c r="BE393" s="163">
        <f t="shared" si="202"/>
        <v>149.66999999999999</v>
      </c>
      <c r="BF393" s="163">
        <f t="shared" ref="BF393:BF406" si="222">ROUND(BE393*F393,2)</f>
        <v>15715.35</v>
      </c>
    </row>
    <row r="394" spans="1:58" s="62" customFormat="1" ht="60">
      <c r="A394" s="23" t="s">
        <v>965</v>
      </c>
      <c r="B394" s="25" t="s">
        <v>2153</v>
      </c>
      <c r="C394" s="23" t="s">
        <v>168</v>
      </c>
      <c r="D394" s="25" t="s">
        <v>1915</v>
      </c>
      <c r="E394" s="25" t="s">
        <v>52</v>
      </c>
      <c r="F394" s="26">
        <v>95</v>
      </c>
      <c r="G394" s="26">
        <f t="shared" si="199"/>
        <v>139.81650000000002</v>
      </c>
      <c r="H394" s="26">
        <f t="shared" si="220"/>
        <v>177.3</v>
      </c>
      <c r="I394" s="26">
        <f t="shared" si="221"/>
        <v>16843.5</v>
      </c>
      <c r="J394" s="64">
        <f>'COMPOSIÇÃO DE CUSTOS'!G901</f>
        <v>139.81</v>
      </c>
      <c r="K394" s="362">
        <v>164.49</v>
      </c>
      <c r="L394" s="362">
        <f t="shared" si="201"/>
        <v>13282.567500000001</v>
      </c>
      <c r="M394" s="64"/>
      <c r="N394" s="65"/>
      <c r="AY394" s="221"/>
      <c r="AZ394" s="481"/>
      <c r="BA394" s="481"/>
      <c r="BB394" s="481"/>
      <c r="BC394" s="481"/>
      <c r="BD394" s="163">
        <f t="shared" si="218"/>
        <v>155.76</v>
      </c>
      <c r="BE394" s="163">
        <f t="shared" si="202"/>
        <v>197.52</v>
      </c>
      <c r="BF394" s="163">
        <f t="shared" si="222"/>
        <v>18764.400000000001</v>
      </c>
    </row>
    <row r="395" spans="1:58" s="62" customFormat="1" ht="60">
      <c r="A395" s="23" t="s">
        <v>966</v>
      </c>
      <c r="B395" s="24">
        <v>92335</v>
      </c>
      <c r="C395" s="23" t="s">
        <v>1658</v>
      </c>
      <c r="D395" s="25" t="s">
        <v>12</v>
      </c>
      <c r="E395" s="25" t="s">
        <v>52</v>
      </c>
      <c r="F395" s="26">
        <v>5</v>
      </c>
      <c r="G395" s="26">
        <f t="shared" si="199"/>
        <v>85.875500000000002</v>
      </c>
      <c r="H395" s="26">
        <f t="shared" si="220"/>
        <v>108.9</v>
      </c>
      <c r="I395" s="26">
        <f t="shared" ref="I395:I401" si="223">ROUND(H395*F395,2)</f>
        <v>544.5</v>
      </c>
      <c r="J395" s="64" t="e">
        <f>IF(B395&lt;&gt;0,VLOOKUP(B395,#REF!,4,FALSE),"")</f>
        <v>#REF!</v>
      </c>
      <c r="K395" s="362" t="s">
        <v>3278</v>
      </c>
      <c r="L395" s="362">
        <f t="shared" si="201"/>
        <v>429.3775</v>
      </c>
      <c r="M395" s="64"/>
      <c r="N395" s="65" t="e">
        <f>IF(B395&lt;&gt;0,VLOOKUP(B395,#REF!,2,FALSE),"")</f>
        <v>#REF!</v>
      </c>
      <c r="AY395" s="221"/>
      <c r="AZ395" s="481"/>
      <c r="BA395" s="481"/>
      <c r="BB395" s="481"/>
      <c r="BC395" s="481"/>
      <c r="BD395" s="163">
        <f t="shared" si="218"/>
        <v>95.67</v>
      </c>
      <c r="BE395" s="163">
        <f t="shared" si="202"/>
        <v>121.32</v>
      </c>
      <c r="BF395" s="163">
        <f t="shared" si="222"/>
        <v>606.6</v>
      </c>
    </row>
    <row r="396" spans="1:58" ht="60">
      <c r="A396" s="23" t="s">
        <v>967</v>
      </c>
      <c r="B396" s="25" t="s">
        <v>2167</v>
      </c>
      <c r="C396" s="23" t="s">
        <v>169</v>
      </c>
      <c r="D396" s="25" t="s">
        <v>1915</v>
      </c>
      <c r="E396" s="25" t="s">
        <v>52</v>
      </c>
      <c r="F396" s="26">
        <v>34</v>
      </c>
      <c r="G396" s="26">
        <f t="shared" si="199"/>
        <v>61.676000000000002</v>
      </c>
      <c r="H396" s="26">
        <f t="shared" si="220"/>
        <v>78.209999999999994</v>
      </c>
      <c r="I396" s="26">
        <f t="shared" si="223"/>
        <v>2659.14</v>
      </c>
      <c r="J396" s="38">
        <f>'COMPOSIÇÃO DE CUSTOS'!G909</f>
        <v>61.67</v>
      </c>
      <c r="K396" s="375">
        <v>72.56</v>
      </c>
      <c r="L396" s="362">
        <f t="shared" si="201"/>
        <v>2096.9839999999999</v>
      </c>
      <c r="M396" s="38"/>
      <c r="N396" s="35"/>
      <c r="AY396" s="21"/>
      <c r="AZ396" s="481"/>
      <c r="BA396" s="481"/>
      <c r="BB396" s="481"/>
      <c r="BC396" s="481"/>
      <c r="BD396" s="163">
        <f t="shared" si="218"/>
        <v>68.709999999999994</v>
      </c>
      <c r="BE396" s="163">
        <f t="shared" si="202"/>
        <v>87.13</v>
      </c>
      <c r="BF396" s="163">
        <f t="shared" si="222"/>
        <v>2962.42</v>
      </c>
    </row>
    <row r="397" spans="1:58" ht="60">
      <c r="A397" s="23" t="s">
        <v>968</v>
      </c>
      <c r="B397" s="25" t="s">
        <v>2168</v>
      </c>
      <c r="C397" s="23" t="s">
        <v>170</v>
      </c>
      <c r="D397" s="25" t="s">
        <v>1915</v>
      </c>
      <c r="E397" s="25" t="s">
        <v>52</v>
      </c>
      <c r="F397" s="26">
        <v>17</v>
      </c>
      <c r="G397" s="26">
        <f t="shared" si="199"/>
        <v>54.06</v>
      </c>
      <c r="H397" s="26">
        <f t="shared" si="220"/>
        <v>68.55</v>
      </c>
      <c r="I397" s="26">
        <f t="shared" si="223"/>
        <v>1165.3499999999999</v>
      </c>
      <c r="J397" s="38">
        <f>'COMPOSIÇÃO DE CUSTOS'!G916</f>
        <v>54.06</v>
      </c>
      <c r="K397" s="375">
        <v>63.6</v>
      </c>
      <c r="L397" s="362">
        <f t="shared" si="201"/>
        <v>919.02</v>
      </c>
      <c r="M397" s="38"/>
      <c r="N397" s="35"/>
      <c r="AY397" s="21"/>
      <c r="AZ397" s="481"/>
      <c r="BA397" s="481"/>
      <c r="BB397" s="481"/>
      <c r="BC397" s="481"/>
      <c r="BD397" s="163">
        <f t="shared" si="218"/>
        <v>60.22</v>
      </c>
      <c r="BE397" s="163">
        <f t="shared" si="202"/>
        <v>76.36</v>
      </c>
      <c r="BF397" s="163">
        <f t="shared" si="222"/>
        <v>1298.1199999999999</v>
      </c>
    </row>
    <row r="398" spans="1:58" ht="60">
      <c r="A398" s="23" t="s">
        <v>969</v>
      </c>
      <c r="B398" s="25" t="s">
        <v>2165</v>
      </c>
      <c r="C398" s="23" t="s">
        <v>171</v>
      </c>
      <c r="D398" s="25" t="s">
        <v>1915</v>
      </c>
      <c r="E398" s="25" t="s">
        <v>52</v>
      </c>
      <c r="F398" s="26">
        <v>56</v>
      </c>
      <c r="G398" s="26">
        <f t="shared" si="199"/>
        <v>44.302</v>
      </c>
      <c r="H398" s="26">
        <f t="shared" si="220"/>
        <v>56.18</v>
      </c>
      <c r="I398" s="26">
        <f t="shared" si="223"/>
        <v>3146.08</v>
      </c>
      <c r="J398" s="38">
        <f>'COMPOSIÇÃO DE CUSTOS'!G923</f>
        <v>44.3</v>
      </c>
      <c r="K398" s="375">
        <v>52.12</v>
      </c>
      <c r="L398" s="362">
        <f t="shared" si="201"/>
        <v>2480.9119999999998</v>
      </c>
      <c r="M398" s="38"/>
      <c r="N398" s="35"/>
      <c r="AY398" s="21"/>
      <c r="AZ398" s="481"/>
      <c r="BA398" s="481"/>
      <c r="BB398" s="481"/>
      <c r="BC398" s="481"/>
      <c r="BD398" s="163">
        <f t="shared" si="218"/>
        <v>49.35</v>
      </c>
      <c r="BE398" s="163">
        <f t="shared" si="202"/>
        <v>62.58</v>
      </c>
      <c r="BF398" s="163">
        <f t="shared" si="222"/>
        <v>3504.48</v>
      </c>
    </row>
    <row r="399" spans="1:58" ht="60">
      <c r="A399" s="23" t="s">
        <v>970</v>
      </c>
      <c r="B399" s="25" t="s">
        <v>2166</v>
      </c>
      <c r="C399" s="23" t="s">
        <v>172</v>
      </c>
      <c r="D399" s="25" t="s">
        <v>1915</v>
      </c>
      <c r="E399" s="25" t="s">
        <v>52</v>
      </c>
      <c r="F399" s="26">
        <v>34</v>
      </c>
      <c r="G399" s="26">
        <f t="shared" si="199"/>
        <v>190.58699999999999</v>
      </c>
      <c r="H399" s="26">
        <f t="shared" si="220"/>
        <v>241.68</v>
      </c>
      <c r="I399" s="26">
        <f t="shared" si="223"/>
        <v>8217.1200000000008</v>
      </c>
      <c r="J399" s="38">
        <f>'COMPOSIÇÃO DE CUSTOS'!G930</f>
        <v>190.58</v>
      </c>
      <c r="K399" s="375">
        <v>224.22</v>
      </c>
      <c r="L399" s="362">
        <f t="shared" si="201"/>
        <v>6479.9579999999996</v>
      </c>
      <c r="M399" s="38"/>
      <c r="N399" s="35"/>
      <c r="AY399" s="21"/>
      <c r="AZ399" s="481"/>
      <c r="BA399" s="481"/>
      <c r="BB399" s="481"/>
      <c r="BC399" s="481"/>
      <c r="BD399" s="163">
        <f t="shared" si="218"/>
        <v>212.32</v>
      </c>
      <c r="BE399" s="163">
        <f t="shared" si="202"/>
        <v>269.24</v>
      </c>
      <c r="BF399" s="163">
        <f t="shared" si="222"/>
        <v>9154.16</v>
      </c>
    </row>
    <row r="400" spans="1:58" s="62" customFormat="1" ht="75">
      <c r="A400" s="23" t="s">
        <v>971</v>
      </c>
      <c r="B400" s="25" t="s">
        <v>2164</v>
      </c>
      <c r="C400" s="23" t="s">
        <v>173</v>
      </c>
      <c r="D400" s="25" t="s">
        <v>1915</v>
      </c>
      <c r="E400" s="25" t="s">
        <v>17</v>
      </c>
      <c r="F400" s="26">
        <v>17</v>
      </c>
      <c r="G400" s="26">
        <f t="shared" si="199"/>
        <v>25.219500000000004</v>
      </c>
      <c r="H400" s="26">
        <f t="shared" si="220"/>
        <v>31.98</v>
      </c>
      <c r="I400" s="26">
        <f t="shared" si="223"/>
        <v>543.66</v>
      </c>
      <c r="J400" s="64">
        <f>'COMPOSIÇÃO DE CUSTOS'!G939</f>
        <v>25.21</v>
      </c>
      <c r="K400" s="362">
        <v>29.67</v>
      </c>
      <c r="L400" s="362">
        <f t="shared" si="201"/>
        <v>428.73150000000004</v>
      </c>
      <c r="M400" s="64"/>
      <c r="N400" s="65"/>
      <c r="AY400" s="221"/>
      <c r="AZ400" s="481"/>
      <c r="BA400" s="481"/>
      <c r="BB400" s="481"/>
      <c r="BC400" s="481"/>
      <c r="BD400" s="163">
        <f t="shared" si="218"/>
        <v>28.09</v>
      </c>
      <c r="BE400" s="163">
        <f t="shared" si="202"/>
        <v>35.619999999999997</v>
      </c>
      <c r="BF400" s="163">
        <f t="shared" si="222"/>
        <v>605.54</v>
      </c>
    </row>
    <row r="401" spans="1:58" s="62" customFormat="1">
      <c r="A401" s="23" t="s">
        <v>972</v>
      </c>
      <c r="B401" s="24">
        <v>672043</v>
      </c>
      <c r="C401" s="23" t="s">
        <v>174</v>
      </c>
      <c r="D401" s="25" t="s">
        <v>1915</v>
      </c>
      <c r="E401" s="25" t="s">
        <v>17</v>
      </c>
      <c r="F401" s="26">
        <v>8</v>
      </c>
      <c r="G401" s="26">
        <f t="shared" si="199"/>
        <v>198.66200000000001</v>
      </c>
      <c r="H401" s="26">
        <f t="shared" si="220"/>
        <v>251.92</v>
      </c>
      <c r="I401" s="26">
        <f t="shared" si="223"/>
        <v>2015.36</v>
      </c>
      <c r="J401" s="64">
        <f>'COMPOSIÇÃO DE CUSTOS'!G946</f>
        <v>198.66</v>
      </c>
      <c r="K401" s="362">
        <v>233.72</v>
      </c>
      <c r="L401" s="362">
        <f t="shared" si="201"/>
        <v>1589.296</v>
      </c>
      <c r="M401" s="64"/>
      <c r="N401" s="65"/>
      <c r="AY401" s="221"/>
      <c r="AZ401" s="481"/>
      <c r="BA401" s="481"/>
      <c r="BB401" s="481"/>
      <c r="BC401" s="481"/>
      <c r="BD401" s="163">
        <f t="shared" si="218"/>
        <v>221.31</v>
      </c>
      <c r="BE401" s="163">
        <f t="shared" si="202"/>
        <v>280.64</v>
      </c>
      <c r="BF401" s="163">
        <f t="shared" si="222"/>
        <v>2245.12</v>
      </c>
    </row>
    <row r="402" spans="1:58" s="62" customFormat="1" ht="45">
      <c r="A402" s="23" t="s">
        <v>973</v>
      </c>
      <c r="B402" s="24">
        <v>92346</v>
      </c>
      <c r="C402" s="23" t="s">
        <v>1659</v>
      </c>
      <c r="D402" s="25" t="s">
        <v>12</v>
      </c>
      <c r="E402" s="25" t="s">
        <v>17</v>
      </c>
      <c r="F402" s="26">
        <v>3</v>
      </c>
      <c r="G402" s="26">
        <f t="shared" si="199"/>
        <v>57.451500000000003</v>
      </c>
      <c r="H402" s="26">
        <f t="shared" si="220"/>
        <v>72.849999999999994</v>
      </c>
      <c r="I402" s="26">
        <f t="shared" ref="I402" si="224">ROUND(H402*F402,2)</f>
        <v>218.55</v>
      </c>
      <c r="J402" s="64" t="e">
        <f>IF(B402&lt;&gt;0,VLOOKUP(B402,#REF!,4,FALSE),"")</f>
        <v>#REF!</v>
      </c>
      <c r="K402" s="362" t="s">
        <v>3290</v>
      </c>
      <c r="L402" s="362">
        <f t="shared" si="201"/>
        <v>172.3545</v>
      </c>
      <c r="M402" s="64"/>
      <c r="N402" s="65" t="e">
        <f>IF(B402&lt;&gt;0,VLOOKUP(B402,#REF!,2,FALSE),"")</f>
        <v>#REF!</v>
      </c>
      <c r="AY402" s="221"/>
      <c r="AZ402" s="481"/>
      <c r="BA402" s="481"/>
      <c r="BB402" s="481"/>
      <c r="BC402" s="481"/>
      <c r="BD402" s="163">
        <f t="shared" si="218"/>
        <v>64</v>
      </c>
      <c r="BE402" s="163">
        <f t="shared" si="202"/>
        <v>81.16</v>
      </c>
      <c r="BF402" s="163">
        <f t="shared" si="222"/>
        <v>243.48</v>
      </c>
    </row>
    <row r="403" spans="1:58" ht="30">
      <c r="A403" s="23" t="s">
        <v>974</v>
      </c>
      <c r="B403" s="24">
        <v>231112</v>
      </c>
      <c r="C403" s="23" t="s">
        <v>175</v>
      </c>
      <c r="D403" s="25" t="s">
        <v>1915</v>
      </c>
      <c r="E403" s="25" t="s">
        <v>17</v>
      </c>
      <c r="F403" s="26">
        <v>1</v>
      </c>
      <c r="G403" s="26">
        <f t="shared" si="199"/>
        <v>170.63749999999999</v>
      </c>
      <c r="H403" s="26">
        <f t="shared" si="220"/>
        <v>216.39</v>
      </c>
      <c r="I403" s="26">
        <f t="shared" ref="I403:I404" si="225">ROUND(H403*F403,2)</f>
        <v>216.39</v>
      </c>
      <c r="J403" s="38">
        <f>'COMPOSIÇÃO DE CUSTOS'!G953</f>
        <v>170.64</v>
      </c>
      <c r="K403" s="375">
        <v>200.75</v>
      </c>
      <c r="L403" s="362">
        <f t="shared" si="201"/>
        <v>170.63749999999999</v>
      </c>
      <c r="M403" s="38"/>
      <c r="N403" s="35"/>
      <c r="AY403" s="21"/>
      <c r="AZ403" s="481"/>
      <c r="BA403" s="481"/>
      <c r="BB403" s="481"/>
      <c r="BC403" s="481"/>
      <c r="BD403" s="163">
        <f t="shared" si="218"/>
        <v>190.09</v>
      </c>
      <c r="BE403" s="163">
        <f t="shared" si="202"/>
        <v>241.05</v>
      </c>
      <c r="BF403" s="163">
        <f t="shared" si="222"/>
        <v>241.05</v>
      </c>
    </row>
    <row r="404" spans="1:58" ht="30">
      <c r="A404" s="23" t="s">
        <v>975</v>
      </c>
      <c r="B404" s="24">
        <v>854519</v>
      </c>
      <c r="C404" s="23" t="s">
        <v>176</v>
      </c>
      <c r="D404" s="25" t="s">
        <v>1915</v>
      </c>
      <c r="E404" s="25" t="s">
        <v>17</v>
      </c>
      <c r="F404" s="26">
        <v>53</v>
      </c>
      <c r="G404" s="26">
        <f t="shared" si="199"/>
        <v>45.526000000000003</v>
      </c>
      <c r="H404" s="26">
        <f t="shared" si="220"/>
        <v>57.73</v>
      </c>
      <c r="I404" s="26">
        <f t="shared" si="225"/>
        <v>3059.69</v>
      </c>
      <c r="J404" s="38">
        <f>'COMPOSIÇÃO DE CUSTOS'!G960</f>
        <v>45.52</v>
      </c>
      <c r="K404" s="375">
        <v>53.56</v>
      </c>
      <c r="L404" s="362">
        <f t="shared" si="201"/>
        <v>2412.8780000000002</v>
      </c>
      <c r="M404" s="38"/>
      <c r="N404" s="35"/>
      <c r="AY404" s="21"/>
      <c r="AZ404" s="481"/>
      <c r="BA404" s="481"/>
      <c r="BB404" s="481"/>
      <c r="BC404" s="481"/>
      <c r="BD404" s="163">
        <f t="shared" si="218"/>
        <v>50.72</v>
      </c>
      <c r="BE404" s="163">
        <f t="shared" si="202"/>
        <v>64.319999999999993</v>
      </c>
      <c r="BF404" s="163">
        <f t="shared" si="222"/>
        <v>3408.96</v>
      </c>
    </row>
    <row r="405" spans="1:58" s="62" customFormat="1" ht="45">
      <c r="A405" s="23" t="s">
        <v>976</v>
      </c>
      <c r="B405" s="24">
        <v>95811</v>
      </c>
      <c r="C405" s="23" t="s">
        <v>1660</v>
      </c>
      <c r="D405" s="25" t="s">
        <v>12</v>
      </c>
      <c r="E405" s="25" t="s">
        <v>17</v>
      </c>
      <c r="F405" s="26">
        <v>32</v>
      </c>
      <c r="G405" s="26">
        <f t="shared" si="199"/>
        <v>10.693</v>
      </c>
      <c r="H405" s="26">
        <f t="shared" si="220"/>
        <v>13.56</v>
      </c>
      <c r="I405" s="26">
        <f t="shared" ref="I405:I406" si="226">ROUND(H405*F405,2)</f>
        <v>433.92</v>
      </c>
      <c r="J405" s="64" t="e">
        <f>IF(B405&lt;&gt;0,VLOOKUP(B405,#REF!,4,FALSE),"")</f>
        <v>#REF!</v>
      </c>
      <c r="K405" s="362" t="s">
        <v>3153</v>
      </c>
      <c r="L405" s="362">
        <f t="shared" si="201"/>
        <v>342.17599999999999</v>
      </c>
      <c r="M405" s="64"/>
      <c r="N405" s="65" t="e">
        <f>IF(B405&lt;&gt;0,VLOOKUP(B405,#REF!,2,FALSE),"")</f>
        <v>#REF!</v>
      </c>
      <c r="AY405" s="221"/>
      <c r="AZ405" s="481"/>
      <c r="BA405" s="481"/>
      <c r="BB405" s="481"/>
      <c r="BC405" s="481"/>
      <c r="BD405" s="163">
        <f t="shared" si="218"/>
        <v>11.91</v>
      </c>
      <c r="BE405" s="163">
        <f t="shared" si="202"/>
        <v>15.1</v>
      </c>
      <c r="BF405" s="163">
        <f t="shared" si="222"/>
        <v>483.2</v>
      </c>
    </row>
    <row r="406" spans="1:58" s="62" customFormat="1" ht="30">
      <c r="A406" s="23" t="s">
        <v>977</v>
      </c>
      <c r="B406" s="25" t="s">
        <v>2152</v>
      </c>
      <c r="C406" s="23" t="s">
        <v>177</v>
      </c>
      <c r="D406" s="25" t="s">
        <v>1915</v>
      </c>
      <c r="E406" s="25" t="s">
        <v>26</v>
      </c>
      <c r="F406" s="26">
        <v>9</v>
      </c>
      <c r="G406" s="26">
        <f t="shared" si="199"/>
        <v>19.9495</v>
      </c>
      <c r="H406" s="26">
        <f t="shared" si="220"/>
        <v>25.3</v>
      </c>
      <c r="I406" s="26">
        <f t="shared" si="226"/>
        <v>227.7</v>
      </c>
      <c r="J406" s="64">
        <f>'COMPOSIÇÃO DE CUSTOS'!G970</f>
        <v>19.95</v>
      </c>
      <c r="K406" s="362">
        <v>23.47</v>
      </c>
      <c r="L406" s="362">
        <f t="shared" si="201"/>
        <v>179.5455</v>
      </c>
      <c r="M406" s="64"/>
      <c r="N406" s="65"/>
      <c r="AY406" s="221"/>
      <c r="AZ406" s="481"/>
      <c r="BA406" s="481"/>
      <c r="BB406" s="481"/>
      <c r="BC406" s="481"/>
      <c r="BD406" s="163">
        <f t="shared" si="218"/>
        <v>22.22</v>
      </c>
      <c r="BE406" s="163">
        <f t="shared" si="202"/>
        <v>28.18</v>
      </c>
      <c r="BF406" s="163">
        <f t="shared" si="222"/>
        <v>253.62</v>
      </c>
    </row>
    <row r="407" spans="1:58" s="28" customFormat="1" ht="15" customHeight="1">
      <c r="A407" s="356" t="s">
        <v>978</v>
      </c>
      <c r="B407" s="356"/>
      <c r="C407" s="356" t="s">
        <v>178</v>
      </c>
      <c r="D407" s="357"/>
      <c r="E407" s="357"/>
      <c r="F407" s="357"/>
      <c r="G407" s="26"/>
      <c r="H407" s="357"/>
      <c r="I407" s="96"/>
      <c r="J407" s="37"/>
      <c r="K407" s="374"/>
      <c r="L407" s="362">
        <f t="shared" si="201"/>
        <v>0</v>
      </c>
      <c r="M407" s="37"/>
      <c r="N407" s="37"/>
      <c r="AY407" s="370"/>
      <c r="AZ407" s="481"/>
      <c r="BA407" s="481"/>
      <c r="BB407" s="481"/>
      <c r="BC407" s="481"/>
      <c r="BD407" s="163"/>
      <c r="BE407" s="163"/>
      <c r="BF407" s="163"/>
    </row>
    <row r="408" spans="1:58" s="28" customFormat="1" ht="90">
      <c r="A408" s="41" t="s">
        <v>3557</v>
      </c>
      <c r="B408" s="24">
        <v>96765</v>
      </c>
      <c r="C408" s="470" t="s">
        <v>3744</v>
      </c>
      <c r="D408" s="25" t="s">
        <v>12</v>
      </c>
      <c r="E408" s="25" t="s">
        <v>17</v>
      </c>
      <c r="F408" s="26">
        <v>12</v>
      </c>
      <c r="G408" s="26">
        <f t="shared" ref="G408:G471" si="227">K408-(K408*$K$15)</f>
        <v>1107.992</v>
      </c>
      <c r="H408" s="26">
        <f t="shared" ref="H408:H425" si="228">ROUND(G408*(1+$J$14),2)</f>
        <v>1405.04</v>
      </c>
      <c r="I408" s="26">
        <f t="shared" ref="I408" si="229">ROUND(H408*F408,2)</f>
        <v>16860.48</v>
      </c>
      <c r="J408" s="36" t="e">
        <f>IF(B408&lt;&gt;0,VLOOKUP(B408,#REF!,4,FALSE),"")</f>
        <v>#REF!</v>
      </c>
      <c r="K408" s="374" t="s">
        <v>3265</v>
      </c>
      <c r="L408" s="362">
        <f t="shared" ref="L408:L471" si="230">F408*G408</f>
        <v>13295.903999999999</v>
      </c>
      <c r="M408" s="36"/>
      <c r="N408" s="37" t="e">
        <f>IF(B408&lt;&gt;0,VLOOKUP(B408,#REF!,2,FALSE),"")</f>
        <v>#REF!</v>
      </c>
      <c r="AY408" s="370"/>
      <c r="AZ408" s="481"/>
      <c r="BA408" s="481"/>
      <c r="BB408" s="481"/>
      <c r="BC408" s="481"/>
      <c r="BD408" s="163">
        <f t="shared" si="218"/>
        <v>1234.31</v>
      </c>
      <c r="BE408" s="163">
        <f t="shared" ref="BE408:BE471" si="231">ROUND(BD408*(1+$J$14),2)</f>
        <v>1565.23</v>
      </c>
      <c r="BF408" s="163">
        <f t="shared" ref="BF408:BF425" si="232">ROUND(BE408*F408,2)</f>
        <v>18782.759999999998</v>
      </c>
    </row>
    <row r="409" spans="1:58" s="28" customFormat="1" ht="30">
      <c r="A409" s="23" t="s">
        <v>979</v>
      </c>
      <c r="B409" s="24">
        <v>102493</v>
      </c>
      <c r="C409" s="23" t="s">
        <v>3321</v>
      </c>
      <c r="D409" s="25" t="s">
        <v>12</v>
      </c>
      <c r="E409" s="25" t="s">
        <v>26</v>
      </c>
      <c r="F409" s="26">
        <v>25</v>
      </c>
      <c r="G409" s="26">
        <f t="shared" si="227"/>
        <v>8.7464999999999993</v>
      </c>
      <c r="H409" s="26">
        <f t="shared" si="228"/>
        <v>11.09</v>
      </c>
      <c r="I409" s="26">
        <f t="shared" ref="I409" si="233">ROUND(H409*F409,2)</f>
        <v>277.25</v>
      </c>
      <c r="J409" s="36" t="e">
        <f>IF(B409&lt;&gt;0,VLOOKUP(B409,#REF!,4,FALSE),"")</f>
        <v>#REF!</v>
      </c>
      <c r="K409" s="374" t="s">
        <v>1858</v>
      </c>
      <c r="L409" s="362">
        <f t="shared" si="230"/>
        <v>218.66249999999999</v>
      </c>
      <c r="M409" s="36"/>
      <c r="N409" s="37" t="e">
        <f>IF(B409&lt;&gt;0,VLOOKUP(B409,#REF!,2,FALSE),"")</f>
        <v>#REF!</v>
      </c>
      <c r="AY409" s="370"/>
      <c r="AZ409" s="481"/>
      <c r="BA409" s="481"/>
      <c r="BB409" s="481"/>
      <c r="BC409" s="481"/>
      <c r="BD409" s="163">
        <f t="shared" si="218"/>
        <v>9.74</v>
      </c>
      <c r="BE409" s="163">
        <f t="shared" si="231"/>
        <v>12.35</v>
      </c>
      <c r="BF409" s="163">
        <f t="shared" si="232"/>
        <v>308.75</v>
      </c>
    </row>
    <row r="410" spans="1:58" s="45" customFormat="1" ht="30">
      <c r="A410" s="23" t="s">
        <v>980</v>
      </c>
      <c r="B410" s="24">
        <v>11173</v>
      </c>
      <c r="C410" s="23" t="s">
        <v>2022</v>
      </c>
      <c r="D410" s="25" t="s">
        <v>44</v>
      </c>
      <c r="E410" s="25" t="s">
        <v>17</v>
      </c>
      <c r="F410" s="26">
        <v>2</v>
      </c>
      <c r="G410" s="26">
        <f t="shared" si="227"/>
        <v>2172.4810000000002</v>
      </c>
      <c r="H410" s="26">
        <f t="shared" si="228"/>
        <v>2754.92</v>
      </c>
      <c r="I410" s="26">
        <f t="shared" ref="I410:I412" si="234">ROUND(H410*F410,2)</f>
        <v>5509.84</v>
      </c>
      <c r="J410" s="49">
        <f>'COMPOSIÇÃO DE CUSTOS'!G2246</f>
        <v>2172.48</v>
      </c>
      <c r="K410" s="364">
        <v>2555.86</v>
      </c>
      <c r="L410" s="362">
        <f t="shared" si="230"/>
        <v>4344.9620000000004</v>
      </c>
      <c r="M410" s="49"/>
      <c r="N410" s="46"/>
      <c r="AY410" s="56"/>
      <c r="AZ410" s="481"/>
      <c r="BA410" s="481"/>
      <c r="BB410" s="481"/>
      <c r="BC410" s="481"/>
      <c r="BD410" s="163">
        <f t="shared" si="218"/>
        <v>2420.16</v>
      </c>
      <c r="BE410" s="163">
        <f t="shared" si="231"/>
        <v>3069</v>
      </c>
      <c r="BF410" s="163">
        <f t="shared" si="232"/>
        <v>6138</v>
      </c>
    </row>
    <row r="411" spans="1:58" ht="30">
      <c r="A411" s="41" t="s">
        <v>2462</v>
      </c>
      <c r="B411" s="24">
        <v>101908</v>
      </c>
      <c r="C411" s="23" t="s">
        <v>180</v>
      </c>
      <c r="D411" s="25" t="s">
        <v>12</v>
      </c>
      <c r="E411" s="25" t="s">
        <v>17</v>
      </c>
      <c r="F411" s="26">
        <v>14</v>
      </c>
      <c r="G411" s="26">
        <f t="shared" si="227"/>
        <v>154.55550000000002</v>
      </c>
      <c r="H411" s="26">
        <f t="shared" si="228"/>
        <v>195.99</v>
      </c>
      <c r="I411" s="26">
        <f t="shared" si="234"/>
        <v>2743.86</v>
      </c>
      <c r="J411" s="36" t="e">
        <f>IF(B411&lt;&gt;0,VLOOKUP(B411,#REF!,4,FALSE),"")</f>
        <v>#REF!</v>
      </c>
      <c r="K411" s="374" t="s">
        <v>3267</v>
      </c>
      <c r="L411" s="362">
        <f t="shared" si="230"/>
        <v>2163.7770000000005</v>
      </c>
      <c r="M411" s="36"/>
      <c r="N411" s="37" t="e">
        <f>IF(B411&lt;&gt;0,VLOOKUP(B411,#REF!,2,FALSE),"")</f>
        <v>#REF!</v>
      </c>
      <c r="AY411" s="21"/>
      <c r="AZ411" s="481"/>
      <c r="BA411" s="481"/>
      <c r="BB411" s="481"/>
      <c r="BC411" s="481"/>
      <c r="BD411" s="163">
        <f t="shared" si="218"/>
        <v>172.18</v>
      </c>
      <c r="BE411" s="163">
        <f t="shared" si="231"/>
        <v>218.34</v>
      </c>
      <c r="BF411" s="163">
        <f t="shared" si="232"/>
        <v>3056.76</v>
      </c>
    </row>
    <row r="412" spans="1:58" ht="30">
      <c r="A412" s="41" t="s">
        <v>2463</v>
      </c>
      <c r="B412" s="24">
        <v>101907</v>
      </c>
      <c r="C412" s="23" t="s">
        <v>181</v>
      </c>
      <c r="D412" s="25" t="s">
        <v>12</v>
      </c>
      <c r="E412" s="25" t="s">
        <v>17</v>
      </c>
      <c r="F412" s="26">
        <v>2</v>
      </c>
      <c r="G412" s="26">
        <f t="shared" si="227"/>
        <v>516.0095</v>
      </c>
      <c r="H412" s="26">
        <f t="shared" si="228"/>
        <v>654.35</v>
      </c>
      <c r="I412" s="26">
        <f t="shared" si="234"/>
        <v>1308.7</v>
      </c>
      <c r="J412" s="36" t="e">
        <f>IF(B412&lt;&gt;0,VLOOKUP(B412,#REF!,4,FALSE),"")</f>
        <v>#REF!</v>
      </c>
      <c r="K412" s="374" t="s">
        <v>3266</v>
      </c>
      <c r="L412" s="362">
        <f t="shared" si="230"/>
        <v>1032.019</v>
      </c>
      <c r="M412" s="36"/>
      <c r="N412" s="37" t="e">
        <f>IF(B412&lt;&gt;0,VLOOKUP(B412,#REF!,2,FALSE),"")</f>
        <v>#REF!</v>
      </c>
      <c r="AY412" s="21"/>
      <c r="AZ412" s="481"/>
      <c r="BA412" s="481"/>
      <c r="BB412" s="481"/>
      <c r="BC412" s="481"/>
      <c r="BD412" s="163">
        <f t="shared" si="218"/>
        <v>574.84</v>
      </c>
      <c r="BE412" s="163">
        <f t="shared" si="231"/>
        <v>728.95</v>
      </c>
      <c r="BF412" s="163">
        <f t="shared" si="232"/>
        <v>1457.9</v>
      </c>
    </row>
    <row r="413" spans="1:58" s="28" customFormat="1" ht="30">
      <c r="A413" s="41" t="s">
        <v>2464</v>
      </c>
      <c r="B413" s="25" t="s">
        <v>2216</v>
      </c>
      <c r="C413" s="23" t="s">
        <v>182</v>
      </c>
      <c r="D413" s="25" t="s">
        <v>70</v>
      </c>
      <c r="E413" s="25" t="s">
        <v>17</v>
      </c>
      <c r="F413" s="26">
        <v>1</v>
      </c>
      <c r="G413" s="26">
        <f t="shared" si="227"/>
        <v>600.79700000000003</v>
      </c>
      <c r="H413" s="26">
        <f t="shared" si="228"/>
        <v>761.87</v>
      </c>
      <c r="I413" s="26">
        <f t="shared" ref="I413" si="235">ROUND(H413*F413,2)</f>
        <v>761.87</v>
      </c>
      <c r="J413" s="36">
        <f>'COMPOSIÇÃO DE CUSTOS'!G978</f>
        <v>600.79</v>
      </c>
      <c r="K413" s="374">
        <v>706.82</v>
      </c>
      <c r="L413" s="362">
        <f t="shared" si="230"/>
        <v>600.79700000000003</v>
      </c>
      <c r="M413" s="36"/>
      <c r="N413" s="37"/>
      <c r="AY413" s="370"/>
      <c r="AZ413" s="481"/>
      <c r="BA413" s="481"/>
      <c r="BB413" s="481"/>
      <c r="BC413" s="481"/>
      <c r="BD413" s="163">
        <f t="shared" si="218"/>
        <v>669.29</v>
      </c>
      <c r="BE413" s="163">
        <f t="shared" si="231"/>
        <v>848.73</v>
      </c>
      <c r="BF413" s="163">
        <f t="shared" si="232"/>
        <v>848.73</v>
      </c>
    </row>
    <row r="414" spans="1:58" s="28" customFormat="1">
      <c r="A414" s="41" t="s">
        <v>2465</v>
      </c>
      <c r="B414" s="25" t="s">
        <v>2215</v>
      </c>
      <c r="C414" s="23" t="s">
        <v>2214</v>
      </c>
      <c r="D414" s="25" t="s">
        <v>70</v>
      </c>
      <c r="E414" s="25" t="s">
        <v>17</v>
      </c>
      <c r="F414" s="26">
        <v>1</v>
      </c>
      <c r="G414" s="26">
        <f t="shared" si="227"/>
        <v>692.94550000000004</v>
      </c>
      <c r="H414" s="26">
        <f t="shared" si="228"/>
        <v>878.72</v>
      </c>
      <c r="I414" s="26">
        <f t="shared" ref="I414" si="236">ROUND(H414*F414,2)</f>
        <v>878.72</v>
      </c>
      <c r="J414" s="36">
        <f>'COMPOSIÇÃO DE CUSTOS'!G984</f>
        <v>692.95</v>
      </c>
      <c r="K414" s="374">
        <v>815.23</v>
      </c>
      <c r="L414" s="362">
        <f t="shared" si="230"/>
        <v>692.94550000000004</v>
      </c>
      <c r="M414" s="36"/>
      <c r="N414" s="37"/>
      <c r="AY414" s="370"/>
      <c r="AZ414" s="481"/>
      <c r="BA414" s="481"/>
      <c r="BB414" s="481"/>
      <c r="BC414" s="481"/>
      <c r="BD414" s="163">
        <f t="shared" si="218"/>
        <v>771.95</v>
      </c>
      <c r="BE414" s="163">
        <f t="shared" si="231"/>
        <v>978.91</v>
      </c>
      <c r="BF414" s="163">
        <f t="shared" si="232"/>
        <v>978.91</v>
      </c>
    </row>
    <row r="415" spans="1:58" s="28" customFormat="1" ht="45">
      <c r="A415" s="41" t="s">
        <v>2466</v>
      </c>
      <c r="B415" s="24">
        <v>427003</v>
      </c>
      <c r="C415" s="23" t="s">
        <v>184</v>
      </c>
      <c r="D415" s="25" t="s">
        <v>1915</v>
      </c>
      <c r="E415" s="25" t="s">
        <v>17</v>
      </c>
      <c r="F415" s="26">
        <v>1</v>
      </c>
      <c r="G415" s="26">
        <f t="shared" si="227"/>
        <v>76.491500000000002</v>
      </c>
      <c r="H415" s="26">
        <f t="shared" si="228"/>
        <v>97</v>
      </c>
      <c r="I415" s="26">
        <f t="shared" ref="I415" si="237">ROUND(H415*F415,2)</f>
        <v>97</v>
      </c>
      <c r="J415" s="36">
        <f>'COMPOSIÇÃO DE CUSTOS'!G991</f>
        <v>76.48</v>
      </c>
      <c r="K415" s="374">
        <v>89.99</v>
      </c>
      <c r="L415" s="362">
        <f t="shared" si="230"/>
        <v>76.491500000000002</v>
      </c>
      <c r="M415" s="36"/>
      <c r="N415" s="37"/>
      <c r="AY415" s="370"/>
      <c r="AZ415" s="481"/>
      <c r="BA415" s="481"/>
      <c r="BB415" s="481"/>
      <c r="BC415" s="481"/>
      <c r="BD415" s="163">
        <f t="shared" si="218"/>
        <v>85.21</v>
      </c>
      <c r="BE415" s="163">
        <f t="shared" si="231"/>
        <v>108.05</v>
      </c>
      <c r="BF415" s="163">
        <f t="shared" si="232"/>
        <v>108.05</v>
      </c>
    </row>
    <row r="416" spans="1:58" s="28" customFormat="1" ht="75">
      <c r="A416" s="41" t="s">
        <v>2467</v>
      </c>
      <c r="B416" s="24">
        <v>94499</v>
      </c>
      <c r="C416" s="23" t="s">
        <v>1661</v>
      </c>
      <c r="D416" s="25" t="s">
        <v>12</v>
      </c>
      <c r="E416" s="25" t="s">
        <v>17</v>
      </c>
      <c r="F416" s="26">
        <v>10</v>
      </c>
      <c r="G416" s="26">
        <f t="shared" si="227"/>
        <v>207.03449999999998</v>
      </c>
      <c r="H416" s="26">
        <f t="shared" si="228"/>
        <v>262.54000000000002</v>
      </c>
      <c r="I416" s="26">
        <f t="shared" ref="I416" si="238">ROUND(H416*F416,2)</f>
        <v>2625.4</v>
      </c>
      <c r="J416" s="36" t="e">
        <f>IF(B416&lt;&gt;0,VLOOKUP(B416,#REF!,4,FALSE),"")</f>
        <v>#REF!</v>
      </c>
      <c r="K416" s="374" t="s">
        <v>3302</v>
      </c>
      <c r="L416" s="362">
        <f t="shared" si="230"/>
        <v>2070.3449999999998</v>
      </c>
      <c r="M416" s="36"/>
      <c r="N416" s="37" t="e">
        <f>IF(B416&lt;&gt;0,VLOOKUP(B416,#REF!,2,FALSE),"")</f>
        <v>#REF!</v>
      </c>
      <c r="AY416" s="370"/>
      <c r="AZ416" s="481"/>
      <c r="BA416" s="481"/>
      <c r="BB416" s="481"/>
      <c r="BC416" s="481"/>
      <c r="BD416" s="163">
        <f t="shared" si="218"/>
        <v>230.64</v>
      </c>
      <c r="BE416" s="163">
        <f t="shared" si="231"/>
        <v>292.47000000000003</v>
      </c>
      <c r="BF416" s="163">
        <f t="shared" si="232"/>
        <v>2924.7</v>
      </c>
    </row>
    <row r="417" spans="1:59" s="28" customFormat="1" ht="30">
      <c r="A417" s="41" t="s">
        <v>2468</v>
      </c>
      <c r="B417" s="24">
        <v>99624</v>
      </c>
      <c r="C417" s="23" t="s">
        <v>185</v>
      </c>
      <c r="D417" s="25" t="s">
        <v>12</v>
      </c>
      <c r="E417" s="25" t="s">
        <v>17</v>
      </c>
      <c r="F417" s="26">
        <v>1</v>
      </c>
      <c r="G417" s="26">
        <f t="shared" si="227"/>
        <v>337.80700000000002</v>
      </c>
      <c r="H417" s="26">
        <f t="shared" si="228"/>
        <v>428.37</v>
      </c>
      <c r="I417" s="26">
        <f t="shared" ref="I417" si="239">ROUND(H417*F417,2)</f>
        <v>428.37</v>
      </c>
      <c r="J417" s="36" t="e">
        <f>IF(B417&lt;&gt;0,VLOOKUP(B417,#REF!,4,FALSE),"")</f>
        <v>#REF!</v>
      </c>
      <c r="K417" s="374" t="s">
        <v>3305</v>
      </c>
      <c r="L417" s="362">
        <f t="shared" si="230"/>
        <v>337.80700000000002</v>
      </c>
      <c r="M417" s="36"/>
      <c r="N417" s="37" t="e">
        <f>IF(B417&lt;&gt;0,VLOOKUP(B417,#REF!,2,FALSE),"")</f>
        <v>#REF!</v>
      </c>
      <c r="AY417" s="370"/>
      <c r="AZ417" s="481"/>
      <c r="BA417" s="481"/>
      <c r="BB417" s="481"/>
      <c r="BC417" s="481"/>
      <c r="BD417" s="163">
        <f t="shared" si="218"/>
        <v>376.32</v>
      </c>
      <c r="BE417" s="163">
        <f t="shared" si="231"/>
        <v>477.21</v>
      </c>
      <c r="BF417" s="163">
        <f t="shared" si="232"/>
        <v>477.21</v>
      </c>
    </row>
    <row r="418" spans="1:59" s="28" customFormat="1" ht="30">
      <c r="A418" s="41" t="s">
        <v>2469</v>
      </c>
      <c r="B418" s="24">
        <v>12899</v>
      </c>
      <c r="C418" s="23" t="s">
        <v>186</v>
      </c>
      <c r="D418" s="25" t="s">
        <v>12</v>
      </c>
      <c r="E418" s="25" t="s">
        <v>17</v>
      </c>
      <c r="F418" s="26">
        <v>1</v>
      </c>
      <c r="G418" s="26">
        <f t="shared" si="227"/>
        <v>75.845500000000001</v>
      </c>
      <c r="H418" s="26">
        <f t="shared" si="228"/>
        <v>96.18</v>
      </c>
      <c r="I418" s="26">
        <f t="shared" ref="I418" si="240">ROUND(H418*F418,2)</f>
        <v>96.18</v>
      </c>
      <c r="J418" s="36" t="e">
        <f>IF(B418&lt;&gt;0,VLOOKUP(B418,#REF!,4,FALSE),"")</f>
        <v>#REF!</v>
      </c>
      <c r="K418" s="374" t="s">
        <v>3121</v>
      </c>
      <c r="L418" s="362">
        <f t="shared" si="230"/>
        <v>75.845500000000001</v>
      </c>
      <c r="M418" s="36"/>
      <c r="N418" s="37" t="e">
        <f>IF(B418&lt;&gt;0,VLOOKUP(B418,#REF!,2,FALSE),"")</f>
        <v>#REF!</v>
      </c>
      <c r="AY418" s="370"/>
      <c r="AZ418" s="481"/>
      <c r="BA418" s="481"/>
      <c r="BB418" s="481"/>
      <c r="BC418" s="481"/>
      <c r="BD418" s="163">
        <f t="shared" si="218"/>
        <v>84.49</v>
      </c>
      <c r="BE418" s="163">
        <f t="shared" si="231"/>
        <v>107.14</v>
      </c>
      <c r="BF418" s="163">
        <f t="shared" si="232"/>
        <v>107.14</v>
      </c>
    </row>
    <row r="419" spans="1:59" s="62" customFormat="1" ht="30">
      <c r="A419" s="41" t="s">
        <v>2470</v>
      </c>
      <c r="B419" s="24">
        <v>11824</v>
      </c>
      <c r="C419" s="23" t="s">
        <v>1980</v>
      </c>
      <c r="D419" s="25" t="s">
        <v>44</v>
      </c>
      <c r="E419" s="25" t="s">
        <v>17</v>
      </c>
      <c r="F419" s="26">
        <v>13</v>
      </c>
      <c r="G419" s="26">
        <f t="shared" si="227"/>
        <v>142.3835</v>
      </c>
      <c r="H419" s="26">
        <f t="shared" si="228"/>
        <v>180.56</v>
      </c>
      <c r="I419" s="26">
        <f t="shared" ref="I419" si="241">ROUND(H419*F419,2)</f>
        <v>2347.2800000000002</v>
      </c>
      <c r="J419" s="64">
        <f>'COMPOSIÇÃO DE CUSTOS'!G2045</f>
        <v>142.38</v>
      </c>
      <c r="K419" s="362">
        <v>167.51</v>
      </c>
      <c r="L419" s="362">
        <f t="shared" si="230"/>
        <v>1850.9855</v>
      </c>
      <c r="M419" s="64"/>
      <c r="N419" s="65"/>
      <c r="AY419" s="221"/>
      <c r="AZ419" s="481"/>
      <c r="BA419" s="481"/>
      <c r="BB419" s="481"/>
      <c r="BC419" s="481"/>
      <c r="BD419" s="163">
        <f t="shared" si="218"/>
        <v>158.62</v>
      </c>
      <c r="BE419" s="163">
        <f t="shared" si="231"/>
        <v>201.15</v>
      </c>
      <c r="BF419" s="163">
        <f t="shared" si="232"/>
        <v>2614.9499999999998</v>
      </c>
    </row>
    <row r="420" spans="1:59" s="34" customFormat="1" ht="30">
      <c r="A420" s="803" t="s">
        <v>2471</v>
      </c>
      <c r="B420" s="475">
        <v>9973</v>
      </c>
      <c r="C420" s="471" t="s">
        <v>187</v>
      </c>
      <c r="D420" s="472" t="s">
        <v>44</v>
      </c>
      <c r="E420" s="472" t="s">
        <v>17</v>
      </c>
      <c r="F420" s="473">
        <v>288.27</v>
      </c>
      <c r="G420" s="473">
        <f t="shared" si="227"/>
        <v>118.02249999999999</v>
      </c>
      <c r="H420" s="473">
        <f t="shared" si="228"/>
        <v>149.66</v>
      </c>
      <c r="I420" s="473">
        <f t="shared" ref="I420" si="242">ROUND(H420*F420,2)</f>
        <v>43142.49</v>
      </c>
      <c r="J420" s="474">
        <f>'COMPOSIÇÃO DE CUSTOS'!G998</f>
        <v>118.02</v>
      </c>
      <c r="K420" s="378">
        <v>138.85</v>
      </c>
      <c r="L420" s="378">
        <f t="shared" si="230"/>
        <v>34022.346074999994</v>
      </c>
      <c r="M420" s="474"/>
      <c r="N420" s="47"/>
      <c r="AY420" s="577"/>
      <c r="AZ420" s="502"/>
      <c r="BA420" s="502"/>
      <c r="BB420" s="502"/>
      <c r="BC420" s="502"/>
      <c r="BD420" s="523">
        <f>BG420</f>
        <v>55.07</v>
      </c>
      <c r="BE420" s="523">
        <f>ROUND(BD420*(1+$J$14),2)</f>
        <v>69.83</v>
      </c>
      <c r="BF420" s="523">
        <f t="shared" si="232"/>
        <v>20129.89</v>
      </c>
      <c r="BG420" s="34">
        <f>'COMPOSIÇÃO AB'!G618</f>
        <v>55.07</v>
      </c>
    </row>
    <row r="421" spans="1:59" s="62" customFormat="1" ht="30">
      <c r="A421" s="41" t="s">
        <v>2472</v>
      </c>
      <c r="B421" s="24">
        <v>12895</v>
      </c>
      <c r="C421" s="23" t="s">
        <v>1978</v>
      </c>
      <c r="D421" s="25" t="s">
        <v>44</v>
      </c>
      <c r="E421" s="25" t="s">
        <v>17</v>
      </c>
      <c r="F421" s="26">
        <v>32</v>
      </c>
      <c r="G421" s="26">
        <f t="shared" si="227"/>
        <v>10.863</v>
      </c>
      <c r="H421" s="26">
        <f t="shared" si="228"/>
        <v>13.78</v>
      </c>
      <c r="I421" s="26">
        <f t="shared" ref="I421" si="243">ROUND(H421*F421,2)</f>
        <v>440.96</v>
      </c>
      <c r="J421" s="64">
        <f>'COMPOSIÇÃO DE CUSTOS'!G2038</f>
        <v>10.86</v>
      </c>
      <c r="K421" s="362">
        <v>12.78</v>
      </c>
      <c r="L421" s="362">
        <f t="shared" si="230"/>
        <v>347.61599999999999</v>
      </c>
      <c r="M421" s="64"/>
      <c r="N421" s="65"/>
      <c r="AY421" s="221"/>
      <c r="AZ421" s="481"/>
      <c r="BA421" s="481"/>
      <c r="BB421" s="481"/>
      <c r="BC421" s="481"/>
      <c r="BD421" s="163">
        <f t="shared" ref="BD421" si="244">ROUND(G421*$BH$19,2)</f>
        <v>12.1</v>
      </c>
      <c r="BE421" s="163">
        <f t="shared" si="231"/>
        <v>15.34</v>
      </c>
      <c r="BF421" s="163">
        <f t="shared" si="232"/>
        <v>490.88</v>
      </c>
    </row>
    <row r="422" spans="1:59" s="62" customFormat="1">
      <c r="A422" s="41" t="s">
        <v>2473</v>
      </c>
      <c r="B422" s="24">
        <v>115031</v>
      </c>
      <c r="C422" s="23" t="s">
        <v>188</v>
      </c>
      <c r="D422" s="25" t="s">
        <v>1915</v>
      </c>
      <c r="E422" s="25" t="s">
        <v>17</v>
      </c>
      <c r="F422" s="26">
        <v>18</v>
      </c>
      <c r="G422" s="26">
        <f t="shared" si="227"/>
        <v>11.849</v>
      </c>
      <c r="H422" s="26">
        <f t="shared" si="228"/>
        <v>15.03</v>
      </c>
      <c r="I422" s="26">
        <f t="shared" ref="I422" si="245">ROUND(H422*F422,2)</f>
        <v>270.54000000000002</v>
      </c>
      <c r="J422" s="64">
        <f>'COMPOSIÇÃO DE CUSTOS'!G1005</f>
        <v>11.85</v>
      </c>
      <c r="K422" s="362">
        <v>13.94</v>
      </c>
      <c r="L422" s="362">
        <f t="shared" si="230"/>
        <v>213.28200000000001</v>
      </c>
      <c r="M422" s="64"/>
      <c r="N422" s="65"/>
      <c r="AY422" s="221"/>
      <c r="AZ422" s="481"/>
      <c r="BA422" s="481"/>
      <c r="BB422" s="481"/>
      <c r="BC422" s="481"/>
      <c r="BD422" s="163">
        <f t="shared" ref="BD422:BD485" si="246">ROUND(G422*$BH$19,2)</f>
        <v>13.2</v>
      </c>
      <c r="BE422" s="163">
        <f t="shared" si="231"/>
        <v>16.739999999999998</v>
      </c>
      <c r="BF422" s="163">
        <f t="shared" si="232"/>
        <v>301.32</v>
      </c>
    </row>
    <row r="423" spans="1:59" s="62" customFormat="1">
      <c r="A423" s="41" t="s">
        <v>2474</v>
      </c>
      <c r="B423" s="24">
        <v>388251</v>
      </c>
      <c r="C423" s="23" t="s">
        <v>189</v>
      </c>
      <c r="D423" s="25" t="s">
        <v>1915</v>
      </c>
      <c r="E423" s="25" t="s">
        <v>17</v>
      </c>
      <c r="F423" s="26">
        <v>1</v>
      </c>
      <c r="G423" s="26">
        <f t="shared" si="227"/>
        <v>2444.8634999999999</v>
      </c>
      <c r="H423" s="26">
        <f t="shared" si="228"/>
        <v>3100.33</v>
      </c>
      <c r="I423" s="26">
        <f t="shared" ref="I423" si="247">ROUND(H423*F423,2)</f>
        <v>3100.33</v>
      </c>
      <c r="J423" s="64">
        <f>'COMPOSIÇÃO DE CUSTOS'!G1012</f>
        <v>2444.87</v>
      </c>
      <c r="K423" s="362">
        <v>2876.31</v>
      </c>
      <c r="L423" s="362">
        <f t="shared" si="230"/>
        <v>2444.8634999999999</v>
      </c>
      <c r="M423" s="64"/>
      <c r="N423" s="65"/>
      <c r="AY423" s="221"/>
      <c r="AZ423" s="481"/>
      <c r="BA423" s="481"/>
      <c r="BB423" s="481"/>
      <c r="BC423" s="481"/>
      <c r="BD423" s="163">
        <f t="shared" si="246"/>
        <v>2723.6</v>
      </c>
      <c r="BE423" s="163">
        <f t="shared" si="231"/>
        <v>3453.8</v>
      </c>
      <c r="BF423" s="163">
        <f t="shared" si="232"/>
        <v>3453.8</v>
      </c>
    </row>
    <row r="424" spans="1:59" s="62" customFormat="1" ht="49.5" customHeight="1">
      <c r="A424" s="41" t="s">
        <v>2475</v>
      </c>
      <c r="B424" s="24">
        <v>95777</v>
      </c>
      <c r="C424" s="23" t="s">
        <v>1662</v>
      </c>
      <c r="D424" s="25" t="s">
        <v>12</v>
      </c>
      <c r="E424" s="25" t="s">
        <v>17</v>
      </c>
      <c r="F424" s="26">
        <v>18</v>
      </c>
      <c r="G424" s="26">
        <f t="shared" si="227"/>
        <v>18.750999999999998</v>
      </c>
      <c r="H424" s="26">
        <f t="shared" si="228"/>
        <v>23.78</v>
      </c>
      <c r="I424" s="26">
        <f t="shared" ref="I424" si="248">ROUND(H424*F424,2)</f>
        <v>428.04</v>
      </c>
      <c r="J424" s="64" t="e">
        <f>IF(B424&lt;&gt;0,VLOOKUP(B424,#REF!,4,FALSE),"")</f>
        <v>#REF!</v>
      </c>
      <c r="K424" s="362" t="s">
        <v>3237</v>
      </c>
      <c r="L424" s="362">
        <f t="shared" si="230"/>
        <v>337.51799999999997</v>
      </c>
      <c r="M424" s="64"/>
      <c r="N424" s="65" t="e">
        <f>IF(B424&lt;&gt;0,VLOOKUP(B424,#REF!,2,FALSE),"")</f>
        <v>#REF!</v>
      </c>
      <c r="AY424" s="221"/>
      <c r="AZ424" s="481"/>
      <c r="BA424" s="481"/>
      <c r="BB424" s="481"/>
      <c r="BC424" s="481"/>
      <c r="BD424" s="163">
        <f t="shared" si="246"/>
        <v>20.89</v>
      </c>
      <c r="BE424" s="163">
        <f t="shared" si="231"/>
        <v>26.49</v>
      </c>
      <c r="BF424" s="163">
        <f t="shared" si="232"/>
        <v>476.82</v>
      </c>
    </row>
    <row r="425" spans="1:59" s="62" customFormat="1" ht="30">
      <c r="A425" s="41" t="s">
        <v>2476</v>
      </c>
      <c r="B425" s="25" t="s">
        <v>2174</v>
      </c>
      <c r="C425" s="23" t="s">
        <v>190</v>
      </c>
      <c r="D425" s="25" t="s">
        <v>70</v>
      </c>
      <c r="E425" s="25" t="s">
        <v>17</v>
      </c>
      <c r="F425" s="26">
        <v>1</v>
      </c>
      <c r="G425" s="26">
        <f t="shared" si="227"/>
        <v>342.15899999999999</v>
      </c>
      <c r="H425" s="26">
        <f t="shared" si="228"/>
        <v>433.89</v>
      </c>
      <c r="I425" s="26">
        <f t="shared" ref="I425" si="249">ROUND(H425*F425,2)</f>
        <v>433.89</v>
      </c>
      <c r="J425" s="64">
        <f>'COMPOSIÇÃO DE CUSTOS'!G1019</f>
        <v>342.15</v>
      </c>
      <c r="K425" s="362">
        <v>402.54</v>
      </c>
      <c r="L425" s="362">
        <f t="shared" si="230"/>
        <v>342.15899999999999</v>
      </c>
      <c r="M425" s="64"/>
      <c r="N425" s="65"/>
      <c r="AY425" s="221"/>
      <c r="AZ425" s="481"/>
      <c r="BA425" s="481"/>
      <c r="BB425" s="481"/>
      <c r="BC425" s="481"/>
      <c r="BD425" s="163">
        <f t="shared" si="246"/>
        <v>381.17</v>
      </c>
      <c r="BE425" s="163">
        <f t="shared" si="231"/>
        <v>483.36</v>
      </c>
      <c r="BF425" s="163">
        <f t="shared" si="232"/>
        <v>483.36</v>
      </c>
    </row>
    <row r="426" spans="1:59" ht="37.5" customHeight="1">
      <c r="A426" s="23"/>
      <c r="B426" s="25"/>
      <c r="C426" s="23"/>
      <c r="D426" s="25"/>
      <c r="E426" s="25"/>
      <c r="F426" s="26"/>
      <c r="G426" s="26"/>
      <c r="H426" s="26"/>
      <c r="I426" s="26"/>
      <c r="J426" s="35"/>
      <c r="K426" s="375"/>
      <c r="L426" s="362">
        <f t="shared" si="230"/>
        <v>0</v>
      </c>
      <c r="M426" s="35"/>
      <c r="N426" s="35"/>
      <c r="AY426" s="21"/>
      <c r="AZ426" s="481"/>
      <c r="BA426" s="481"/>
      <c r="BB426" s="481"/>
      <c r="BC426" s="481"/>
      <c r="BD426" s="163"/>
      <c r="BE426" s="163"/>
      <c r="BF426" s="163"/>
    </row>
    <row r="427" spans="1:59" s="28" customFormat="1" ht="15" customHeight="1">
      <c r="A427" s="356" t="s">
        <v>981</v>
      </c>
      <c r="B427" s="356"/>
      <c r="C427" s="356" t="s">
        <v>191</v>
      </c>
      <c r="D427" s="357"/>
      <c r="E427" s="357"/>
      <c r="F427" s="357"/>
      <c r="G427" s="26"/>
      <c r="H427" s="357"/>
      <c r="I427" s="96">
        <f>ROUND(I428+I505+I585+I616+I620+I660+I684+I745+I956+I987+I1006,2)</f>
        <v>3822627.68</v>
      </c>
      <c r="J427" s="70"/>
      <c r="K427" s="371"/>
      <c r="L427" s="362">
        <f t="shared" si="230"/>
        <v>0</v>
      </c>
      <c r="M427" s="371"/>
      <c r="N427" s="69"/>
      <c r="AY427" s="370"/>
      <c r="AZ427" s="481"/>
      <c r="BA427" s="481"/>
      <c r="BB427" s="481"/>
      <c r="BC427" s="481"/>
      <c r="BD427" s="163"/>
      <c r="BE427" s="163"/>
      <c r="BF427" s="96">
        <f>ROUND(BF428+BF505+BF585+BF616+BF620+BF660+BF684+BF745+BF956+BF987+BF1006,2)</f>
        <v>5374154.3099999996</v>
      </c>
    </row>
    <row r="428" spans="1:59" s="45" customFormat="1" ht="15" customHeight="1">
      <c r="A428" s="356" t="s">
        <v>982</v>
      </c>
      <c r="B428" s="356"/>
      <c r="C428" s="356" t="s">
        <v>192</v>
      </c>
      <c r="D428" s="357"/>
      <c r="E428" s="357"/>
      <c r="F428" s="357"/>
      <c r="G428" s="26"/>
      <c r="H428" s="357"/>
      <c r="I428" s="96">
        <f>ROUND(SUM(I430:I503),2)</f>
        <v>815957.21</v>
      </c>
      <c r="J428" s="71"/>
      <c r="K428" s="384"/>
      <c r="L428" s="362">
        <f t="shared" si="230"/>
        <v>0</v>
      </c>
      <c r="M428" s="52"/>
      <c r="N428" s="46"/>
      <c r="AY428" s="56"/>
      <c r="AZ428" s="481"/>
      <c r="BA428" s="481"/>
      <c r="BB428" s="481"/>
      <c r="BC428" s="481"/>
      <c r="BD428" s="163"/>
      <c r="BE428" s="163"/>
      <c r="BF428" s="96">
        <f>ROUND(SUM(BF430:BF503),2)</f>
        <v>1112247.02</v>
      </c>
    </row>
    <row r="429" spans="1:59" s="62" customFormat="1" ht="15" customHeight="1">
      <c r="A429" s="356" t="s">
        <v>983</v>
      </c>
      <c r="B429" s="356"/>
      <c r="C429" s="356" t="s">
        <v>193</v>
      </c>
      <c r="D429" s="357"/>
      <c r="E429" s="357"/>
      <c r="F429" s="357"/>
      <c r="G429" s="26"/>
      <c r="H429" s="357"/>
      <c r="I429" s="96"/>
      <c r="J429" s="65"/>
      <c r="K429" s="362"/>
      <c r="L429" s="362">
        <f t="shared" si="230"/>
        <v>0</v>
      </c>
      <c r="M429" s="65"/>
      <c r="N429" s="65"/>
      <c r="AY429" s="221"/>
      <c r="AZ429" s="481"/>
      <c r="BA429" s="481"/>
      <c r="BB429" s="481"/>
      <c r="BC429" s="481"/>
      <c r="BD429" s="163"/>
      <c r="BE429" s="163"/>
      <c r="BF429" s="163"/>
    </row>
    <row r="430" spans="1:59" s="62" customFormat="1" ht="45">
      <c r="A430" s="41" t="s">
        <v>2175</v>
      </c>
      <c r="B430" s="24">
        <v>91864</v>
      </c>
      <c r="C430" s="23" t="s">
        <v>1663</v>
      </c>
      <c r="D430" s="25" t="s">
        <v>12</v>
      </c>
      <c r="E430" s="25" t="s">
        <v>52</v>
      </c>
      <c r="F430" s="26">
        <f>17+46</f>
        <v>63</v>
      </c>
      <c r="G430" s="26">
        <f t="shared" si="227"/>
        <v>9.1204999999999998</v>
      </c>
      <c r="H430" s="26">
        <f t="shared" ref="H430:H477" si="250">ROUND(G430*(1+$J$14),2)</f>
        <v>11.57</v>
      </c>
      <c r="I430" s="26">
        <f t="shared" ref="I430:I434" si="251">ROUND(H430*F430,2)</f>
        <v>728.91</v>
      </c>
      <c r="J430" s="64" t="e">
        <f>IF(B430&lt;&gt;0,VLOOKUP(B430,#REF!,4,FALSE),"")</f>
        <v>#REF!</v>
      </c>
      <c r="K430" s="362" t="s">
        <v>1837</v>
      </c>
      <c r="L430" s="362">
        <f t="shared" si="230"/>
        <v>574.5915</v>
      </c>
      <c r="M430" s="64"/>
      <c r="N430" s="65" t="e">
        <f>IF(B430&lt;&gt;0,VLOOKUP(B430,#REF!,2,FALSE),"")</f>
        <v>#REF!</v>
      </c>
      <c r="AY430" s="221"/>
      <c r="AZ430" s="481"/>
      <c r="BA430" s="481"/>
      <c r="BB430" s="481"/>
      <c r="BC430" s="481"/>
      <c r="BD430" s="163">
        <f t="shared" si="246"/>
        <v>10.16</v>
      </c>
      <c r="BE430" s="163">
        <f t="shared" si="231"/>
        <v>12.88</v>
      </c>
      <c r="BF430" s="163">
        <f t="shared" ref="BF430:BF477" si="252">ROUND(BE430*F430,2)</f>
        <v>811.44</v>
      </c>
    </row>
    <row r="431" spans="1:59" s="62" customFormat="1" ht="45">
      <c r="A431" s="41" t="s">
        <v>2176</v>
      </c>
      <c r="B431" s="24">
        <v>91876</v>
      </c>
      <c r="C431" s="23" t="s">
        <v>1664</v>
      </c>
      <c r="D431" s="25" t="s">
        <v>12</v>
      </c>
      <c r="E431" s="25" t="s">
        <v>17</v>
      </c>
      <c r="F431" s="26">
        <f>16+2</f>
        <v>18</v>
      </c>
      <c r="G431" s="26">
        <f t="shared" si="227"/>
        <v>4.9980000000000002</v>
      </c>
      <c r="H431" s="26">
        <f t="shared" si="250"/>
        <v>6.34</v>
      </c>
      <c r="I431" s="26">
        <f t="shared" si="251"/>
        <v>114.12</v>
      </c>
      <c r="J431" s="64" t="e">
        <f>IF(B431&lt;&gt;0,VLOOKUP(B431,#REF!,4,FALSE),"")</f>
        <v>#REF!</v>
      </c>
      <c r="K431" s="362" t="s">
        <v>3194</v>
      </c>
      <c r="L431" s="362">
        <f t="shared" si="230"/>
        <v>89.963999999999999</v>
      </c>
      <c r="M431" s="64"/>
      <c r="N431" s="65" t="e">
        <f>IF(B431&lt;&gt;0,VLOOKUP(B431,#REF!,2,FALSE),"")</f>
        <v>#REF!</v>
      </c>
      <c r="AY431" s="221"/>
      <c r="AZ431" s="481"/>
      <c r="BA431" s="481"/>
      <c r="BB431" s="481"/>
      <c r="BC431" s="481"/>
      <c r="BD431" s="163">
        <f t="shared" si="246"/>
        <v>5.57</v>
      </c>
      <c r="BE431" s="163">
        <f t="shared" si="231"/>
        <v>7.06</v>
      </c>
      <c r="BF431" s="163">
        <f t="shared" si="252"/>
        <v>127.08</v>
      </c>
    </row>
    <row r="432" spans="1:59" s="62" customFormat="1" ht="45">
      <c r="A432" s="41" t="s">
        <v>2177</v>
      </c>
      <c r="B432" s="24">
        <v>91873</v>
      </c>
      <c r="C432" s="23" t="s">
        <v>1665</v>
      </c>
      <c r="D432" s="25" t="s">
        <v>12</v>
      </c>
      <c r="E432" s="25" t="s">
        <v>52</v>
      </c>
      <c r="F432" s="26">
        <f>106+8</f>
        <v>114</v>
      </c>
      <c r="G432" s="26">
        <f t="shared" si="227"/>
        <v>11.8065</v>
      </c>
      <c r="H432" s="26">
        <f t="shared" si="250"/>
        <v>14.97</v>
      </c>
      <c r="I432" s="26">
        <f t="shared" si="251"/>
        <v>1706.58</v>
      </c>
      <c r="J432" s="64" t="e">
        <f>IF(B432&lt;&gt;0,VLOOKUP(B432,#REF!,4,FALSE),"")</f>
        <v>#REF!</v>
      </c>
      <c r="K432" s="362" t="s">
        <v>3157</v>
      </c>
      <c r="L432" s="362">
        <f t="shared" si="230"/>
        <v>1345.941</v>
      </c>
      <c r="M432" s="64"/>
      <c r="N432" s="65" t="e">
        <f>IF(B432&lt;&gt;0,VLOOKUP(B432,#REF!,2,FALSE),"")</f>
        <v>#REF!</v>
      </c>
      <c r="AY432" s="221"/>
      <c r="AZ432" s="481"/>
      <c r="BA432" s="481"/>
      <c r="BB432" s="481"/>
      <c r="BC432" s="481"/>
      <c r="BD432" s="163">
        <f t="shared" si="246"/>
        <v>13.15</v>
      </c>
      <c r="BE432" s="163">
        <f t="shared" si="231"/>
        <v>16.68</v>
      </c>
      <c r="BF432" s="163">
        <f t="shared" si="252"/>
        <v>1901.52</v>
      </c>
    </row>
    <row r="433" spans="1:58" s="62" customFormat="1" ht="60">
      <c r="A433" s="41" t="s">
        <v>2178</v>
      </c>
      <c r="B433" s="24">
        <v>91920</v>
      </c>
      <c r="C433" s="23" t="s">
        <v>1666</v>
      </c>
      <c r="D433" s="25" t="s">
        <v>12</v>
      </c>
      <c r="E433" s="25" t="s">
        <v>17</v>
      </c>
      <c r="F433" s="26">
        <v>9</v>
      </c>
      <c r="G433" s="26">
        <f t="shared" si="227"/>
        <v>11.942500000000001</v>
      </c>
      <c r="H433" s="26">
        <f t="shared" si="250"/>
        <v>15.14</v>
      </c>
      <c r="I433" s="26">
        <f t="shared" si="251"/>
        <v>136.26</v>
      </c>
      <c r="J433" s="64" t="e">
        <f>IF(B433&lt;&gt;0,VLOOKUP(B433,#REF!,4,FALSE),"")</f>
        <v>#REF!</v>
      </c>
      <c r="K433" s="362" t="s">
        <v>3210</v>
      </c>
      <c r="L433" s="362">
        <f t="shared" si="230"/>
        <v>107.4825</v>
      </c>
      <c r="M433" s="64"/>
      <c r="N433" s="65" t="e">
        <f>IF(B433&lt;&gt;0,VLOOKUP(B433,#REF!,2,FALSE),"")</f>
        <v>#REF!</v>
      </c>
      <c r="AY433" s="221"/>
      <c r="AZ433" s="481"/>
      <c r="BA433" s="481"/>
      <c r="BB433" s="481"/>
      <c r="BC433" s="481"/>
      <c r="BD433" s="163">
        <f t="shared" si="246"/>
        <v>13.3</v>
      </c>
      <c r="BE433" s="163">
        <f t="shared" si="231"/>
        <v>16.87</v>
      </c>
      <c r="BF433" s="163">
        <f t="shared" si="252"/>
        <v>151.83000000000001</v>
      </c>
    </row>
    <row r="434" spans="1:58" s="62" customFormat="1" ht="60">
      <c r="A434" s="41" t="s">
        <v>2179</v>
      </c>
      <c r="B434" s="24">
        <v>91886</v>
      </c>
      <c r="C434" s="23" t="s">
        <v>1667</v>
      </c>
      <c r="D434" s="25" t="s">
        <v>12</v>
      </c>
      <c r="E434" s="25" t="s">
        <v>17</v>
      </c>
      <c r="F434" s="26">
        <f>36+9</f>
        <v>45</v>
      </c>
      <c r="G434" s="26">
        <f t="shared" si="227"/>
        <v>7.5565000000000007</v>
      </c>
      <c r="H434" s="26">
        <f t="shared" si="250"/>
        <v>9.58</v>
      </c>
      <c r="I434" s="26">
        <f t="shared" si="251"/>
        <v>431.1</v>
      </c>
      <c r="J434" s="64" t="e">
        <f>IF(B434&lt;&gt;0,VLOOKUP(B434,#REF!,4,FALSE),"")</f>
        <v>#REF!</v>
      </c>
      <c r="K434" s="362" t="s">
        <v>1907</v>
      </c>
      <c r="L434" s="362">
        <f t="shared" si="230"/>
        <v>340.04250000000002</v>
      </c>
      <c r="M434" s="64"/>
      <c r="N434" s="65" t="e">
        <f>IF(B434&lt;&gt;0,VLOOKUP(B434,#REF!,2,FALSE),"")</f>
        <v>#REF!</v>
      </c>
      <c r="AY434" s="221"/>
      <c r="AZ434" s="481"/>
      <c r="BA434" s="481"/>
      <c r="BB434" s="481"/>
      <c r="BC434" s="481"/>
      <c r="BD434" s="163">
        <f t="shared" si="246"/>
        <v>8.42</v>
      </c>
      <c r="BE434" s="163">
        <f t="shared" si="231"/>
        <v>10.68</v>
      </c>
      <c r="BF434" s="163">
        <f t="shared" si="252"/>
        <v>480.6</v>
      </c>
    </row>
    <row r="435" spans="1:58" s="62" customFormat="1" ht="30">
      <c r="A435" s="41" t="s">
        <v>2429</v>
      </c>
      <c r="B435" s="24">
        <v>97667</v>
      </c>
      <c r="C435" s="470" t="s">
        <v>3745</v>
      </c>
      <c r="D435" s="25" t="s">
        <v>12</v>
      </c>
      <c r="E435" s="25" t="s">
        <v>52</v>
      </c>
      <c r="F435" s="26">
        <f>1597+402</f>
        <v>1999</v>
      </c>
      <c r="G435" s="26">
        <f t="shared" si="227"/>
        <v>5.8650000000000002</v>
      </c>
      <c r="H435" s="26">
        <f t="shared" si="250"/>
        <v>7.44</v>
      </c>
      <c r="I435" s="26">
        <f t="shared" ref="I435" si="253">ROUND(H435*F435,2)</f>
        <v>14872.56</v>
      </c>
      <c r="J435" s="64" t="e">
        <f>IF(B435&lt;&gt;0,VLOOKUP(B435,#REF!,4,FALSE),"")</f>
        <v>#REF!</v>
      </c>
      <c r="K435" s="362" t="s">
        <v>1849</v>
      </c>
      <c r="L435" s="362">
        <f t="shared" si="230"/>
        <v>11724.135</v>
      </c>
      <c r="M435" s="64"/>
      <c r="N435" s="65" t="e">
        <f>IF(B435&lt;&gt;0,VLOOKUP(B435,#REF!,2,FALSE),"")</f>
        <v>#REF!</v>
      </c>
      <c r="AY435" s="221"/>
      <c r="AZ435" s="481"/>
      <c r="BA435" s="481"/>
      <c r="BB435" s="481"/>
      <c r="BC435" s="481"/>
      <c r="BD435" s="163">
        <f t="shared" si="246"/>
        <v>6.53</v>
      </c>
      <c r="BE435" s="163">
        <f t="shared" si="231"/>
        <v>8.2799999999999994</v>
      </c>
      <c r="BF435" s="163">
        <f t="shared" si="252"/>
        <v>16551.72</v>
      </c>
    </row>
    <row r="436" spans="1:58" s="62" customFormat="1" ht="30">
      <c r="A436" s="41" t="s">
        <v>2430</v>
      </c>
      <c r="B436" s="24">
        <v>93008</v>
      </c>
      <c r="C436" s="23" t="s">
        <v>196</v>
      </c>
      <c r="D436" s="25" t="s">
        <v>12</v>
      </c>
      <c r="E436" s="25" t="s">
        <v>52</v>
      </c>
      <c r="F436" s="26">
        <f>38+167+8</f>
        <v>213</v>
      </c>
      <c r="G436" s="26">
        <f t="shared" si="227"/>
        <v>9.9450000000000003</v>
      </c>
      <c r="H436" s="26">
        <f t="shared" si="250"/>
        <v>12.61</v>
      </c>
      <c r="I436" s="26">
        <f t="shared" ref="I436:I438" si="254">ROUND(H436*F436,2)</f>
        <v>2685.93</v>
      </c>
      <c r="J436" s="64" t="e">
        <f>IF(B436&lt;&gt;0,VLOOKUP(B436,#REF!,4,FALSE),"")</f>
        <v>#REF!</v>
      </c>
      <c r="K436" s="362" t="s">
        <v>1897</v>
      </c>
      <c r="L436" s="362">
        <f t="shared" si="230"/>
        <v>2118.2849999999999</v>
      </c>
      <c r="M436" s="64"/>
      <c r="N436" s="65" t="e">
        <f>IF(B436&lt;&gt;0,VLOOKUP(B436,#REF!,2,FALSE),"")</f>
        <v>#REF!</v>
      </c>
      <c r="AY436" s="221"/>
      <c r="AZ436" s="481"/>
      <c r="BA436" s="481"/>
      <c r="BB436" s="481"/>
      <c r="BC436" s="481"/>
      <c r="BD436" s="163">
        <f t="shared" si="246"/>
        <v>11.08</v>
      </c>
      <c r="BE436" s="163">
        <f t="shared" si="231"/>
        <v>14.05</v>
      </c>
      <c r="BF436" s="163">
        <f t="shared" si="252"/>
        <v>2992.65</v>
      </c>
    </row>
    <row r="437" spans="1:58" s="62" customFormat="1" ht="30">
      <c r="A437" s="41" t="s">
        <v>2431</v>
      </c>
      <c r="B437" s="24">
        <v>93013</v>
      </c>
      <c r="C437" s="23" t="s">
        <v>197</v>
      </c>
      <c r="D437" s="25" t="s">
        <v>12</v>
      </c>
      <c r="E437" s="25" t="s">
        <v>17</v>
      </c>
      <c r="F437" s="26">
        <f>21+56+7</f>
        <v>84</v>
      </c>
      <c r="G437" s="26">
        <f t="shared" si="227"/>
        <v>8.6955000000000009</v>
      </c>
      <c r="H437" s="26">
        <f t="shared" si="250"/>
        <v>11.03</v>
      </c>
      <c r="I437" s="26">
        <f t="shared" si="254"/>
        <v>926.52</v>
      </c>
      <c r="J437" s="64" t="e">
        <f>IF(B437&lt;&gt;0,VLOOKUP(B437,#REF!,4,FALSE),"")</f>
        <v>#REF!</v>
      </c>
      <c r="K437" s="362" t="s">
        <v>1901</v>
      </c>
      <c r="L437" s="362">
        <f t="shared" si="230"/>
        <v>730.42200000000003</v>
      </c>
      <c r="M437" s="64"/>
      <c r="N437" s="65" t="e">
        <f>IF(B437&lt;&gt;0,VLOOKUP(B437,#REF!,2,FALSE),"")</f>
        <v>#REF!</v>
      </c>
      <c r="AY437" s="221"/>
      <c r="AZ437" s="481"/>
      <c r="BA437" s="481"/>
      <c r="BB437" s="481"/>
      <c r="BC437" s="481"/>
      <c r="BD437" s="163">
        <f t="shared" si="246"/>
        <v>9.69</v>
      </c>
      <c r="BE437" s="163">
        <f t="shared" si="231"/>
        <v>12.29</v>
      </c>
      <c r="BF437" s="163">
        <f t="shared" si="252"/>
        <v>1032.3599999999999</v>
      </c>
    </row>
    <row r="438" spans="1:58" s="62" customFormat="1" ht="60">
      <c r="A438" s="41" t="s">
        <v>2180</v>
      </c>
      <c r="B438" s="24">
        <v>93018</v>
      </c>
      <c r="C438" s="23" t="s">
        <v>1668</v>
      </c>
      <c r="D438" s="25" t="s">
        <v>12</v>
      </c>
      <c r="E438" s="25" t="s">
        <v>17</v>
      </c>
      <c r="F438" s="26">
        <v>7</v>
      </c>
      <c r="G438" s="26">
        <f t="shared" si="227"/>
        <v>13.3195</v>
      </c>
      <c r="H438" s="26">
        <f t="shared" si="250"/>
        <v>16.89</v>
      </c>
      <c r="I438" s="26">
        <f t="shared" si="254"/>
        <v>118.23</v>
      </c>
      <c r="J438" s="64" t="e">
        <f>IF(B438&lt;&gt;0,VLOOKUP(B438,#REF!,4,FALSE),"")</f>
        <v>#REF!</v>
      </c>
      <c r="K438" s="362" t="s">
        <v>3101</v>
      </c>
      <c r="L438" s="362">
        <f t="shared" si="230"/>
        <v>93.236499999999992</v>
      </c>
      <c r="M438" s="64"/>
      <c r="N438" s="65" t="e">
        <f>IF(B438&lt;&gt;0,VLOOKUP(B438,#REF!,2,FALSE),"")</f>
        <v>#REF!</v>
      </c>
      <c r="AY438" s="221"/>
      <c r="AZ438" s="481"/>
      <c r="BA438" s="481"/>
      <c r="BB438" s="481"/>
      <c r="BC438" s="481"/>
      <c r="BD438" s="163">
        <f t="shared" si="246"/>
        <v>14.84</v>
      </c>
      <c r="BE438" s="163">
        <f t="shared" si="231"/>
        <v>18.82</v>
      </c>
      <c r="BF438" s="163">
        <f t="shared" si="252"/>
        <v>131.74</v>
      </c>
    </row>
    <row r="439" spans="1:58" s="62" customFormat="1" ht="30">
      <c r="A439" s="41" t="s">
        <v>2181</v>
      </c>
      <c r="B439" s="24">
        <v>97668</v>
      </c>
      <c r="C439" s="470" t="s">
        <v>3746</v>
      </c>
      <c r="D439" s="25" t="s">
        <v>12</v>
      </c>
      <c r="E439" s="25" t="s">
        <v>52</v>
      </c>
      <c r="F439" s="26">
        <v>699</v>
      </c>
      <c r="G439" s="26">
        <f t="shared" si="227"/>
        <v>8.8739999999999988</v>
      </c>
      <c r="H439" s="26">
        <f t="shared" si="250"/>
        <v>11.25</v>
      </c>
      <c r="I439" s="26">
        <f t="shared" ref="I439" si="255">ROUND(H439*F439,2)</f>
        <v>7863.75</v>
      </c>
      <c r="J439" s="64" t="e">
        <f>IF(B439&lt;&gt;0,VLOOKUP(B439,#REF!,4,FALSE),"")</f>
        <v>#REF!</v>
      </c>
      <c r="K439" s="362" t="s">
        <v>1898</v>
      </c>
      <c r="L439" s="362">
        <f t="shared" si="230"/>
        <v>6202.9259999999995</v>
      </c>
      <c r="M439" s="64"/>
      <c r="N439" s="65" t="e">
        <f>IF(B439&lt;&gt;0,VLOOKUP(B439,#REF!,2,FALSE),"")</f>
        <v>#REF!</v>
      </c>
      <c r="AY439" s="221"/>
      <c r="AZ439" s="481"/>
      <c r="BA439" s="481"/>
      <c r="BB439" s="481"/>
      <c r="BC439" s="481"/>
      <c r="BD439" s="163">
        <f t="shared" si="246"/>
        <v>9.89</v>
      </c>
      <c r="BE439" s="163">
        <f t="shared" si="231"/>
        <v>12.54</v>
      </c>
      <c r="BF439" s="163">
        <f t="shared" si="252"/>
        <v>8765.4599999999991</v>
      </c>
    </row>
    <row r="440" spans="1:58" s="62" customFormat="1" ht="30">
      <c r="A440" s="41" t="s">
        <v>2182</v>
      </c>
      <c r="B440" s="24">
        <v>93009</v>
      </c>
      <c r="C440" s="23" t="s">
        <v>1669</v>
      </c>
      <c r="D440" s="25" t="s">
        <v>12</v>
      </c>
      <c r="E440" s="25" t="s">
        <v>52</v>
      </c>
      <c r="F440" s="26">
        <f>116+14+4</f>
        <v>134</v>
      </c>
      <c r="G440" s="26">
        <f t="shared" si="227"/>
        <v>14.807000000000002</v>
      </c>
      <c r="H440" s="26">
        <f t="shared" si="250"/>
        <v>18.78</v>
      </c>
      <c r="I440" s="26">
        <f t="shared" ref="I440:I441" si="256">ROUND(H440*F440,2)</f>
        <v>2516.52</v>
      </c>
      <c r="J440" s="64" t="e">
        <f>IF(B440&lt;&gt;0,VLOOKUP(B440,#REF!,4,FALSE),"")</f>
        <v>#REF!</v>
      </c>
      <c r="K440" s="362" t="s">
        <v>3224</v>
      </c>
      <c r="L440" s="362">
        <f t="shared" si="230"/>
        <v>1984.1380000000004</v>
      </c>
      <c r="M440" s="64"/>
      <c r="N440" s="65" t="e">
        <f>IF(B440&lt;&gt;0,VLOOKUP(B440,#REF!,2,FALSE),"")</f>
        <v>#REF!</v>
      </c>
      <c r="AY440" s="221"/>
      <c r="AZ440" s="481"/>
      <c r="BA440" s="481"/>
      <c r="BB440" s="481"/>
      <c r="BC440" s="481"/>
      <c r="BD440" s="163">
        <f t="shared" si="246"/>
        <v>16.5</v>
      </c>
      <c r="BE440" s="163">
        <f t="shared" si="231"/>
        <v>20.92</v>
      </c>
      <c r="BF440" s="163">
        <f t="shared" si="252"/>
        <v>2803.28</v>
      </c>
    </row>
    <row r="441" spans="1:58" s="62" customFormat="1" ht="45">
      <c r="A441" s="41" t="s">
        <v>2432</v>
      </c>
      <c r="B441" s="24">
        <v>93020</v>
      </c>
      <c r="C441" s="23" t="s">
        <v>1670</v>
      </c>
      <c r="D441" s="25" t="s">
        <v>12</v>
      </c>
      <c r="E441" s="25" t="s">
        <v>17</v>
      </c>
      <c r="F441" s="26">
        <f>2+39+1</f>
        <v>42</v>
      </c>
      <c r="G441" s="26">
        <f t="shared" si="227"/>
        <v>17.34</v>
      </c>
      <c r="H441" s="26">
        <f t="shared" si="250"/>
        <v>21.99</v>
      </c>
      <c r="I441" s="26">
        <f t="shared" si="256"/>
        <v>923.58</v>
      </c>
      <c r="J441" s="64" t="e">
        <f>IF(B441&lt;&gt;0,VLOOKUP(B441,#REF!,4,FALSE),"")</f>
        <v>#REF!</v>
      </c>
      <c r="K441" s="362" t="s">
        <v>3227</v>
      </c>
      <c r="L441" s="362">
        <f t="shared" si="230"/>
        <v>728.28</v>
      </c>
      <c r="M441" s="64"/>
      <c r="N441" s="65" t="e">
        <f>IF(B441&lt;&gt;0,VLOOKUP(B441,#REF!,2,FALSE),"")</f>
        <v>#REF!</v>
      </c>
      <c r="AY441" s="221"/>
      <c r="AZ441" s="481"/>
      <c r="BA441" s="481"/>
      <c r="BB441" s="481"/>
      <c r="BC441" s="481"/>
      <c r="BD441" s="163">
        <f t="shared" si="246"/>
        <v>19.32</v>
      </c>
      <c r="BE441" s="163">
        <f t="shared" si="231"/>
        <v>24.5</v>
      </c>
      <c r="BF441" s="163">
        <f t="shared" si="252"/>
        <v>1029</v>
      </c>
    </row>
    <row r="442" spans="1:58" s="62" customFormat="1" ht="45">
      <c r="A442" s="41" t="s">
        <v>2183</v>
      </c>
      <c r="B442" s="24">
        <v>93014</v>
      </c>
      <c r="C442" s="23" t="s">
        <v>1671</v>
      </c>
      <c r="D442" s="25" t="s">
        <v>12</v>
      </c>
      <c r="E442" s="25" t="s">
        <v>17</v>
      </c>
      <c r="F442" s="26">
        <f>9+4</f>
        <v>13</v>
      </c>
      <c r="G442" s="26">
        <f t="shared" si="227"/>
        <v>10.795</v>
      </c>
      <c r="H442" s="26">
        <f t="shared" si="250"/>
        <v>13.69</v>
      </c>
      <c r="I442" s="26">
        <f t="shared" ref="I442" si="257">ROUND(H442*F442,2)</f>
        <v>177.97</v>
      </c>
      <c r="J442" s="64" t="e">
        <f>IF(B442&lt;&gt;0,VLOOKUP(B442,#REF!,4,FALSE),"")</f>
        <v>#REF!</v>
      </c>
      <c r="K442" s="362" t="s">
        <v>3218</v>
      </c>
      <c r="L442" s="362">
        <f t="shared" si="230"/>
        <v>140.33500000000001</v>
      </c>
      <c r="M442" s="64"/>
      <c r="N442" s="65" t="e">
        <f>IF(B442&lt;&gt;0,VLOOKUP(B442,#REF!,2,FALSE),"")</f>
        <v>#REF!</v>
      </c>
      <c r="AY442" s="221"/>
      <c r="AZ442" s="481"/>
      <c r="BA442" s="481"/>
      <c r="BB442" s="481"/>
      <c r="BC442" s="481"/>
      <c r="BD442" s="163">
        <f t="shared" si="246"/>
        <v>12.03</v>
      </c>
      <c r="BE442" s="163">
        <f t="shared" si="231"/>
        <v>15.26</v>
      </c>
      <c r="BF442" s="163">
        <f t="shared" si="252"/>
        <v>198.38</v>
      </c>
    </row>
    <row r="443" spans="1:58" s="62" customFormat="1" ht="45">
      <c r="A443" s="41" t="s">
        <v>2433</v>
      </c>
      <c r="B443" s="25" t="s">
        <v>2221</v>
      </c>
      <c r="C443" s="23" t="s">
        <v>1768</v>
      </c>
      <c r="D443" s="25" t="s">
        <v>1915</v>
      </c>
      <c r="E443" s="25" t="s">
        <v>52</v>
      </c>
      <c r="F443" s="26">
        <v>483</v>
      </c>
      <c r="G443" s="26">
        <f t="shared" si="227"/>
        <v>10.1745</v>
      </c>
      <c r="H443" s="26">
        <f t="shared" si="250"/>
        <v>12.9</v>
      </c>
      <c r="I443" s="26">
        <f t="shared" ref="I443" si="258">ROUND(H443*F443,2)</f>
        <v>6230.7</v>
      </c>
      <c r="J443" s="64">
        <f>'COMPOSIÇÃO DE CUSTOS'!G1025</f>
        <v>10.18</v>
      </c>
      <c r="K443" s="362">
        <v>11.97</v>
      </c>
      <c r="L443" s="362">
        <f t="shared" si="230"/>
        <v>4914.2835000000005</v>
      </c>
      <c r="M443" s="64"/>
      <c r="N443" s="65"/>
      <c r="AY443" s="221"/>
      <c r="AZ443" s="481"/>
      <c r="BA443" s="481"/>
      <c r="BB443" s="481"/>
      <c r="BC443" s="481"/>
      <c r="BD443" s="163">
        <f t="shared" si="246"/>
        <v>11.33</v>
      </c>
      <c r="BE443" s="163">
        <f t="shared" si="231"/>
        <v>14.37</v>
      </c>
      <c r="BF443" s="163">
        <f t="shared" si="252"/>
        <v>6940.71</v>
      </c>
    </row>
    <row r="444" spans="1:58" s="62" customFormat="1" ht="30">
      <c r="A444" s="41" t="s">
        <v>2434</v>
      </c>
      <c r="B444" s="24">
        <v>93010</v>
      </c>
      <c r="C444" s="23" t="s">
        <v>1672</v>
      </c>
      <c r="D444" s="25" t="s">
        <v>12</v>
      </c>
      <c r="E444" s="25" t="s">
        <v>52</v>
      </c>
      <c r="F444" s="26">
        <v>120</v>
      </c>
      <c r="G444" s="26">
        <f t="shared" si="227"/>
        <v>20.672000000000001</v>
      </c>
      <c r="H444" s="26">
        <f t="shared" si="250"/>
        <v>26.21</v>
      </c>
      <c r="I444" s="26">
        <f t="shared" ref="I444:I446" si="259">ROUND(H444*F444,2)</f>
        <v>3145.2</v>
      </c>
      <c r="J444" s="64" t="e">
        <f>IF(B444&lt;&gt;0,VLOOKUP(B444,#REF!,4,FALSE),"")</f>
        <v>#REF!</v>
      </c>
      <c r="K444" s="362" t="s">
        <v>3208</v>
      </c>
      <c r="L444" s="362">
        <f t="shared" si="230"/>
        <v>2480.64</v>
      </c>
      <c r="M444" s="64"/>
      <c r="N444" s="65" t="e">
        <f>IF(B444&lt;&gt;0,VLOOKUP(B444,#REF!,2,FALSE),"")</f>
        <v>#REF!</v>
      </c>
      <c r="AY444" s="221"/>
      <c r="AZ444" s="481"/>
      <c r="BA444" s="481"/>
      <c r="BB444" s="481"/>
      <c r="BC444" s="481"/>
      <c r="BD444" s="163">
        <f t="shared" si="246"/>
        <v>23.03</v>
      </c>
      <c r="BE444" s="163">
        <f t="shared" si="231"/>
        <v>29.2</v>
      </c>
      <c r="BF444" s="163">
        <f t="shared" si="252"/>
        <v>3504</v>
      </c>
    </row>
    <row r="445" spans="1:58" s="62" customFormat="1" ht="30">
      <c r="A445" s="41" t="s">
        <v>2435</v>
      </c>
      <c r="B445" s="24">
        <v>93015</v>
      </c>
      <c r="C445" s="23" t="s">
        <v>1673</v>
      </c>
      <c r="D445" s="25" t="s">
        <v>12</v>
      </c>
      <c r="E445" s="25" t="s">
        <v>17</v>
      </c>
      <c r="F445" s="26">
        <v>40</v>
      </c>
      <c r="G445" s="26">
        <f t="shared" si="227"/>
        <v>16.804500000000001</v>
      </c>
      <c r="H445" s="26">
        <f t="shared" si="250"/>
        <v>21.31</v>
      </c>
      <c r="I445" s="26">
        <f t="shared" si="259"/>
        <v>852.4</v>
      </c>
      <c r="J445" s="64" t="e">
        <f>IF(B445&lt;&gt;0,VLOOKUP(B445,#REF!,4,FALSE),"")</f>
        <v>#REF!</v>
      </c>
      <c r="K445" s="362" t="s">
        <v>3185</v>
      </c>
      <c r="L445" s="362">
        <f t="shared" si="230"/>
        <v>672.18000000000006</v>
      </c>
      <c r="M445" s="64"/>
      <c r="N445" s="65" t="e">
        <f>IF(B445&lt;&gt;0,VLOOKUP(B445,#REF!,2,FALSE),"")</f>
        <v>#REF!</v>
      </c>
      <c r="AY445" s="221"/>
      <c r="AZ445" s="481"/>
      <c r="BA445" s="481"/>
      <c r="BB445" s="481"/>
      <c r="BC445" s="481"/>
      <c r="BD445" s="163">
        <f t="shared" si="246"/>
        <v>18.72</v>
      </c>
      <c r="BE445" s="163">
        <f t="shared" si="231"/>
        <v>23.74</v>
      </c>
      <c r="BF445" s="163">
        <f t="shared" si="252"/>
        <v>949.6</v>
      </c>
    </row>
    <row r="446" spans="1:58" s="62" customFormat="1" ht="30">
      <c r="A446" s="41" t="s">
        <v>2436</v>
      </c>
      <c r="B446" s="24">
        <v>97669</v>
      </c>
      <c r="C446" s="23" t="s">
        <v>3747</v>
      </c>
      <c r="D446" s="25" t="s">
        <v>12</v>
      </c>
      <c r="E446" s="25" t="s">
        <v>52</v>
      </c>
      <c r="F446" s="26">
        <v>344</v>
      </c>
      <c r="G446" s="26">
        <f t="shared" si="227"/>
        <v>13.753</v>
      </c>
      <c r="H446" s="26">
        <f t="shared" si="250"/>
        <v>17.440000000000001</v>
      </c>
      <c r="I446" s="26">
        <f t="shared" si="259"/>
        <v>5999.36</v>
      </c>
      <c r="J446" s="64" t="e">
        <f>IF(B446&lt;&gt;0,VLOOKUP(B446,#REF!,4,FALSE),"")</f>
        <v>#REF!</v>
      </c>
      <c r="K446" s="362" t="s">
        <v>3123</v>
      </c>
      <c r="L446" s="362">
        <f t="shared" si="230"/>
        <v>4731.0320000000002</v>
      </c>
      <c r="M446" s="64"/>
      <c r="N446" s="65" t="e">
        <f>IF(B446&lt;&gt;0,VLOOKUP(B446,#REF!,2,FALSE),"")</f>
        <v>#REF!</v>
      </c>
      <c r="AY446" s="221"/>
      <c r="AZ446" s="481"/>
      <c r="BA446" s="481"/>
      <c r="BB446" s="481"/>
      <c r="BC446" s="481"/>
      <c r="BD446" s="163">
        <f t="shared" si="246"/>
        <v>15.32</v>
      </c>
      <c r="BE446" s="163">
        <f t="shared" si="231"/>
        <v>19.43</v>
      </c>
      <c r="BF446" s="163">
        <f t="shared" si="252"/>
        <v>6683.92</v>
      </c>
    </row>
    <row r="447" spans="1:58" s="62" customFormat="1" ht="45">
      <c r="A447" s="41" t="s">
        <v>2184</v>
      </c>
      <c r="B447" s="24">
        <v>93011</v>
      </c>
      <c r="C447" s="23" t="s">
        <v>1674</v>
      </c>
      <c r="D447" s="25" t="s">
        <v>12</v>
      </c>
      <c r="E447" s="25" t="s">
        <v>52</v>
      </c>
      <c r="F447" s="26">
        <f>11+42</f>
        <v>53</v>
      </c>
      <c r="G447" s="26">
        <f t="shared" si="227"/>
        <v>25.3215</v>
      </c>
      <c r="H447" s="26">
        <f t="shared" si="250"/>
        <v>32.11</v>
      </c>
      <c r="I447" s="26">
        <f t="shared" ref="I447" si="260">ROUND(H447*F447,2)</f>
        <v>1701.83</v>
      </c>
      <c r="J447" s="64" t="e">
        <f>IF(B447&lt;&gt;0,VLOOKUP(B447,#REF!,4,FALSE),"")</f>
        <v>#REF!</v>
      </c>
      <c r="K447" s="362" t="s">
        <v>3175</v>
      </c>
      <c r="L447" s="362">
        <f t="shared" si="230"/>
        <v>1342.0395000000001</v>
      </c>
      <c r="M447" s="64"/>
      <c r="N447" s="65" t="e">
        <f>IF(B447&lt;&gt;0,VLOOKUP(B447,#REF!,2,FALSE),"")</f>
        <v>#REF!</v>
      </c>
      <c r="AY447" s="221"/>
      <c r="AZ447" s="481"/>
      <c r="BA447" s="481"/>
      <c r="BB447" s="481"/>
      <c r="BC447" s="481"/>
      <c r="BD447" s="163">
        <f t="shared" si="246"/>
        <v>28.21</v>
      </c>
      <c r="BE447" s="163">
        <f t="shared" si="231"/>
        <v>35.770000000000003</v>
      </c>
      <c r="BF447" s="163">
        <f t="shared" si="252"/>
        <v>1895.81</v>
      </c>
    </row>
    <row r="448" spans="1:58" s="28" customFormat="1" ht="60">
      <c r="A448" s="41" t="s">
        <v>2185</v>
      </c>
      <c r="B448" s="24">
        <v>93024</v>
      </c>
      <c r="C448" s="23" t="s">
        <v>1675</v>
      </c>
      <c r="D448" s="25" t="s">
        <v>12</v>
      </c>
      <c r="E448" s="25" t="s">
        <v>17</v>
      </c>
      <c r="F448" s="26">
        <f>4+11</f>
        <v>15</v>
      </c>
      <c r="G448" s="26">
        <f t="shared" si="227"/>
        <v>31.382000000000001</v>
      </c>
      <c r="H448" s="26">
        <f t="shared" si="250"/>
        <v>39.799999999999997</v>
      </c>
      <c r="I448" s="26">
        <f t="shared" ref="I448:I449" si="261">ROUND(H448*F448,2)</f>
        <v>597</v>
      </c>
      <c r="J448" s="36" t="e">
        <f>IF(B448&lt;&gt;0,VLOOKUP(B448,#REF!,4,FALSE),"")</f>
        <v>#REF!</v>
      </c>
      <c r="K448" s="374" t="s">
        <v>3228</v>
      </c>
      <c r="L448" s="362">
        <f t="shared" si="230"/>
        <v>470.73</v>
      </c>
      <c r="M448" s="36"/>
      <c r="N448" s="37" t="e">
        <f>IF(B448&lt;&gt;0,VLOOKUP(B448,#REF!,2,FALSE),"")</f>
        <v>#REF!</v>
      </c>
      <c r="AY448" s="370"/>
      <c r="AZ448" s="481"/>
      <c r="BA448" s="481"/>
      <c r="BB448" s="481"/>
      <c r="BC448" s="481"/>
      <c r="BD448" s="163">
        <f t="shared" si="246"/>
        <v>34.96</v>
      </c>
      <c r="BE448" s="163">
        <f t="shared" si="231"/>
        <v>44.33</v>
      </c>
      <c r="BF448" s="163">
        <f t="shared" si="252"/>
        <v>664.95</v>
      </c>
    </row>
    <row r="449" spans="1:58" s="28" customFormat="1" ht="45">
      <c r="A449" s="41" t="s">
        <v>2186</v>
      </c>
      <c r="B449" s="24">
        <v>93016</v>
      </c>
      <c r="C449" s="23" t="s">
        <v>1676</v>
      </c>
      <c r="D449" s="25" t="s">
        <v>12</v>
      </c>
      <c r="E449" s="25" t="s">
        <v>17</v>
      </c>
      <c r="F449" s="26">
        <f>12+21</f>
        <v>33</v>
      </c>
      <c r="G449" s="26">
        <f t="shared" si="227"/>
        <v>20.6295</v>
      </c>
      <c r="H449" s="26">
        <f t="shared" si="250"/>
        <v>26.16</v>
      </c>
      <c r="I449" s="26">
        <f t="shared" si="261"/>
        <v>863.28</v>
      </c>
      <c r="J449" s="36" t="e">
        <f>IF(B449&lt;&gt;0,VLOOKUP(B449,#REF!,4,FALSE),"")</f>
        <v>#REF!</v>
      </c>
      <c r="K449" s="374" t="s">
        <v>2646</v>
      </c>
      <c r="L449" s="362">
        <f t="shared" si="230"/>
        <v>680.77350000000001</v>
      </c>
      <c r="M449" s="36"/>
      <c r="N449" s="37" t="e">
        <f>IF(B449&lt;&gt;0,VLOOKUP(B449,#REF!,2,FALSE),"")</f>
        <v>#REF!</v>
      </c>
      <c r="AY449" s="370"/>
      <c r="AZ449" s="481"/>
      <c r="BA449" s="481"/>
      <c r="BB449" s="481"/>
      <c r="BC449" s="481"/>
      <c r="BD449" s="163">
        <f t="shared" si="246"/>
        <v>22.98</v>
      </c>
      <c r="BE449" s="163">
        <f t="shared" si="231"/>
        <v>29.14</v>
      </c>
      <c r="BF449" s="163">
        <f t="shared" si="252"/>
        <v>961.62</v>
      </c>
    </row>
    <row r="450" spans="1:58" s="28" customFormat="1" ht="30">
      <c r="A450" s="41" t="s">
        <v>2437</v>
      </c>
      <c r="B450" s="24">
        <v>97670</v>
      </c>
      <c r="C450" s="470" t="s">
        <v>3748</v>
      </c>
      <c r="D450" s="25" t="s">
        <v>12</v>
      </c>
      <c r="E450" s="25" t="s">
        <v>52</v>
      </c>
      <c r="F450" s="26">
        <v>325</v>
      </c>
      <c r="G450" s="26">
        <f t="shared" si="227"/>
        <v>18.003</v>
      </c>
      <c r="H450" s="26">
        <f t="shared" si="250"/>
        <v>22.83</v>
      </c>
      <c r="I450" s="26">
        <f t="shared" ref="I450" si="262">ROUND(H450*F450,2)</f>
        <v>7419.75</v>
      </c>
      <c r="J450" s="36" t="e">
        <f>IF(B450&lt;&gt;0,VLOOKUP(B450,#REF!,4,FALSE),"")</f>
        <v>#REF!</v>
      </c>
      <c r="K450" s="374" t="s">
        <v>1874</v>
      </c>
      <c r="L450" s="362">
        <f t="shared" si="230"/>
        <v>5850.9750000000004</v>
      </c>
      <c r="M450" s="36"/>
      <c r="N450" s="37" t="e">
        <f>IF(B450&lt;&gt;0,VLOOKUP(B450,#REF!,2,FALSE),"")</f>
        <v>#REF!</v>
      </c>
      <c r="AY450" s="370"/>
      <c r="AZ450" s="481"/>
      <c r="BA450" s="481"/>
      <c r="BB450" s="481"/>
      <c r="BC450" s="481"/>
      <c r="BD450" s="163">
        <f t="shared" si="246"/>
        <v>20.059999999999999</v>
      </c>
      <c r="BE450" s="163">
        <f t="shared" si="231"/>
        <v>25.44</v>
      </c>
      <c r="BF450" s="163">
        <f t="shared" si="252"/>
        <v>8268</v>
      </c>
    </row>
    <row r="451" spans="1:58" ht="30">
      <c r="A451" s="41" t="s">
        <v>2438</v>
      </c>
      <c r="B451" s="24">
        <v>93012</v>
      </c>
      <c r="C451" s="23" t="s">
        <v>1677</v>
      </c>
      <c r="D451" s="25" t="s">
        <v>12</v>
      </c>
      <c r="E451" s="25" t="s">
        <v>52</v>
      </c>
      <c r="F451" s="26">
        <v>89</v>
      </c>
      <c r="G451" s="26">
        <f t="shared" si="227"/>
        <v>38.385999999999996</v>
      </c>
      <c r="H451" s="26">
        <f t="shared" si="250"/>
        <v>48.68</v>
      </c>
      <c r="I451" s="26">
        <f t="shared" ref="I451:I453" si="263">ROUND(H451*F451,2)</f>
        <v>4332.5200000000004</v>
      </c>
      <c r="J451" s="36" t="e">
        <f>IF(B451&lt;&gt;0,VLOOKUP(B451,#REF!,4,FALSE),"")</f>
        <v>#REF!</v>
      </c>
      <c r="K451" s="374" t="s">
        <v>3209</v>
      </c>
      <c r="L451" s="362">
        <f t="shared" si="230"/>
        <v>3416.3539999999998</v>
      </c>
      <c r="M451" s="36"/>
      <c r="N451" s="37" t="e">
        <f>IF(B451&lt;&gt;0,VLOOKUP(B451,#REF!,2,FALSE),"")</f>
        <v>#REF!</v>
      </c>
      <c r="AY451" s="21"/>
      <c r="AZ451" s="481"/>
      <c r="BA451" s="481"/>
      <c r="BB451" s="481"/>
      <c r="BC451" s="481"/>
      <c r="BD451" s="163">
        <f t="shared" si="246"/>
        <v>42.76</v>
      </c>
      <c r="BE451" s="163">
        <f t="shared" si="231"/>
        <v>54.22</v>
      </c>
      <c r="BF451" s="163">
        <f t="shared" si="252"/>
        <v>4825.58</v>
      </c>
    </row>
    <row r="452" spans="1:58" ht="30">
      <c r="A452" s="41" t="s">
        <v>2187</v>
      </c>
      <c r="B452" s="24">
        <v>93017</v>
      </c>
      <c r="C452" s="23" t="s">
        <v>1678</v>
      </c>
      <c r="D452" s="25" t="s">
        <v>12</v>
      </c>
      <c r="E452" s="25" t="s">
        <v>17</v>
      </c>
      <c r="F452" s="26">
        <v>109</v>
      </c>
      <c r="G452" s="26">
        <f t="shared" si="227"/>
        <v>31.501000000000001</v>
      </c>
      <c r="H452" s="26">
        <f t="shared" si="250"/>
        <v>39.950000000000003</v>
      </c>
      <c r="I452" s="26">
        <f t="shared" si="263"/>
        <v>4354.55</v>
      </c>
      <c r="J452" s="36" t="e">
        <f>IF(B452&lt;&gt;0,VLOOKUP(B452,#REF!,4,FALSE),"")</f>
        <v>#REF!</v>
      </c>
      <c r="K452" s="374" t="s">
        <v>3226</v>
      </c>
      <c r="L452" s="362">
        <f t="shared" si="230"/>
        <v>3433.6089999999999</v>
      </c>
      <c r="M452" s="36"/>
      <c r="N452" s="37" t="e">
        <f>IF(B452&lt;&gt;0,VLOOKUP(B452,#REF!,2,FALSE),"")</f>
        <v>#REF!</v>
      </c>
      <c r="AY452" s="21"/>
      <c r="AZ452" s="481"/>
      <c r="BA452" s="481"/>
      <c r="BB452" s="481"/>
      <c r="BC452" s="481"/>
      <c r="BD452" s="163">
        <f t="shared" si="246"/>
        <v>35.090000000000003</v>
      </c>
      <c r="BE452" s="163">
        <f t="shared" si="231"/>
        <v>44.5</v>
      </c>
      <c r="BF452" s="163">
        <f t="shared" si="252"/>
        <v>4850.5</v>
      </c>
    </row>
    <row r="453" spans="1:58" s="62" customFormat="1" ht="30">
      <c r="A453" s="41" t="s">
        <v>2439</v>
      </c>
      <c r="B453" s="24">
        <v>749</v>
      </c>
      <c r="C453" s="23" t="s">
        <v>198</v>
      </c>
      <c r="D453" s="25" t="s">
        <v>44</v>
      </c>
      <c r="E453" s="25" t="s">
        <v>17</v>
      </c>
      <c r="F453" s="26">
        <v>1</v>
      </c>
      <c r="G453" s="26">
        <f t="shared" si="227"/>
        <v>55.385999999999996</v>
      </c>
      <c r="H453" s="26">
        <f t="shared" si="250"/>
        <v>70.23</v>
      </c>
      <c r="I453" s="26">
        <f t="shared" si="263"/>
        <v>70.23</v>
      </c>
      <c r="J453" s="64">
        <f>'COMPOSIÇÃO DE CUSTOS'!G1032</f>
        <v>55.39</v>
      </c>
      <c r="K453" s="362">
        <v>65.16</v>
      </c>
      <c r="L453" s="362">
        <f t="shared" si="230"/>
        <v>55.385999999999996</v>
      </c>
      <c r="M453" s="64"/>
      <c r="N453" s="65"/>
      <c r="AY453" s="221"/>
      <c r="AZ453" s="481"/>
      <c r="BA453" s="481"/>
      <c r="BB453" s="481"/>
      <c r="BC453" s="481"/>
      <c r="BD453" s="163">
        <f t="shared" si="246"/>
        <v>61.7</v>
      </c>
      <c r="BE453" s="163">
        <f t="shared" si="231"/>
        <v>78.239999999999995</v>
      </c>
      <c r="BF453" s="163">
        <f t="shared" si="252"/>
        <v>78.239999999999995</v>
      </c>
    </row>
    <row r="454" spans="1:58" s="62" customFormat="1" ht="30">
      <c r="A454" s="41" t="s">
        <v>2440</v>
      </c>
      <c r="B454" s="24">
        <v>11286</v>
      </c>
      <c r="C454" s="23" t="s">
        <v>199</v>
      </c>
      <c r="D454" s="25" t="s">
        <v>44</v>
      </c>
      <c r="E454" s="25" t="s">
        <v>17</v>
      </c>
      <c r="F454" s="26">
        <v>1</v>
      </c>
      <c r="G454" s="26">
        <f t="shared" si="227"/>
        <v>63.231499999999997</v>
      </c>
      <c r="H454" s="26">
        <f t="shared" si="250"/>
        <v>80.180000000000007</v>
      </c>
      <c r="I454" s="26">
        <f t="shared" ref="I454:I455" si="264">ROUND(H454*F454,2)</f>
        <v>80.180000000000007</v>
      </c>
      <c r="J454" s="64">
        <f>'COMPOSIÇÃO DE CUSTOS'!G1039</f>
        <v>63.23</v>
      </c>
      <c r="K454" s="362">
        <v>74.39</v>
      </c>
      <c r="L454" s="362">
        <f t="shared" si="230"/>
        <v>63.231499999999997</v>
      </c>
      <c r="M454" s="64"/>
      <c r="N454" s="65"/>
      <c r="AY454" s="221"/>
      <c r="AZ454" s="481"/>
      <c r="BA454" s="481"/>
      <c r="BB454" s="481"/>
      <c r="BC454" s="481"/>
      <c r="BD454" s="163">
        <f t="shared" si="246"/>
        <v>70.44</v>
      </c>
      <c r="BE454" s="163">
        <f t="shared" si="231"/>
        <v>89.32</v>
      </c>
      <c r="BF454" s="163">
        <f t="shared" si="252"/>
        <v>89.32</v>
      </c>
    </row>
    <row r="455" spans="1:58" s="62" customFormat="1" ht="30">
      <c r="A455" s="41" t="s">
        <v>2441</v>
      </c>
      <c r="B455" s="24">
        <v>11522</v>
      </c>
      <c r="C455" s="23" t="s">
        <v>200</v>
      </c>
      <c r="D455" s="25" t="s">
        <v>44</v>
      </c>
      <c r="E455" s="25" t="s">
        <v>17</v>
      </c>
      <c r="F455" s="26">
        <v>4</v>
      </c>
      <c r="G455" s="26">
        <f t="shared" si="227"/>
        <v>28.814999999999998</v>
      </c>
      <c r="H455" s="26">
        <f t="shared" si="250"/>
        <v>36.54</v>
      </c>
      <c r="I455" s="26">
        <f t="shared" si="264"/>
        <v>146.16</v>
      </c>
      <c r="J455" s="64">
        <f>'COMPOSIÇÃO DE CUSTOS'!G1046</f>
        <v>28.81</v>
      </c>
      <c r="K455" s="362">
        <v>33.9</v>
      </c>
      <c r="L455" s="362">
        <f t="shared" si="230"/>
        <v>115.25999999999999</v>
      </c>
      <c r="M455" s="64"/>
      <c r="N455" s="65"/>
      <c r="AY455" s="221"/>
      <c r="AZ455" s="481"/>
      <c r="BA455" s="481"/>
      <c r="BB455" s="481"/>
      <c r="BC455" s="481"/>
      <c r="BD455" s="163">
        <f t="shared" si="246"/>
        <v>32.1</v>
      </c>
      <c r="BE455" s="163">
        <f t="shared" si="231"/>
        <v>40.71</v>
      </c>
      <c r="BF455" s="163">
        <f t="shared" si="252"/>
        <v>162.84</v>
      </c>
    </row>
    <row r="456" spans="1:58" s="62" customFormat="1" ht="30">
      <c r="A456" s="41" t="s">
        <v>2188</v>
      </c>
      <c r="B456" s="24">
        <v>748</v>
      </c>
      <c r="C456" s="23" t="s">
        <v>201</v>
      </c>
      <c r="D456" s="25" t="s">
        <v>44</v>
      </c>
      <c r="E456" s="25" t="s">
        <v>17</v>
      </c>
      <c r="F456" s="26">
        <v>17</v>
      </c>
      <c r="G456" s="26">
        <f t="shared" si="227"/>
        <v>70.473500000000001</v>
      </c>
      <c r="H456" s="26">
        <f t="shared" si="250"/>
        <v>89.37</v>
      </c>
      <c r="I456" s="26">
        <f t="shared" ref="I456" si="265">ROUND(H456*F456,2)</f>
        <v>1519.29</v>
      </c>
      <c r="J456" s="64">
        <f>'COMPOSIÇÃO DE CUSTOS'!G1053</f>
        <v>70.47</v>
      </c>
      <c r="K456" s="362">
        <v>82.91</v>
      </c>
      <c r="L456" s="362">
        <f t="shared" si="230"/>
        <v>1198.0495000000001</v>
      </c>
      <c r="M456" s="64"/>
      <c r="N456" s="65"/>
      <c r="AY456" s="221"/>
      <c r="AZ456" s="481"/>
      <c r="BA456" s="481"/>
      <c r="BB456" s="481"/>
      <c r="BC456" s="481"/>
      <c r="BD456" s="163">
        <f t="shared" si="246"/>
        <v>78.510000000000005</v>
      </c>
      <c r="BE456" s="163">
        <f t="shared" si="231"/>
        <v>99.56</v>
      </c>
      <c r="BF456" s="163">
        <f t="shared" si="252"/>
        <v>1692.52</v>
      </c>
    </row>
    <row r="457" spans="1:58" s="62" customFormat="1" ht="30">
      <c r="A457" s="41" t="s">
        <v>2189</v>
      </c>
      <c r="B457" s="24">
        <v>11290</v>
      </c>
      <c r="C457" s="23" t="s">
        <v>202</v>
      </c>
      <c r="D457" s="25" t="s">
        <v>44</v>
      </c>
      <c r="E457" s="25" t="s">
        <v>17</v>
      </c>
      <c r="F457" s="26">
        <v>5</v>
      </c>
      <c r="G457" s="26">
        <f t="shared" si="227"/>
        <v>49.835500000000003</v>
      </c>
      <c r="H457" s="26">
        <f t="shared" si="250"/>
        <v>63.2</v>
      </c>
      <c r="I457" s="26">
        <f t="shared" ref="I457:I458" si="266">ROUND(H457*F457,2)</f>
        <v>316</v>
      </c>
      <c r="J457" s="64">
        <f>'COMPOSIÇÃO DE CUSTOS'!G1060</f>
        <v>49.83</v>
      </c>
      <c r="K457" s="362">
        <v>58.63</v>
      </c>
      <c r="L457" s="362">
        <f t="shared" si="230"/>
        <v>249.17750000000001</v>
      </c>
      <c r="M457" s="64"/>
      <c r="N457" s="65"/>
      <c r="AY457" s="221"/>
      <c r="AZ457" s="481"/>
      <c r="BA457" s="481"/>
      <c r="BB457" s="481"/>
      <c r="BC457" s="481"/>
      <c r="BD457" s="163">
        <f t="shared" si="246"/>
        <v>55.52</v>
      </c>
      <c r="BE457" s="163">
        <f t="shared" si="231"/>
        <v>70.400000000000006</v>
      </c>
      <c r="BF457" s="163">
        <f t="shared" si="252"/>
        <v>352</v>
      </c>
    </row>
    <row r="458" spans="1:58" s="62" customFormat="1" ht="30">
      <c r="A458" s="41" t="s">
        <v>2190</v>
      </c>
      <c r="B458" s="24">
        <v>11548</v>
      </c>
      <c r="C458" s="23" t="s">
        <v>1755</v>
      </c>
      <c r="D458" s="25" t="s">
        <v>44</v>
      </c>
      <c r="E458" s="25" t="s">
        <v>17</v>
      </c>
      <c r="F458" s="26">
        <v>1</v>
      </c>
      <c r="G458" s="26">
        <f t="shared" si="227"/>
        <v>39.967000000000006</v>
      </c>
      <c r="H458" s="26">
        <f t="shared" si="250"/>
        <v>50.68</v>
      </c>
      <c r="I458" s="26">
        <f t="shared" si="266"/>
        <v>50.68</v>
      </c>
      <c r="J458" s="64">
        <f>'COMPOSIÇÃO DE CUSTOS'!G1067</f>
        <v>39.96</v>
      </c>
      <c r="K458" s="362">
        <v>47.02</v>
      </c>
      <c r="L458" s="362">
        <f t="shared" si="230"/>
        <v>39.967000000000006</v>
      </c>
      <c r="M458" s="64"/>
      <c r="N458" s="65"/>
      <c r="AY458" s="221"/>
      <c r="AZ458" s="481"/>
      <c r="BA458" s="481"/>
      <c r="BB458" s="481"/>
      <c r="BC458" s="481"/>
      <c r="BD458" s="163">
        <f t="shared" si="246"/>
        <v>44.52</v>
      </c>
      <c r="BE458" s="163">
        <f t="shared" si="231"/>
        <v>56.46</v>
      </c>
      <c r="BF458" s="163">
        <f t="shared" si="252"/>
        <v>56.46</v>
      </c>
    </row>
    <row r="459" spans="1:58" s="62" customFormat="1" ht="30">
      <c r="A459" s="41" t="s">
        <v>2191</v>
      </c>
      <c r="B459" s="24">
        <v>9280</v>
      </c>
      <c r="C459" s="23" t="s">
        <v>1743</v>
      </c>
      <c r="D459" s="25" t="s">
        <v>44</v>
      </c>
      <c r="E459" s="25" t="s">
        <v>17</v>
      </c>
      <c r="F459" s="26">
        <v>4</v>
      </c>
      <c r="G459" s="26">
        <f t="shared" si="227"/>
        <v>52.173000000000002</v>
      </c>
      <c r="H459" s="26">
        <f t="shared" si="250"/>
        <v>66.16</v>
      </c>
      <c r="I459" s="26">
        <f t="shared" ref="I459" si="267">ROUND(H459*F459,2)</f>
        <v>264.64</v>
      </c>
      <c r="J459" s="64">
        <f>'COMPOSIÇÃO DE CUSTOS'!G1074</f>
        <v>52.17</v>
      </c>
      <c r="K459" s="362">
        <v>61.38</v>
      </c>
      <c r="L459" s="362">
        <f t="shared" si="230"/>
        <v>208.69200000000001</v>
      </c>
      <c r="M459" s="64"/>
      <c r="N459" s="65"/>
      <c r="AY459" s="221"/>
      <c r="AZ459" s="481"/>
      <c r="BA459" s="481"/>
      <c r="BB459" s="481"/>
      <c r="BC459" s="481"/>
      <c r="BD459" s="163">
        <f t="shared" si="246"/>
        <v>58.12</v>
      </c>
      <c r="BE459" s="163">
        <f t="shared" si="231"/>
        <v>73.7</v>
      </c>
      <c r="BF459" s="163">
        <f t="shared" si="252"/>
        <v>294.8</v>
      </c>
    </row>
    <row r="460" spans="1:58" s="62" customFormat="1" ht="30">
      <c r="A460" s="41" t="s">
        <v>2192</v>
      </c>
      <c r="B460" s="25" t="s">
        <v>2230</v>
      </c>
      <c r="C460" s="23" t="s">
        <v>1744</v>
      </c>
      <c r="D460" s="25" t="s">
        <v>1915</v>
      </c>
      <c r="E460" s="25" t="s">
        <v>17</v>
      </c>
      <c r="F460" s="26">
        <v>4</v>
      </c>
      <c r="G460" s="26">
        <f t="shared" si="227"/>
        <v>15.614500000000001</v>
      </c>
      <c r="H460" s="26">
        <f t="shared" si="250"/>
        <v>19.8</v>
      </c>
      <c r="I460" s="26">
        <f t="shared" ref="I460:I461" si="268">ROUND(H460*F460,2)</f>
        <v>79.2</v>
      </c>
      <c r="J460" s="64">
        <f>'COMPOSIÇÃO DE CUSTOS'!G1081</f>
        <v>15.61</v>
      </c>
      <c r="K460" s="362">
        <v>18.37</v>
      </c>
      <c r="L460" s="362">
        <f t="shared" si="230"/>
        <v>62.458000000000006</v>
      </c>
      <c r="M460" s="64"/>
      <c r="N460" s="65"/>
      <c r="AY460" s="221"/>
      <c r="AZ460" s="481"/>
      <c r="BA460" s="481"/>
      <c r="BB460" s="481"/>
      <c r="BC460" s="481"/>
      <c r="BD460" s="163">
        <f t="shared" si="246"/>
        <v>17.39</v>
      </c>
      <c r="BE460" s="163">
        <f t="shared" si="231"/>
        <v>22.05</v>
      </c>
      <c r="BF460" s="163">
        <f t="shared" si="252"/>
        <v>88.2</v>
      </c>
    </row>
    <row r="461" spans="1:58" s="62" customFormat="1" ht="30">
      <c r="A461" s="41" t="s">
        <v>2193</v>
      </c>
      <c r="B461" s="24">
        <v>4533</v>
      </c>
      <c r="C461" s="23" t="s">
        <v>203</v>
      </c>
      <c r="D461" s="25" t="s">
        <v>44</v>
      </c>
      <c r="E461" s="25" t="s">
        <v>17</v>
      </c>
      <c r="F461" s="26">
        <v>7</v>
      </c>
      <c r="G461" s="26">
        <f t="shared" si="227"/>
        <v>114.5205</v>
      </c>
      <c r="H461" s="26">
        <f t="shared" si="250"/>
        <v>145.22</v>
      </c>
      <c r="I461" s="26">
        <f t="shared" si="268"/>
        <v>1016.54</v>
      </c>
      <c r="J461" s="64">
        <f>'COMPOSIÇÃO DE CUSTOS'!G1088</f>
        <v>114.52</v>
      </c>
      <c r="K461" s="362">
        <v>134.72999999999999</v>
      </c>
      <c r="L461" s="362">
        <f t="shared" si="230"/>
        <v>801.64350000000002</v>
      </c>
      <c r="M461" s="64"/>
      <c r="N461" s="65"/>
      <c r="AY461" s="221"/>
      <c r="AZ461" s="481"/>
      <c r="BA461" s="481"/>
      <c r="BB461" s="481"/>
      <c r="BC461" s="481"/>
      <c r="BD461" s="163">
        <f t="shared" si="246"/>
        <v>127.58</v>
      </c>
      <c r="BE461" s="163">
        <f t="shared" si="231"/>
        <v>161.78</v>
      </c>
      <c r="BF461" s="163">
        <f t="shared" si="252"/>
        <v>1132.46</v>
      </c>
    </row>
    <row r="462" spans="1:58" s="62" customFormat="1" ht="30">
      <c r="A462" s="41" t="s">
        <v>2194</v>
      </c>
      <c r="B462" s="24">
        <v>10849</v>
      </c>
      <c r="C462" s="23" t="s">
        <v>1756</v>
      </c>
      <c r="D462" s="25" t="s">
        <v>44</v>
      </c>
      <c r="E462" s="25" t="s">
        <v>17</v>
      </c>
      <c r="F462" s="26">
        <v>5</v>
      </c>
      <c r="G462" s="26">
        <f t="shared" si="227"/>
        <v>42.814499999999995</v>
      </c>
      <c r="H462" s="26">
        <f t="shared" si="250"/>
        <v>54.29</v>
      </c>
      <c r="I462" s="26">
        <f t="shared" ref="I462:I465" si="269">ROUND(H462*F462,2)</f>
        <v>271.45</v>
      </c>
      <c r="J462" s="64">
        <f>'COMPOSIÇÃO DE CUSTOS'!G1095</f>
        <v>42.81</v>
      </c>
      <c r="K462" s="362">
        <v>50.37</v>
      </c>
      <c r="L462" s="362">
        <f t="shared" si="230"/>
        <v>214.07249999999999</v>
      </c>
      <c r="M462" s="64"/>
      <c r="N462" s="65"/>
      <c r="AY462" s="221"/>
      <c r="AZ462" s="481"/>
      <c r="BA462" s="481"/>
      <c r="BB462" s="481"/>
      <c r="BC462" s="481"/>
      <c r="BD462" s="163">
        <f t="shared" si="246"/>
        <v>47.7</v>
      </c>
      <c r="BE462" s="163">
        <f t="shared" si="231"/>
        <v>60.49</v>
      </c>
      <c r="BF462" s="163">
        <f t="shared" si="252"/>
        <v>302.45</v>
      </c>
    </row>
    <row r="463" spans="1:58" s="62" customFormat="1" ht="30">
      <c r="A463" s="41" t="s">
        <v>2195</v>
      </c>
      <c r="B463" s="24">
        <v>7144</v>
      </c>
      <c r="C463" s="23" t="s">
        <v>1757</v>
      </c>
      <c r="D463" s="25" t="s">
        <v>44</v>
      </c>
      <c r="E463" s="25" t="s">
        <v>17</v>
      </c>
      <c r="F463" s="26">
        <v>1</v>
      </c>
      <c r="G463" s="26">
        <f t="shared" si="227"/>
        <v>52.844500000000004</v>
      </c>
      <c r="H463" s="26">
        <f t="shared" si="250"/>
        <v>67.010000000000005</v>
      </c>
      <c r="I463" s="26">
        <f t="shared" si="269"/>
        <v>67.010000000000005</v>
      </c>
      <c r="J463" s="64">
        <f>'COMPOSIÇÃO DE CUSTOS'!G1102</f>
        <v>52.84</v>
      </c>
      <c r="K463" s="362">
        <v>62.17</v>
      </c>
      <c r="L463" s="362">
        <f t="shared" si="230"/>
        <v>52.844500000000004</v>
      </c>
      <c r="M463" s="64"/>
      <c r="N463" s="65"/>
      <c r="AY463" s="221"/>
      <c r="AZ463" s="481"/>
      <c r="BA463" s="481"/>
      <c r="BB463" s="481"/>
      <c r="BC463" s="481"/>
      <c r="BD463" s="163">
        <f t="shared" si="246"/>
        <v>58.87</v>
      </c>
      <c r="BE463" s="163">
        <f t="shared" si="231"/>
        <v>74.650000000000006</v>
      </c>
      <c r="BF463" s="163">
        <f t="shared" si="252"/>
        <v>74.650000000000006</v>
      </c>
    </row>
    <row r="464" spans="1:58" s="62" customFormat="1" ht="30">
      <c r="A464" s="41" t="s">
        <v>2442</v>
      </c>
      <c r="B464" s="24">
        <v>7143</v>
      </c>
      <c r="C464" s="23" t="s">
        <v>1745</v>
      </c>
      <c r="D464" s="25" t="s">
        <v>44</v>
      </c>
      <c r="E464" s="25" t="s">
        <v>17</v>
      </c>
      <c r="F464" s="26">
        <v>4</v>
      </c>
      <c r="G464" s="26">
        <f t="shared" si="227"/>
        <v>65.764499999999998</v>
      </c>
      <c r="H464" s="26">
        <f t="shared" si="250"/>
        <v>83.4</v>
      </c>
      <c r="I464" s="26">
        <f t="shared" si="269"/>
        <v>333.6</v>
      </c>
      <c r="J464" s="64">
        <f>'COMPOSIÇÃO DE CUSTOS'!G1109</f>
        <v>65.760000000000005</v>
      </c>
      <c r="K464" s="362">
        <v>77.37</v>
      </c>
      <c r="L464" s="362">
        <f t="shared" si="230"/>
        <v>263.05799999999999</v>
      </c>
      <c r="M464" s="64"/>
      <c r="N464" s="65"/>
      <c r="AY464" s="221"/>
      <c r="AZ464" s="481"/>
      <c r="BA464" s="481"/>
      <c r="BB464" s="481"/>
      <c r="BC464" s="481"/>
      <c r="BD464" s="163">
        <f t="shared" si="246"/>
        <v>73.260000000000005</v>
      </c>
      <c r="BE464" s="163">
        <f t="shared" si="231"/>
        <v>92.9</v>
      </c>
      <c r="BF464" s="163">
        <f t="shared" si="252"/>
        <v>371.6</v>
      </c>
    </row>
    <row r="465" spans="1:58" s="62" customFormat="1" ht="30">
      <c r="A465" s="41" t="s">
        <v>2443</v>
      </c>
      <c r="B465" s="24">
        <v>12924</v>
      </c>
      <c r="C465" s="23" t="s">
        <v>1746</v>
      </c>
      <c r="D465" s="25" t="s">
        <v>44</v>
      </c>
      <c r="E465" s="25" t="s">
        <v>17</v>
      </c>
      <c r="F465" s="26">
        <v>4</v>
      </c>
      <c r="G465" s="26">
        <f t="shared" si="227"/>
        <v>11.279499999999999</v>
      </c>
      <c r="H465" s="26">
        <f t="shared" si="250"/>
        <v>14.3</v>
      </c>
      <c r="I465" s="26">
        <f t="shared" si="269"/>
        <v>57.2</v>
      </c>
      <c r="J465" s="64">
        <f>'COMPOSIÇÃO DE CUSTOS'!G1116</f>
        <v>11.28</v>
      </c>
      <c r="K465" s="362">
        <v>13.27</v>
      </c>
      <c r="L465" s="362">
        <f t="shared" si="230"/>
        <v>45.117999999999995</v>
      </c>
      <c r="M465" s="64"/>
      <c r="N465" s="65"/>
      <c r="AY465" s="221"/>
      <c r="AZ465" s="481"/>
      <c r="BA465" s="481"/>
      <c r="BB465" s="481"/>
      <c r="BC465" s="481"/>
      <c r="BD465" s="163">
        <f t="shared" si="246"/>
        <v>12.57</v>
      </c>
      <c r="BE465" s="163">
        <f t="shared" si="231"/>
        <v>15.94</v>
      </c>
      <c r="BF465" s="163">
        <f t="shared" si="252"/>
        <v>63.76</v>
      </c>
    </row>
    <row r="466" spans="1:58" s="62" customFormat="1" ht="30">
      <c r="A466" s="41" t="s">
        <v>2444</v>
      </c>
      <c r="B466" s="24">
        <v>63988</v>
      </c>
      <c r="C466" s="23" t="s">
        <v>2242</v>
      </c>
      <c r="D466" s="25" t="s">
        <v>1915</v>
      </c>
      <c r="E466" s="25" t="s">
        <v>17</v>
      </c>
      <c r="F466" s="26">
        <v>4</v>
      </c>
      <c r="G466" s="26">
        <f t="shared" si="227"/>
        <v>82.212000000000003</v>
      </c>
      <c r="H466" s="26">
        <f t="shared" si="250"/>
        <v>104.25</v>
      </c>
      <c r="I466" s="26">
        <f t="shared" ref="I466" si="270">ROUND(H466*F466,2)</f>
        <v>417</v>
      </c>
      <c r="J466" s="64">
        <f>'COMPOSIÇÃO DE CUSTOS'!G1123</f>
        <v>82.21</v>
      </c>
      <c r="K466" s="362">
        <v>96.72</v>
      </c>
      <c r="L466" s="362">
        <f t="shared" si="230"/>
        <v>328.84800000000001</v>
      </c>
      <c r="M466" s="64"/>
      <c r="N466" s="65"/>
      <c r="AY466" s="221"/>
      <c r="AZ466" s="481"/>
      <c r="BA466" s="481"/>
      <c r="BB466" s="481"/>
      <c r="BC466" s="481"/>
      <c r="BD466" s="163">
        <f t="shared" si="246"/>
        <v>91.58</v>
      </c>
      <c r="BE466" s="163">
        <f t="shared" si="231"/>
        <v>116.13</v>
      </c>
      <c r="BF466" s="163">
        <f t="shared" si="252"/>
        <v>464.52</v>
      </c>
    </row>
    <row r="467" spans="1:58" s="62" customFormat="1" ht="30">
      <c r="A467" s="41" t="s">
        <v>2196</v>
      </c>
      <c r="B467" s="25" t="s">
        <v>2240</v>
      </c>
      <c r="C467" s="23" t="s">
        <v>204</v>
      </c>
      <c r="D467" s="25" t="s">
        <v>1915</v>
      </c>
      <c r="E467" s="25" t="s">
        <v>17</v>
      </c>
      <c r="F467" s="26">
        <v>2</v>
      </c>
      <c r="G467" s="26">
        <f t="shared" si="227"/>
        <v>73.5505</v>
      </c>
      <c r="H467" s="26">
        <f t="shared" si="250"/>
        <v>93.27</v>
      </c>
      <c r="I467" s="26">
        <f t="shared" ref="I467" si="271">ROUND(H467*F467,2)</f>
        <v>186.54</v>
      </c>
      <c r="J467" s="64">
        <f>'COMPOSIÇÃO DE CUSTOS'!G1130</f>
        <v>73.55</v>
      </c>
      <c r="K467" s="362">
        <v>86.53</v>
      </c>
      <c r="L467" s="362">
        <f t="shared" si="230"/>
        <v>147.101</v>
      </c>
      <c r="M467" s="64"/>
      <c r="N467" s="65"/>
      <c r="AY467" s="221"/>
      <c r="AZ467" s="481"/>
      <c r="BA467" s="481"/>
      <c r="BB467" s="481"/>
      <c r="BC467" s="481"/>
      <c r="BD467" s="163">
        <f t="shared" si="246"/>
        <v>81.94</v>
      </c>
      <c r="BE467" s="163">
        <f t="shared" si="231"/>
        <v>103.91</v>
      </c>
      <c r="BF467" s="163">
        <f t="shared" si="252"/>
        <v>207.82</v>
      </c>
    </row>
    <row r="468" spans="1:58" s="62" customFormat="1" ht="30">
      <c r="A468" s="41" t="s">
        <v>2197</v>
      </c>
      <c r="B468" s="24">
        <v>763</v>
      </c>
      <c r="C468" s="23" t="s">
        <v>1747</v>
      </c>
      <c r="D468" s="25" t="s">
        <v>44</v>
      </c>
      <c r="E468" s="25" t="s">
        <v>17</v>
      </c>
      <c r="F468" s="26">
        <v>4</v>
      </c>
      <c r="G468" s="26">
        <f t="shared" si="227"/>
        <v>124.72049999999999</v>
      </c>
      <c r="H468" s="26">
        <f t="shared" si="250"/>
        <v>158.16</v>
      </c>
      <c r="I468" s="26">
        <f t="shared" ref="I468" si="272">ROUND(H468*F468,2)</f>
        <v>632.64</v>
      </c>
      <c r="J468" s="64">
        <f>'COMPOSIÇÃO DE CUSTOS'!G1137</f>
        <v>124.72</v>
      </c>
      <c r="K468" s="362">
        <v>146.72999999999999</v>
      </c>
      <c r="L468" s="362">
        <f t="shared" si="230"/>
        <v>498.88199999999995</v>
      </c>
      <c r="M468" s="64"/>
      <c r="N468" s="65"/>
      <c r="AY468" s="221"/>
      <c r="AZ468" s="481"/>
      <c r="BA468" s="481"/>
      <c r="BB468" s="481"/>
      <c r="BC468" s="481"/>
      <c r="BD468" s="163">
        <f t="shared" si="246"/>
        <v>138.94</v>
      </c>
      <c r="BE468" s="163">
        <f t="shared" si="231"/>
        <v>176.19</v>
      </c>
      <c r="BF468" s="163">
        <f t="shared" si="252"/>
        <v>704.76</v>
      </c>
    </row>
    <row r="469" spans="1:58" s="62" customFormat="1" ht="30">
      <c r="A469" s="41" t="s">
        <v>2198</v>
      </c>
      <c r="B469" s="24">
        <v>11289</v>
      </c>
      <c r="C469" s="23" t="s">
        <v>1758</v>
      </c>
      <c r="D469" s="25" t="s">
        <v>44</v>
      </c>
      <c r="E469" s="25" t="s">
        <v>17</v>
      </c>
      <c r="F469" s="26">
        <v>2</v>
      </c>
      <c r="G469" s="26">
        <f t="shared" si="227"/>
        <v>48.764499999999998</v>
      </c>
      <c r="H469" s="26">
        <f t="shared" si="250"/>
        <v>61.84</v>
      </c>
      <c r="I469" s="26">
        <f t="shared" ref="I469" si="273">ROUND(H469*F469,2)</f>
        <v>123.68</v>
      </c>
      <c r="J469" s="64">
        <f>'COMPOSIÇÃO DE CUSTOS'!G1144</f>
        <v>48.76</v>
      </c>
      <c r="K469" s="362">
        <v>57.37</v>
      </c>
      <c r="L469" s="362">
        <f t="shared" si="230"/>
        <v>97.528999999999996</v>
      </c>
      <c r="M469" s="64"/>
      <c r="N469" s="65"/>
      <c r="AY469" s="221"/>
      <c r="AZ469" s="481"/>
      <c r="BA469" s="481"/>
      <c r="BB469" s="481"/>
      <c r="BC469" s="481"/>
      <c r="BD469" s="163">
        <f t="shared" si="246"/>
        <v>54.32</v>
      </c>
      <c r="BE469" s="163">
        <f t="shared" si="231"/>
        <v>68.88</v>
      </c>
      <c r="BF469" s="163">
        <f t="shared" si="252"/>
        <v>137.76</v>
      </c>
    </row>
    <row r="470" spans="1:58" s="62" customFormat="1" ht="30">
      <c r="A470" s="41" t="s">
        <v>2199</v>
      </c>
      <c r="B470" s="25" t="s">
        <v>2244</v>
      </c>
      <c r="C470" s="23" t="s">
        <v>1748</v>
      </c>
      <c r="D470" s="25" t="s">
        <v>1915</v>
      </c>
      <c r="E470" s="25" t="s">
        <v>17</v>
      </c>
      <c r="F470" s="26">
        <v>4</v>
      </c>
      <c r="G470" s="26">
        <f t="shared" si="227"/>
        <v>316.48899999999998</v>
      </c>
      <c r="H470" s="26">
        <f t="shared" si="250"/>
        <v>401.34</v>
      </c>
      <c r="I470" s="26">
        <f t="shared" ref="I470" si="274">ROUND(H470*F470,2)</f>
        <v>1605.36</v>
      </c>
      <c r="J470" s="64">
        <f>'COMPOSIÇÃO DE CUSTOS'!G1151</f>
        <v>316.49</v>
      </c>
      <c r="K470" s="362">
        <v>372.34</v>
      </c>
      <c r="L470" s="362">
        <f t="shared" si="230"/>
        <v>1265.9559999999999</v>
      </c>
      <c r="M470" s="64"/>
      <c r="N470" s="65"/>
      <c r="AY470" s="221"/>
      <c r="AZ470" s="481"/>
      <c r="BA470" s="481"/>
      <c r="BB470" s="481"/>
      <c r="BC470" s="481"/>
      <c r="BD470" s="163">
        <f t="shared" si="246"/>
        <v>352.57</v>
      </c>
      <c r="BE470" s="163">
        <f t="shared" si="231"/>
        <v>447.09</v>
      </c>
      <c r="BF470" s="163">
        <f t="shared" si="252"/>
        <v>1788.36</v>
      </c>
    </row>
    <row r="471" spans="1:58" s="62" customFormat="1" ht="30">
      <c r="A471" s="41" t="s">
        <v>2200</v>
      </c>
      <c r="B471" s="25" t="s">
        <v>2246</v>
      </c>
      <c r="C471" s="23" t="s">
        <v>205</v>
      </c>
      <c r="D471" s="25" t="s">
        <v>1915</v>
      </c>
      <c r="E471" s="25" t="s">
        <v>17</v>
      </c>
      <c r="F471" s="26">
        <v>2</v>
      </c>
      <c r="G471" s="26">
        <f t="shared" si="227"/>
        <v>149.60849999999999</v>
      </c>
      <c r="H471" s="26">
        <f t="shared" si="250"/>
        <v>189.72</v>
      </c>
      <c r="I471" s="26">
        <f t="shared" ref="I471" si="275">ROUND(H471*F471,2)</f>
        <v>379.44</v>
      </c>
      <c r="J471" s="64">
        <f>'COMPOSIÇÃO DE CUSTOS'!G1158</f>
        <v>149.61000000000001</v>
      </c>
      <c r="K471" s="362">
        <v>176.01</v>
      </c>
      <c r="L471" s="362">
        <f t="shared" si="230"/>
        <v>299.21699999999998</v>
      </c>
      <c r="M471" s="64"/>
      <c r="N471" s="65"/>
      <c r="AY471" s="221"/>
      <c r="AZ471" s="481"/>
      <c r="BA471" s="481"/>
      <c r="BB471" s="481"/>
      <c r="BC471" s="481"/>
      <c r="BD471" s="163">
        <f t="shared" si="246"/>
        <v>166.67</v>
      </c>
      <c r="BE471" s="163">
        <f t="shared" si="231"/>
        <v>211.35</v>
      </c>
      <c r="BF471" s="163">
        <f t="shared" si="252"/>
        <v>422.7</v>
      </c>
    </row>
    <row r="472" spans="1:58" s="62" customFormat="1" ht="30">
      <c r="A472" s="41" t="s">
        <v>2201</v>
      </c>
      <c r="B472" s="24">
        <v>724</v>
      </c>
      <c r="C472" s="23" t="s">
        <v>206</v>
      </c>
      <c r="D472" s="25" t="s">
        <v>44</v>
      </c>
      <c r="E472" s="25" t="s">
        <v>17</v>
      </c>
      <c r="F472" s="26">
        <v>1</v>
      </c>
      <c r="G472" s="26">
        <f t="shared" ref="G472:G535" si="276">K472-(K472*$K$15)</f>
        <v>5.032</v>
      </c>
      <c r="H472" s="26">
        <f t="shared" si="250"/>
        <v>6.38</v>
      </c>
      <c r="I472" s="26">
        <f t="shared" ref="I472:I474" si="277">ROUND(H472*F472,2)</f>
        <v>6.38</v>
      </c>
      <c r="J472" s="64">
        <f>'COMPOSIÇÃO DE CUSTOS'!G1165</f>
        <v>5.04</v>
      </c>
      <c r="K472" s="362">
        <v>5.92</v>
      </c>
      <c r="L472" s="362">
        <f t="shared" ref="L472:L535" si="278">F472*G472</f>
        <v>5.032</v>
      </c>
      <c r="M472" s="64"/>
      <c r="N472" s="65"/>
      <c r="AY472" s="221"/>
      <c r="AZ472" s="481"/>
      <c r="BA472" s="481"/>
      <c r="BB472" s="481"/>
      <c r="BC472" s="481"/>
      <c r="BD472" s="163">
        <f t="shared" si="246"/>
        <v>5.61</v>
      </c>
      <c r="BE472" s="163">
        <f t="shared" ref="BE472:BE485" si="279">ROUND(BD472*(1+$J$14),2)</f>
        <v>7.11</v>
      </c>
      <c r="BF472" s="163">
        <f t="shared" si="252"/>
        <v>7.11</v>
      </c>
    </row>
    <row r="473" spans="1:58" s="62" customFormat="1" ht="30">
      <c r="A473" s="41" t="s">
        <v>2445</v>
      </c>
      <c r="B473" s="24">
        <v>725</v>
      </c>
      <c r="C473" s="23" t="s">
        <v>207</v>
      </c>
      <c r="D473" s="25" t="s">
        <v>44</v>
      </c>
      <c r="E473" s="25" t="s">
        <v>17</v>
      </c>
      <c r="F473" s="26">
        <v>2</v>
      </c>
      <c r="G473" s="26">
        <f t="shared" si="276"/>
        <v>5.5419999999999998</v>
      </c>
      <c r="H473" s="26">
        <f t="shared" si="250"/>
        <v>7.03</v>
      </c>
      <c r="I473" s="26">
        <f t="shared" si="277"/>
        <v>14.06</v>
      </c>
      <c r="J473" s="64">
        <f>'COMPOSIÇÃO DE CUSTOS'!G1172</f>
        <v>5.55</v>
      </c>
      <c r="K473" s="362">
        <v>6.52</v>
      </c>
      <c r="L473" s="362">
        <f t="shared" si="278"/>
        <v>11.084</v>
      </c>
      <c r="M473" s="64"/>
      <c r="N473" s="65"/>
      <c r="AY473" s="221"/>
      <c r="AZ473" s="481"/>
      <c r="BA473" s="481"/>
      <c r="BB473" s="481"/>
      <c r="BC473" s="481"/>
      <c r="BD473" s="163">
        <f t="shared" si="246"/>
        <v>6.17</v>
      </c>
      <c r="BE473" s="163">
        <f t="shared" si="279"/>
        <v>7.82</v>
      </c>
      <c r="BF473" s="163">
        <f t="shared" si="252"/>
        <v>15.64</v>
      </c>
    </row>
    <row r="474" spans="1:58" s="62" customFormat="1" ht="30">
      <c r="A474" s="41" t="s">
        <v>2202</v>
      </c>
      <c r="B474" s="24">
        <v>12489</v>
      </c>
      <c r="C474" s="23" t="s">
        <v>2251</v>
      </c>
      <c r="D474" s="25" t="s">
        <v>44</v>
      </c>
      <c r="E474" s="25" t="s">
        <v>17</v>
      </c>
      <c r="F474" s="26">
        <v>2</v>
      </c>
      <c r="G474" s="26">
        <f t="shared" si="276"/>
        <v>23.7575</v>
      </c>
      <c r="H474" s="26">
        <f t="shared" si="250"/>
        <v>30.13</v>
      </c>
      <c r="I474" s="26">
        <f t="shared" si="277"/>
        <v>60.26</v>
      </c>
      <c r="J474" s="64">
        <f>'COMPOSIÇÃO DE CUSTOS'!G1179</f>
        <v>23.76</v>
      </c>
      <c r="K474" s="362">
        <v>27.95</v>
      </c>
      <c r="L474" s="362">
        <f t="shared" si="278"/>
        <v>47.515000000000001</v>
      </c>
      <c r="M474" s="64"/>
      <c r="N474" s="65"/>
      <c r="AY474" s="221"/>
      <c r="AZ474" s="481"/>
      <c r="BA474" s="481"/>
      <c r="BB474" s="481"/>
      <c r="BC474" s="481"/>
      <c r="BD474" s="163">
        <f t="shared" si="246"/>
        <v>26.47</v>
      </c>
      <c r="BE474" s="163">
        <f t="shared" si="279"/>
        <v>33.57</v>
      </c>
      <c r="BF474" s="163">
        <f t="shared" si="252"/>
        <v>67.14</v>
      </c>
    </row>
    <row r="475" spans="1:58" ht="105">
      <c r="A475" s="41" t="s">
        <v>2203</v>
      </c>
      <c r="B475" s="24">
        <v>90092</v>
      </c>
      <c r="C475" s="23" t="s">
        <v>1679</v>
      </c>
      <c r="D475" s="25" t="s">
        <v>12</v>
      </c>
      <c r="E475" s="25" t="s">
        <v>35</v>
      </c>
      <c r="F475" s="26">
        <v>233</v>
      </c>
      <c r="G475" s="26">
        <f t="shared" si="276"/>
        <v>3.4595000000000002</v>
      </c>
      <c r="H475" s="26">
        <f t="shared" si="250"/>
        <v>4.3899999999999997</v>
      </c>
      <c r="I475" s="26">
        <f t="shared" ref="I475:I476" si="280">ROUND(H475*F475,2)</f>
        <v>1022.87</v>
      </c>
      <c r="J475" s="36" t="e">
        <f>IF(B475&lt;&gt;0,VLOOKUP(B475,#REF!,4,FALSE),"")</f>
        <v>#REF!</v>
      </c>
      <c r="K475" s="374" t="s">
        <v>1855</v>
      </c>
      <c r="L475" s="362">
        <f t="shared" si="278"/>
        <v>806.06350000000009</v>
      </c>
      <c r="M475" s="36"/>
      <c r="N475" s="37" t="e">
        <f>IF(B475&lt;&gt;0,VLOOKUP(B475,#REF!,2,FALSE),"")</f>
        <v>#REF!</v>
      </c>
      <c r="AY475" s="21"/>
      <c r="AZ475" s="481"/>
      <c r="BA475" s="481"/>
      <c r="BB475" s="481"/>
      <c r="BC475" s="481"/>
      <c r="BD475" s="163">
        <f t="shared" si="246"/>
        <v>3.85</v>
      </c>
      <c r="BE475" s="163">
        <f t="shared" si="279"/>
        <v>4.88</v>
      </c>
      <c r="BF475" s="163">
        <f t="shared" si="252"/>
        <v>1137.04</v>
      </c>
    </row>
    <row r="476" spans="1:58" ht="90">
      <c r="A476" s="41" t="s">
        <v>2204</v>
      </c>
      <c r="B476" s="24">
        <v>93381</v>
      </c>
      <c r="C476" s="23" t="s">
        <v>1680</v>
      </c>
      <c r="D476" s="25" t="s">
        <v>12</v>
      </c>
      <c r="E476" s="25" t="s">
        <v>35</v>
      </c>
      <c r="F476" s="26">
        <v>233</v>
      </c>
      <c r="G476" s="26">
        <f t="shared" si="276"/>
        <v>6.63</v>
      </c>
      <c r="H476" s="26">
        <f t="shared" si="250"/>
        <v>8.41</v>
      </c>
      <c r="I476" s="26">
        <f t="shared" si="280"/>
        <v>1959.53</v>
      </c>
      <c r="J476" s="36" t="e">
        <f>IF(B476&lt;&gt;0,VLOOKUP(B476,#REF!,4,FALSE),"")</f>
        <v>#REF!</v>
      </c>
      <c r="K476" s="374" t="s">
        <v>3117</v>
      </c>
      <c r="L476" s="362">
        <f t="shared" si="278"/>
        <v>1544.79</v>
      </c>
      <c r="M476" s="36"/>
      <c r="N476" s="37" t="e">
        <f>IF(B476&lt;&gt;0,VLOOKUP(B476,#REF!,2,FALSE),"")</f>
        <v>#REF!</v>
      </c>
      <c r="AY476" s="21"/>
      <c r="AZ476" s="481"/>
      <c r="BA476" s="481"/>
      <c r="BB476" s="481"/>
      <c r="BC476" s="481"/>
      <c r="BD476" s="163">
        <f t="shared" si="246"/>
        <v>7.39</v>
      </c>
      <c r="BE476" s="163">
        <f t="shared" si="279"/>
        <v>9.3699999999999992</v>
      </c>
      <c r="BF476" s="163">
        <f t="shared" si="252"/>
        <v>2183.21</v>
      </c>
    </row>
    <row r="477" spans="1:58" s="62" customFormat="1" ht="30">
      <c r="A477" s="41" t="s">
        <v>2205</v>
      </c>
      <c r="B477" s="25" t="s">
        <v>2253</v>
      </c>
      <c r="C477" s="23" t="s">
        <v>208</v>
      </c>
      <c r="D477" s="25" t="s">
        <v>70</v>
      </c>
      <c r="E477" s="25" t="s">
        <v>52</v>
      </c>
      <c r="F477" s="26">
        <v>316</v>
      </c>
      <c r="G477" s="26">
        <f t="shared" si="276"/>
        <v>13.6935</v>
      </c>
      <c r="H477" s="26">
        <f t="shared" si="250"/>
        <v>17.36</v>
      </c>
      <c r="I477" s="26">
        <f t="shared" ref="I477" si="281">ROUND(H477*F477,2)</f>
        <v>5485.76</v>
      </c>
      <c r="J477" s="64">
        <f>'COMPOSIÇÃO DE CUSTOS'!G1188</f>
        <v>13.69</v>
      </c>
      <c r="K477" s="362">
        <v>16.11</v>
      </c>
      <c r="L477" s="362">
        <f t="shared" si="278"/>
        <v>4327.1459999999997</v>
      </c>
      <c r="M477" s="64"/>
      <c r="N477" s="65"/>
      <c r="AY477" s="221"/>
      <c r="AZ477" s="481"/>
      <c r="BA477" s="481"/>
      <c r="BB477" s="481"/>
      <c r="BC477" s="481"/>
      <c r="BD477" s="163">
        <f t="shared" si="246"/>
        <v>15.25</v>
      </c>
      <c r="BE477" s="163">
        <f t="shared" si="279"/>
        <v>19.34</v>
      </c>
      <c r="BF477" s="163">
        <f t="shared" si="252"/>
        <v>6111.44</v>
      </c>
    </row>
    <row r="478" spans="1:58" s="62" customFormat="1" ht="15" customHeight="1">
      <c r="A478" s="356" t="s">
        <v>993</v>
      </c>
      <c r="B478" s="356"/>
      <c r="C478" s="356" t="s">
        <v>209</v>
      </c>
      <c r="D478" s="357"/>
      <c r="E478" s="357"/>
      <c r="F478" s="357"/>
      <c r="G478" s="26"/>
      <c r="H478" s="357"/>
      <c r="I478" s="96"/>
      <c r="J478" s="65"/>
      <c r="K478" s="362"/>
      <c r="L478" s="362">
        <f t="shared" si="278"/>
        <v>0</v>
      </c>
      <c r="M478" s="65"/>
      <c r="N478" s="65"/>
      <c r="AY478" s="221"/>
      <c r="AZ478" s="481"/>
      <c r="BA478" s="481"/>
      <c r="BB478" s="481"/>
      <c r="BC478" s="481"/>
      <c r="BD478" s="163"/>
      <c r="BE478" s="163"/>
      <c r="BF478" s="163"/>
    </row>
    <row r="479" spans="1:58" s="62" customFormat="1" ht="30">
      <c r="A479" s="23" t="s">
        <v>994</v>
      </c>
      <c r="B479" s="24">
        <v>7384</v>
      </c>
      <c r="C479" s="23" t="s">
        <v>210</v>
      </c>
      <c r="D479" s="25" t="s">
        <v>44</v>
      </c>
      <c r="E479" s="25" t="s">
        <v>52</v>
      </c>
      <c r="F479" s="26">
        <v>11</v>
      </c>
      <c r="G479" s="26">
        <f t="shared" si="276"/>
        <v>19.244</v>
      </c>
      <c r="H479" s="26">
        <f t="shared" ref="H479:H485" si="282">ROUND(G479*(1+$J$14),2)</f>
        <v>24.4</v>
      </c>
      <c r="I479" s="26">
        <f t="shared" ref="I479" si="283">ROUND(H479*F479,2)</f>
        <v>268.39999999999998</v>
      </c>
      <c r="J479" s="64">
        <f>'COMPOSIÇÃO DE CUSTOS'!G1195</f>
        <v>19.25</v>
      </c>
      <c r="K479" s="362">
        <v>22.64</v>
      </c>
      <c r="L479" s="362">
        <f t="shared" si="278"/>
        <v>211.684</v>
      </c>
      <c r="M479" s="64"/>
      <c r="N479" s="65"/>
      <c r="AY479" s="221"/>
      <c r="AZ479" s="481"/>
      <c r="BA479" s="481"/>
      <c r="BB479" s="481"/>
      <c r="BC479" s="481"/>
      <c r="BD479" s="163">
        <f t="shared" si="246"/>
        <v>21.44</v>
      </c>
      <c r="BE479" s="163">
        <f t="shared" si="279"/>
        <v>27.19</v>
      </c>
      <c r="BF479" s="163">
        <f t="shared" ref="BF479:BF485" si="284">ROUND(BE479*F479,2)</f>
        <v>299.08999999999997</v>
      </c>
    </row>
    <row r="480" spans="1:58" s="62" customFormat="1" ht="30">
      <c r="A480" s="23" t="s">
        <v>995</v>
      </c>
      <c r="B480" s="24">
        <v>8697</v>
      </c>
      <c r="C480" s="23" t="s">
        <v>1762</v>
      </c>
      <c r="D480" s="25" t="s">
        <v>44</v>
      </c>
      <c r="E480" s="25" t="s">
        <v>17</v>
      </c>
      <c r="F480" s="26">
        <v>2</v>
      </c>
      <c r="G480" s="26">
        <f t="shared" si="276"/>
        <v>8.1940000000000008</v>
      </c>
      <c r="H480" s="26">
        <f t="shared" si="282"/>
        <v>10.39</v>
      </c>
      <c r="I480" s="26">
        <f t="shared" ref="I480" si="285">ROUND(H480*F480,2)</f>
        <v>20.78</v>
      </c>
      <c r="J480" s="64">
        <f>'COMPOSIÇÃO DE CUSTOS'!G1202</f>
        <v>8.19</v>
      </c>
      <c r="K480" s="362">
        <v>9.64</v>
      </c>
      <c r="L480" s="362">
        <f t="shared" si="278"/>
        <v>16.388000000000002</v>
      </c>
      <c r="M480" s="64"/>
      <c r="N480" s="65"/>
      <c r="AY480" s="221"/>
      <c r="AZ480" s="481"/>
      <c r="BA480" s="481"/>
      <c r="BB480" s="481"/>
      <c r="BC480" s="481"/>
      <c r="BD480" s="163">
        <f t="shared" si="246"/>
        <v>9.1300000000000008</v>
      </c>
      <c r="BE480" s="163">
        <f t="shared" si="279"/>
        <v>11.58</v>
      </c>
      <c r="BF480" s="163">
        <f t="shared" si="284"/>
        <v>23.16</v>
      </c>
    </row>
    <row r="481" spans="1:59" s="62" customFormat="1" ht="30">
      <c r="A481" s="23" t="s">
        <v>996</v>
      </c>
      <c r="B481" s="24">
        <v>12573</v>
      </c>
      <c r="C481" s="23" t="s">
        <v>1763</v>
      </c>
      <c r="D481" s="25" t="s">
        <v>44</v>
      </c>
      <c r="E481" s="25" t="s">
        <v>17</v>
      </c>
      <c r="F481" s="26">
        <v>12</v>
      </c>
      <c r="G481" s="26">
        <f t="shared" si="276"/>
        <v>9.5794999999999995</v>
      </c>
      <c r="H481" s="26">
        <f t="shared" si="282"/>
        <v>12.15</v>
      </c>
      <c r="I481" s="26">
        <f t="shared" ref="I481:I482" si="286">ROUND(H481*F481,2)</f>
        <v>145.80000000000001</v>
      </c>
      <c r="J481" s="64">
        <f>'COMPOSIÇÃO DE CUSTOS'!G1209</f>
        <v>9.58</v>
      </c>
      <c r="K481" s="362">
        <v>11.27</v>
      </c>
      <c r="L481" s="362">
        <f t="shared" si="278"/>
        <v>114.95399999999999</v>
      </c>
      <c r="M481" s="64"/>
      <c r="N481" s="65"/>
      <c r="AY481" s="221"/>
      <c r="AZ481" s="481"/>
      <c r="BA481" s="481"/>
      <c r="BB481" s="481"/>
      <c r="BC481" s="481"/>
      <c r="BD481" s="163">
        <f t="shared" si="246"/>
        <v>10.67</v>
      </c>
      <c r="BE481" s="163">
        <f t="shared" si="279"/>
        <v>13.53</v>
      </c>
      <c r="BF481" s="163">
        <f t="shared" si="284"/>
        <v>162.36000000000001</v>
      </c>
    </row>
    <row r="482" spans="1:59" s="62" customFormat="1" ht="30">
      <c r="A482" s="23" t="s">
        <v>997</v>
      </c>
      <c r="B482" s="24">
        <v>12976</v>
      </c>
      <c r="C482" s="23" t="s">
        <v>211</v>
      </c>
      <c r="D482" s="25" t="s">
        <v>44</v>
      </c>
      <c r="E482" s="25" t="s">
        <v>17</v>
      </c>
      <c r="F482" s="26">
        <v>12</v>
      </c>
      <c r="G482" s="26">
        <f t="shared" si="276"/>
        <v>11.662000000000001</v>
      </c>
      <c r="H482" s="26">
        <f t="shared" si="282"/>
        <v>14.79</v>
      </c>
      <c r="I482" s="26">
        <f t="shared" si="286"/>
        <v>177.48</v>
      </c>
      <c r="J482" s="64">
        <f>'COMPOSIÇÃO DE CUSTOS'!G1216</f>
        <v>11.66</v>
      </c>
      <c r="K482" s="362">
        <v>13.72</v>
      </c>
      <c r="L482" s="362">
        <f t="shared" si="278"/>
        <v>139.94400000000002</v>
      </c>
      <c r="M482" s="64"/>
      <c r="N482" s="65"/>
      <c r="AY482" s="221"/>
      <c r="AZ482" s="481"/>
      <c r="BA482" s="481"/>
      <c r="BB482" s="481"/>
      <c r="BC482" s="481"/>
      <c r="BD482" s="163">
        <f t="shared" si="246"/>
        <v>12.99</v>
      </c>
      <c r="BE482" s="163">
        <f t="shared" si="279"/>
        <v>16.47</v>
      </c>
      <c r="BF482" s="163">
        <f t="shared" si="284"/>
        <v>197.64</v>
      </c>
    </row>
    <row r="483" spans="1:59" s="62" customFormat="1" ht="30">
      <c r="A483" s="23" t="s">
        <v>998</v>
      </c>
      <c r="B483" s="24">
        <v>12977</v>
      </c>
      <c r="C483" s="23" t="s">
        <v>212</v>
      </c>
      <c r="D483" s="25" t="s">
        <v>44</v>
      </c>
      <c r="E483" s="25" t="s">
        <v>17</v>
      </c>
      <c r="F483" s="26">
        <v>7</v>
      </c>
      <c r="G483" s="26">
        <f t="shared" si="276"/>
        <v>13.5745</v>
      </c>
      <c r="H483" s="26">
        <f t="shared" si="282"/>
        <v>17.21</v>
      </c>
      <c r="I483" s="26">
        <f t="shared" ref="I483:I484" si="287">ROUND(H483*F483,2)</f>
        <v>120.47</v>
      </c>
      <c r="J483" s="64">
        <f>'COMPOSIÇÃO DE CUSTOS'!G1223</f>
        <v>13.57</v>
      </c>
      <c r="K483" s="362">
        <v>15.97</v>
      </c>
      <c r="L483" s="362">
        <f t="shared" si="278"/>
        <v>95.021500000000003</v>
      </c>
      <c r="M483" s="64"/>
      <c r="N483" s="65"/>
      <c r="AY483" s="221"/>
      <c r="AZ483" s="481"/>
      <c r="BA483" s="481"/>
      <c r="BB483" s="481"/>
      <c r="BC483" s="481"/>
      <c r="BD483" s="163">
        <f t="shared" si="246"/>
        <v>15.12</v>
      </c>
      <c r="BE483" s="163">
        <f t="shared" si="279"/>
        <v>19.170000000000002</v>
      </c>
      <c r="BF483" s="163">
        <f t="shared" si="284"/>
        <v>134.19</v>
      </c>
    </row>
    <row r="484" spans="1:59" s="62" customFormat="1" ht="30">
      <c r="A484" s="23" t="s">
        <v>997</v>
      </c>
      <c r="B484" s="24">
        <v>12978</v>
      </c>
      <c r="C484" s="23" t="s">
        <v>2262</v>
      </c>
      <c r="D484" s="25" t="s">
        <v>44</v>
      </c>
      <c r="E484" s="25" t="s">
        <v>17</v>
      </c>
      <c r="F484" s="26">
        <v>3</v>
      </c>
      <c r="G484" s="26">
        <f t="shared" si="276"/>
        <v>12.044499999999999</v>
      </c>
      <c r="H484" s="26">
        <f t="shared" si="282"/>
        <v>15.27</v>
      </c>
      <c r="I484" s="26">
        <f t="shared" si="287"/>
        <v>45.81</v>
      </c>
      <c r="J484" s="64">
        <f>'COMPOSIÇÃO DE CUSTOS'!G1230</f>
        <v>12.04</v>
      </c>
      <c r="K484" s="362">
        <v>14.17</v>
      </c>
      <c r="L484" s="362">
        <f t="shared" si="278"/>
        <v>36.133499999999998</v>
      </c>
      <c r="M484" s="64"/>
      <c r="N484" s="65"/>
      <c r="AY484" s="221"/>
      <c r="AZ484" s="481"/>
      <c r="BA484" s="481"/>
      <c r="BB484" s="481"/>
      <c r="BC484" s="481"/>
      <c r="BD484" s="163">
        <f t="shared" si="246"/>
        <v>13.42</v>
      </c>
      <c r="BE484" s="163">
        <f t="shared" si="279"/>
        <v>17.02</v>
      </c>
      <c r="BF484" s="163">
        <f t="shared" si="284"/>
        <v>51.06</v>
      </c>
    </row>
    <row r="485" spans="1:59" s="62" customFormat="1" ht="30">
      <c r="A485" s="23" t="s">
        <v>999</v>
      </c>
      <c r="B485" s="24">
        <v>3988</v>
      </c>
      <c r="C485" s="23" t="s">
        <v>213</v>
      </c>
      <c r="D485" s="25" t="s">
        <v>44</v>
      </c>
      <c r="E485" s="25" t="s">
        <v>17</v>
      </c>
      <c r="F485" s="26">
        <v>3</v>
      </c>
      <c r="G485" s="26">
        <f t="shared" si="276"/>
        <v>12.324999999999999</v>
      </c>
      <c r="H485" s="26">
        <f t="shared" si="282"/>
        <v>15.63</v>
      </c>
      <c r="I485" s="26">
        <f t="shared" ref="I485" si="288">ROUND(H485*F485,2)</f>
        <v>46.89</v>
      </c>
      <c r="J485" s="64">
        <f>'COMPOSIÇÃO DE CUSTOS'!G1237</f>
        <v>12.32</v>
      </c>
      <c r="K485" s="362">
        <v>14.5</v>
      </c>
      <c r="L485" s="362">
        <f t="shared" si="278"/>
        <v>36.974999999999994</v>
      </c>
      <c r="M485" s="64"/>
      <c r="N485" s="65"/>
      <c r="AY485" s="221"/>
      <c r="AZ485" s="481"/>
      <c r="BA485" s="481"/>
      <c r="BB485" s="481"/>
      <c r="BC485" s="481"/>
      <c r="BD485" s="163">
        <f t="shared" si="246"/>
        <v>13.73</v>
      </c>
      <c r="BE485" s="163">
        <f t="shared" si="279"/>
        <v>17.41</v>
      </c>
      <c r="BF485" s="163">
        <f t="shared" si="284"/>
        <v>52.23</v>
      </c>
    </row>
    <row r="486" spans="1:59" s="62" customFormat="1">
      <c r="A486" s="356" t="s">
        <v>1000</v>
      </c>
      <c r="B486" s="356"/>
      <c r="C486" s="356" t="s">
        <v>214</v>
      </c>
      <c r="D486" s="357"/>
      <c r="E486" s="357"/>
      <c r="F486" s="357"/>
      <c r="G486" s="26"/>
      <c r="H486" s="357"/>
      <c r="I486" s="96"/>
      <c r="J486" s="65"/>
      <c r="K486" s="362"/>
      <c r="L486" s="362">
        <f t="shared" si="278"/>
        <v>0</v>
      </c>
      <c r="M486" s="65"/>
      <c r="N486" s="65"/>
      <c r="AY486" s="221"/>
      <c r="AZ486" s="481"/>
      <c r="BA486" s="481"/>
      <c r="BB486" s="481"/>
      <c r="BC486" s="481"/>
      <c r="BD486" s="481"/>
      <c r="BE486" s="481"/>
      <c r="BF486" s="481"/>
    </row>
    <row r="487" spans="1:59" s="34" customFormat="1" ht="45">
      <c r="A487" s="471" t="s">
        <v>1001</v>
      </c>
      <c r="B487" s="475">
        <v>91929</v>
      </c>
      <c r="C487" s="471" t="s">
        <v>215</v>
      </c>
      <c r="D487" s="472" t="s">
        <v>12</v>
      </c>
      <c r="E487" s="472" t="s">
        <v>52</v>
      </c>
      <c r="F487" s="473">
        <v>2648.9376999999999</v>
      </c>
      <c r="G487" s="473">
        <f t="shared" si="276"/>
        <v>5.8819999999999997</v>
      </c>
      <c r="H487" s="473">
        <f t="shared" ref="H487:H496" si="289">ROUND(G487*(1+$J$14),2)</f>
        <v>7.46</v>
      </c>
      <c r="I487" s="473">
        <f t="shared" ref="I487:I488" si="290">ROUND(H487*F487,2)</f>
        <v>19761.080000000002</v>
      </c>
      <c r="J487" s="474" t="e">
        <f>IF(B487&lt;&gt;0,VLOOKUP(B487,#REF!,4,FALSE),"")</f>
        <v>#REF!</v>
      </c>
      <c r="K487" s="378" t="s">
        <v>1860</v>
      </c>
      <c r="L487" s="378">
        <f t="shared" si="278"/>
        <v>15581.051551399998</v>
      </c>
      <c r="M487" s="474"/>
      <c r="N487" s="47" t="e">
        <f>IF(B487&lt;&gt;0,VLOOKUP(B487,#REF!,2,FALSE),"")</f>
        <v>#REF!</v>
      </c>
      <c r="AY487" s="577"/>
      <c r="AZ487" s="502"/>
      <c r="BA487" s="502"/>
      <c r="BB487" s="502"/>
      <c r="BC487" s="502"/>
      <c r="BD487" s="523">
        <f>BG487</f>
        <v>8.27</v>
      </c>
      <c r="BE487" s="523">
        <f>ROUND(BD487*(1+$J$14),2)</f>
        <v>10.49</v>
      </c>
      <c r="BF487" s="523">
        <f t="shared" ref="BF487:BF496" si="291">ROUND(BE487*F487,2)</f>
        <v>27787.360000000001</v>
      </c>
      <c r="BG487" s="34">
        <f>'COMPOSIÇÃO AB'!G533</f>
        <v>8.27</v>
      </c>
    </row>
    <row r="488" spans="1:59" s="62" customFormat="1" ht="45">
      <c r="A488" s="23" t="s">
        <v>1002</v>
      </c>
      <c r="B488" s="24">
        <v>91931</v>
      </c>
      <c r="C488" s="23" t="s">
        <v>3418</v>
      </c>
      <c r="D488" s="25" t="s">
        <v>12</v>
      </c>
      <c r="E488" s="25" t="s">
        <v>52</v>
      </c>
      <c r="F488" s="26">
        <v>627</v>
      </c>
      <c r="G488" s="26">
        <f t="shared" si="276"/>
        <v>7.9474999999999998</v>
      </c>
      <c r="H488" s="26">
        <f t="shared" si="289"/>
        <v>10.08</v>
      </c>
      <c r="I488" s="26">
        <f t="shared" si="290"/>
        <v>6320.16</v>
      </c>
      <c r="J488" s="64" t="e">
        <f>IF(B488&lt;&gt;0,VLOOKUP(B488,#REF!,4,FALSE),"")</f>
        <v>#REF!</v>
      </c>
      <c r="K488" s="362" t="s">
        <v>1902</v>
      </c>
      <c r="L488" s="362">
        <f t="shared" si="278"/>
        <v>4983.0824999999995</v>
      </c>
      <c r="M488" s="64"/>
      <c r="N488" s="65" t="e">
        <f>IF(B488&lt;&gt;0,VLOOKUP(B488,#REF!,2,FALSE),"")</f>
        <v>#REF!</v>
      </c>
      <c r="AY488" s="221"/>
      <c r="AZ488" s="481"/>
      <c r="BA488" s="481"/>
      <c r="BB488" s="481"/>
      <c r="BC488" s="481"/>
      <c r="BD488" s="163">
        <f t="shared" ref="BD488:BD489" si="292">ROUND(G488*$BH$19,2)</f>
        <v>8.85</v>
      </c>
      <c r="BE488" s="163">
        <f t="shared" ref="BE488:BE489" si="293">ROUND(BD488*(1+$J$14),2)</f>
        <v>11.22</v>
      </c>
      <c r="BF488" s="163">
        <f t="shared" si="291"/>
        <v>7034.94</v>
      </c>
    </row>
    <row r="489" spans="1:59" s="62" customFormat="1" ht="45">
      <c r="A489" s="23" t="s">
        <v>1003</v>
      </c>
      <c r="B489" s="24">
        <v>92980</v>
      </c>
      <c r="C489" s="23" t="s">
        <v>1682</v>
      </c>
      <c r="D489" s="25" t="s">
        <v>12</v>
      </c>
      <c r="E489" s="25" t="s">
        <v>52</v>
      </c>
      <c r="F489" s="26">
        <v>530</v>
      </c>
      <c r="G489" s="26">
        <f t="shared" si="276"/>
        <v>9.2735000000000003</v>
      </c>
      <c r="H489" s="26">
        <f t="shared" si="289"/>
        <v>11.76</v>
      </c>
      <c r="I489" s="26">
        <f t="shared" ref="I489:I496" si="294">ROUND(H489*F489,2)</f>
        <v>6232.8</v>
      </c>
      <c r="J489" s="64" t="e">
        <f>IF(B489&lt;&gt;0,VLOOKUP(B489,#REF!,4,FALSE),"")</f>
        <v>#REF!</v>
      </c>
      <c r="K489" s="362" t="s">
        <v>3229</v>
      </c>
      <c r="L489" s="362">
        <f t="shared" si="278"/>
        <v>4914.9549999999999</v>
      </c>
      <c r="M489" s="64"/>
      <c r="N489" s="65" t="e">
        <f>IF(B489&lt;&gt;0,VLOOKUP(B489,#REF!,2,FALSE),"")</f>
        <v>#REF!</v>
      </c>
      <c r="AY489" s="221"/>
      <c r="AZ489" s="481"/>
      <c r="BA489" s="481"/>
      <c r="BB489" s="481"/>
      <c r="BC489" s="481"/>
      <c r="BD489" s="163">
        <f t="shared" si="292"/>
        <v>10.33</v>
      </c>
      <c r="BE489" s="163">
        <f t="shared" si="293"/>
        <v>13.1</v>
      </c>
      <c r="BF489" s="163">
        <f t="shared" si="291"/>
        <v>6943</v>
      </c>
    </row>
    <row r="490" spans="1:59" s="34" customFormat="1" ht="45">
      <c r="A490" s="471" t="s">
        <v>1004</v>
      </c>
      <c r="B490" s="475">
        <v>92982</v>
      </c>
      <c r="C490" s="471" t="s">
        <v>1683</v>
      </c>
      <c r="D490" s="472" t="s">
        <v>12</v>
      </c>
      <c r="E490" s="472" t="s">
        <v>52</v>
      </c>
      <c r="F490" s="473">
        <v>3503</v>
      </c>
      <c r="G490" s="473">
        <f t="shared" si="276"/>
        <v>14.195</v>
      </c>
      <c r="H490" s="473">
        <f t="shared" si="289"/>
        <v>18</v>
      </c>
      <c r="I490" s="473">
        <f t="shared" si="294"/>
        <v>63054</v>
      </c>
      <c r="J490" s="474" t="e">
        <f>IF(B490&lt;&gt;0,VLOOKUP(B490,#REF!,4,FALSE),"")</f>
        <v>#REF!</v>
      </c>
      <c r="K490" s="378" t="s">
        <v>1848</v>
      </c>
      <c r="L490" s="378">
        <f t="shared" si="278"/>
        <v>49725.084999999999</v>
      </c>
      <c r="M490" s="474"/>
      <c r="N490" s="47" t="e">
        <f>IF(B490&lt;&gt;0,VLOOKUP(B490,#REF!,2,FALSE),"")</f>
        <v>#REF!</v>
      </c>
      <c r="AY490" s="577"/>
      <c r="AZ490" s="502"/>
      <c r="BA490" s="502"/>
      <c r="BB490" s="502"/>
      <c r="BC490" s="502"/>
      <c r="BD490" s="523">
        <f>BG490</f>
        <v>26.01</v>
      </c>
      <c r="BE490" s="523">
        <f t="shared" ref="BE490:BE496" si="295">ROUND(BD490*(1+$J$14),2)</f>
        <v>32.979999999999997</v>
      </c>
      <c r="BF490" s="523">
        <f t="shared" si="291"/>
        <v>115528.94</v>
      </c>
      <c r="BG490" s="34">
        <f>'COMPOSIÇÃO AB'!G541</f>
        <v>26.01</v>
      </c>
    </row>
    <row r="491" spans="1:59" s="34" customFormat="1" ht="45">
      <c r="A491" s="471" t="s">
        <v>1005</v>
      </c>
      <c r="B491" s="475">
        <v>92984</v>
      </c>
      <c r="C491" s="471" t="s">
        <v>1684</v>
      </c>
      <c r="D491" s="472" t="s">
        <v>12</v>
      </c>
      <c r="E491" s="472" t="s">
        <v>52</v>
      </c>
      <c r="F491" s="473">
        <v>1918</v>
      </c>
      <c r="G491" s="473">
        <f t="shared" si="276"/>
        <v>22.5505</v>
      </c>
      <c r="H491" s="473">
        <f t="shared" si="289"/>
        <v>28.6</v>
      </c>
      <c r="I491" s="473">
        <f t="shared" si="294"/>
        <v>54854.8</v>
      </c>
      <c r="J491" s="474" t="e">
        <f>IF(B491&lt;&gt;0,VLOOKUP(B491,#REF!,4,FALSE),"")</f>
        <v>#REF!</v>
      </c>
      <c r="K491" s="378" t="s">
        <v>3230</v>
      </c>
      <c r="L491" s="378">
        <f t="shared" si="278"/>
        <v>43251.858999999997</v>
      </c>
      <c r="M491" s="474"/>
      <c r="N491" s="47" t="e">
        <f>IF(B491&lt;&gt;0,VLOOKUP(B491,#REF!,2,FALSE),"")</f>
        <v>#REF!</v>
      </c>
      <c r="AY491" s="577"/>
      <c r="AZ491" s="502"/>
      <c r="BA491" s="502"/>
      <c r="BB491" s="502"/>
      <c r="BC491" s="502"/>
      <c r="BD491" s="523">
        <f t="shared" ref="BD491:BD496" si="296">BG491</f>
        <v>24.84</v>
      </c>
      <c r="BE491" s="523">
        <f t="shared" si="295"/>
        <v>31.5</v>
      </c>
      <c r="BF491" s="523">
        <f t="shared" si="291"/>
        <v>60417</v>
      </c>
      <c r="BG491" s="34">
        <f>'COMPOSIÇÃO AB'!G549</f>
        <v>24.84</v>
      </c>
    </row>
    <row r="492" spans="1:59" s="34" customFormat="1" ht="45">
      <c r="A492" s="471" t="s">
        <v>1006</v>
      </c>
      <c r="B492" s="475">
        <v>92986</v>
      </c>
      <c r="C492" s="471" t="s">
        <v>1685</v>
      </c>
      <c r="D492" s="472" t="s">
        <v>12</v>
      </c>
      <c r="E492" s="472" t="s">
        <v>52</v>
      </c>
      <c r="F492" s="473">
        <v>2140</v>
      </c>
      <c r="G492" s="473">
        <f t="shared" si="276"/>
        <v>30.667999999999999</v>
      </c>
      <c r="H492" s="473">
        <f t="shared" si="289"/>
        <v>38.89</v>
      </c>
      <c r="I492" s="473">
        <f t="shared" si="294"/>
        <v>83224.600000000006</v>
      </c>
      <c r="J492" s="474" t="e">
        <f>IF(B492&lt;&gt;0,VLOOKUP(B492,#REF!,4,FALSE),"")</f>
        <v>#REF!</v>
      </c>
      <c r="K492" s="378" t="s">
        <v>3231</v>
      </c>
      <c r="L492" s="378">
        <f t="shared" si="278"/>
        <v>65629.52</v>
      </c>
      <c r="M492" s="474"/>
      <c r="N492" s="47" t="e">
        <f>IF(B492&lt;&gt;0,VLOOKUP(B492,#REF!,2,FALSE),"")</f>
        <v>#REF!</v>
      </c>
      <c r="AY492" s="577"/>
      <c r="AZ492" s="502"/>
      <c r="BA492" s="502"/>
      <c r="BB492" s="502"/>
      <c r="BC492" s="502"/>
      <c r="BD492" s="523">
        <f t="shared" si="296"/>
        <v>47.53</v>
      </c>
      <c r="BE492" s="523">
        <f t="shared" si="295"/>
        <v>60.27</v>
      </c>
      <c r="BF492" s="523">
        <f t="shared" si="291"/>
        <v>128977.8</v>
      </c>
      <c r="BG492" s="34">
        <f>'COMPOSIÇÃO AB'!G557</f>
        <v>47.53</v>
      </c>
    </row>
    <row r="493" spans="1:59" s="34" customFormat="1" ht="45">
      <c r="A493" s="471" t="s">
        <v>1007</v>
      </c>
      <c r="B493" s="475">
        <v>92988</v>
      </c>
      <c r="C493" s="471" t="s">
        <v>1686</v>
      </c>
      <c r="D493" s="472" t="s">
        <v>12</v>
      </c>
      <c r="E493" s="472" t="s">
        <v>52</v>
      </c>
      <c r="F493" s="473">
        <v>1796</v>
      </c>
      <c r="G493" s="473">
        <f t="shared" si="276"/>
        <v>43.248000000000005</v>
      </c>
      <c r="H493" s="473">
        <f t="shared" si="289"/>
        <v>54.84</v>
      </c>
      <c r="I493" s="473">
        <f t="shared" si="294"/>
        <v>98492.64</v>
      </c>
      <c r="J493" s="474" t="e">
        <f>IF(B493&lt;&gt;0,VLOOKUP(B493,#REF!,4,FALSE),"")</f>
        <v>#REF!</v>
      </c>
      <c r="K493" s="378" t="s">
        <v>3232</v>
      </c>
      <c r="L493" s="378">
        <f t="shared" si="278"/>
        <v>77673.40800000001</v>
      </c>
      <c r="M493" s="474"/>
      <c r="N493" s="47" t="e">
        <f>IF(B493&lt;&gt;0,VLOOKUP(B493,#REF!,2,FALSE),"")</f>
        <v>#REF!</v>
      </c>
      <c r="AY493" s="577"/>
      <c r="AZ493" s="502"/>
      <c r="BA493" s="502"/>
      <c r="BB493" s="502"/>
      <c r="BC493" s="502"/>
      <c r="BD493" s="523">
        <f t="shared" si="296"/>
        <v>65.13</v>
      </c>
      <c r="BE493" s="523">
        <f t="shared" si="295"/>
        <v>82.59</v>
      </c>
      <c r="BF493" s="523">
        <f t="shared" si="291"/>
        <v>148331.64000000001</v>
      </c>
      <c r="BG493" s="34">
        <f>'COMPOSIÇÃO AB'!G565</f>
        <v>65.13</v>
      </c>
    </row>
    <row r="494" spans="1:59" s="34" customFormat="1" ht="45">
      <c r="A494" s="471" t="s">
        <v>1008</v>
      </c>
      <c r="B494" s="475">
        <v>92990</v>
      </c>
      <c r="C494" s="471" t="s">
        <v>1687</v>
      </c>
      <c r="D494" s="472" t="s">
        <v>12</v>
      </c>
      <c r="E494" s="472" t="s">
        <v>52</v>
      </c>
      <c r="F494" s="473">
        <v>1717</v>
      </c>
      <c r="G494" s="473">
        <f t="shared" si="276"/>
        <v>59.474499999999999</v>
      </c>
      <c r="H494" s="473">
        <f t="shared" si="289"/>
        <v>75.42</v>
      </c>
      <c r="I494" s="473">
        <f t="shared" si="294"/>
        <v>129496.14</v>
      </c>
      <c r="J494" s="474" t="e">
        <f>IF(B494&lt;&gt;0,VLOOKUP(B494,#REF!,4,FALSE),"")</f>
        <v>#REF!</v>
      </c>
      <c r="K494" s="378" t="s">
        <v>3233</v>
      </c>
      <c r="L494" s="378">
        <f t="shared" si="278"/>
        <v>102117.71649999999</v>
      </c>
      <c r="M494" s="474"/>
      <c r="N494" s="47" t="e">
        <f>IF(B494&lt;&gt;0,VLOOKUP(B494,#REF!,2,FALSE),"")</f>
        <v>#REF!</v>
      </c>
      <c r="AY494" s="577"/>
      <c r="AZ494" s="502"/>
      <c r="BA494" s="502"/>
      <c r="BB494" s="502"/>
      <c r="BC494" s="502"/>
      <c r="BD494" s="523">
        <f t="shared" si="296"/>
        <v>87.62</v>
      </c>
      <c r="BE494" s="523">
        <f t="shared" si="295"/>
        <v>111.11</v>
      </c>
      <c r="BF494" s="523">
        <f t="shared" si="291"/>
        <v>190775.87</v>
      </c>
      <c r="BG494" s="34">
        <f>'COMPOSIÇÃO AB'!G573</f>
        <v>87.62</v>
      </c>
    </row>
    <row r="495" spans="1:59" s="34" customFormat="1" ht="45">
      <c r="A495" s="471" t="s">
        <v>1009</v>
      </c>
      <c r="B495" s="475">
        <v>92992</v>
      </c>
      <c r="C495" s="471" t="s">
        <v>1688</v>
      </c>
      <c r="D495" s="472" t="s">
        <v>12</v>
      </c>
      <c r="E495" s="472" t="s">
        <v>52</v>
      </c>
      <c r="F495" s="473">
        <v>1503</v>
      </c>
      <c r="G495" s="473">
        <f t="shared" si="276"/>
        <v>78.6845</v>
      </c>
      <c r="H495" s="473">
        <f t="shared" si="289"/>
        <v>99.78</v>
      </c>
      <c r="I495" s="473">
        <f t="shared" si="294"/>
        <v>149969.34</v>
      </c>
      <c r="J495" s="474" t="e">
        <f>IF(B495&lt;&gt;0,VLOOKUP(B495,#REF!,4,FALSE),"")</f>
        <v>#REF!</v>
      </c>
      <c r="K495" s="378" t="s">
        <v>3156</v>
      </c>
      <c r="L495" s="378">
        <f t="shared" si="278"/>
        <v>118262.80349999999</v>
      </c>
      <c r="M495" s="474"/>
      <c r="N495" s="47" t="e">
        <f>IF(B495&lt;&gt;0,VLOOKUP(B495,#REF!,2,FALSE),"")</f>
        <v>#REF!</v>
      </c>
      <c r="AY495" s="577"/>
      <c r="AZ495" s="502"/>
      <c r="BA495" s="502"/>
      <c r="BB495" s="502"/>
      <c r="BC495" s="502"/>
      <c r="BD495" s="523">
        <f t="shared" si="296"/>
        <v>104.78</v>
      </c>
      <c r="BE495" s="523">
        <f t="shared" si="295"/>
        <v>132.87</v>
      </c>
      <c r="BF495" s="523">
        <f t="shared" si="291"/>
        <v>199703.61</v>
      </c>
      <c r="BG495" s="34">
        <f>'COMPOSIÇÃO AB'!G581</f>
        <v>104.78</v>
      </c>
    </row>
    <row r="496" spans="1:59" s="34" customFormat="1" ht="45">
      <c r="A496" s="471" t="s">
        <v>1010</v>
      </c>
      <c r="B496" s="475">
        <v>92994</v>
      </c>
      <c r="C496" s="471" t="s">
        <v>1689</v>
      </c>
      <c r="D496" s="472" t="s">
        <v>12</v>
      </c>
      <c r="E496" s="472" t="s">
        <v>52</v>
      </c>
      <c r="F496" s="473">
        <v>820</v>
      </c>
      <c r="G496" s="473">
        <f t="shared" si="276"/>
        <v>102.017</v>
      </c>
      <c r="H496" s="473">
        <f t="shared" si="289"/>
        <v>129.37</v>
      </c>
      <c r="I496" s="473">
        <f t="shared" si="294"/>
        <v>106083.4</v>
      </c>
      <c r="J496" s="474" t="e">
        <f>IF(B496&lt;&gt;0,VLOOKUP(B496,#REF!,4,FALSE),"")</f>
        <v>#REF!</v>
      </c>
      <c r="K496" s="378" t="s">
        <v>3234</v>
      </c>
      <c r="L496" s="378">
        <f t="shared" si="278"/>
        <v>83653.94</v>
      </c>
      <c r="M496" s="474"/>
      <c r="N496" s="47" t="e">
        <f>IF(B496&lt;&gt;0,VLOOKUP(B496,#REF!,2,FALSE),"")</f>
        <v>#REF!</v>
      </c>
      <c r="AY496" s="577"/>
      <c r="AZ496" s="502"/>
      <c r="BA496" s="502"/>
      <c r="BB496" s="502"/>
      <c r="BC496" s="502"/>
      <c r="BD496" s="523">
        <f t="shared" si="296"/>
        <v>112.58</v>
      </c>
      <c r="BE496" s="523">
        <f t="shared" si="295"/>
        <v>142.76</v>
      </c>
      <c r="BF496" s="523">
        <f t="shared" si="291"/>
        <v>117063.2</v>
      </c>
      <c r="BG496" s="34">
        <f>'COMPOSIÇÃO AB'!G589</f>
        <v>112.58</v>
      </c>
    </row>
    <row r="497" spans="1:59" s="62" customFormat="1" ht="15" customHeight="1">
      <c r="A497" s="356" t="s">
        <v>1011</v>
      </c>
      <c r="B497" s="356"/>
      <c r="C497" s="356" t="s">
        <v>216</v>
      </c>
      <c r="D497" s="357"/>
      <c r="E497" s="357"/>
      <c r="F497" s="357"/>
      <c r="G497" s="26"/>
      <c r="H497" s="357"/>
      <c r="I497" s="96"/>
      <c r="J497" s="65"/>
      <c r="K497" s="362"/>
      <c r="L497" s="362">
        <f t="shared" si="278"/>
        <v>0</v>
      </c>
      <c r="M497" s="65"/>
      <c r="N497" s="65"/>
      <c r="AY497" s="221"/>
      <c r="AZ497" s="481"/>
      <c r="BA497" s="481"/>
      <c r="BB497" s="481"/>
      <c r="BC497" s="481"/>
      <c r="BD497" s="481"/>
      <c r="BE497" s="481"/>
      <c r="BF497" s="481"/>
    </row>
    <row r="498" spans="1:59" ht="45">
      <c r="A498" s="41" t="s">
        <v>3631</v>
      </c>
      <c r="B498" s="24">
        <v>97884</v>
      </c>
      <c r="C498" s="470" t="s">
        <v>3632</v>
      </c>
      <c r="D498" s="25" t="s">
        <v>12</v>
      </c>
      <c r="E498" s="25" t="s">
        <v>17</v>
      </c>
      <c r="F498" s="26">
        <v>17</v>
      </c>
      <c r="G498" s="26">
        <f t="shared" si="276"/>
        <v>494.61500000000001</v>
      </c>
      <c r="H498" s="26">
        <f t="shared" ref="H498:H503" si="297">ROUND(G498*(1+$J$14),2)</f>
        <v>627.22</v>
      </c>
      <c r="I498" s="26">
        <f t="shared" ref="I498" si="298">ROUND(H498*F498,2)</f>
        <v>10662.74</v>
      </c>
      <c r="J498" s="64" t="e">
        <f>IF(B498&lt;&gt;0,VLOOKUP(B498,#REF!,4,FALSE),"")</f>
        <v>#REF!</v>
      </c>
      <c r="K498" s="362" t="s">
        <v>3242</v>
      </c>
      <c r="L498" s="362">
        <f t="shared" si="278"/>
        <v>8408.4549999999999</v>
      </c>
      <c r="M498" s="64"/>
      <c r="N498" s="65" t="e">
        <f>IF(B498&lt;&gt;0,VLOOKUP(B498,#REF!,2,FALSE),"")</f>
        <v>#REF!</v>
      </c>
      <c r="AY498" s="21"/>
      <c r="AZ498" s="481"/>
      <c r="BA498" s="481"/>
      <c r="BB498" s="481"/>
      <c r="BC498" s="481"/>
      <c r="BD498" s="163">
        <f t="shared" ref="BD498" si="299">ROUND(G498*$BH$19,2)</f>
        <v>551.01</v>
      </c>
      <c r="BE498" s="163">
        <f t="shared" ref="BE498:BE509" si="300">ROUND(BD498*(1+$J$14),2)</f>
        <v>698.74</v>
      </c>
      <c r="BF498" s="163">
        <f t="shared" ref="BF498:BF503" si="301">ROUND(BE498*F498,2)</f>
        <v>11878.58</v>
      </c>
    </row>
    <row r="499" spans="1:59" ht="45">
      <c r="A499" s="41" t="s">
        <v>3633</v>
      </c>
      <c r="B499" s="24">
        <v>97883</v>
      </c>
      <c r="C499" s="470" t="s">
        <v>3634</v>
      </c>
      <c r="D499" s="25" t="s">
        <v>12</v>
      </c>
      <c r="E499" s="25" t="s">
        <v>17</v>
      </c>
      <c r="F499" s="26">
        <v>4</v>
      </c>
      <c r="G499" s="26">
        <f t="shared" si="276"/>
        <v>254.422</v>
      </c>
      <c r="H499" s="26">
        <f t="shared" si="297"/>
        <v>322.63</v>
      </c>
      <c r="I499" s="26">
        <f t="shared" ref="I499:I501" si="302">ROUND(H499*F499,2)</f>
        <v>1290.52</v>
      </c>
      <c r="J499" s="64" t="e">
        <f>IF(B499&lt;&gt;0,VLOOKUP(B499,#REF!,4,FALSE),"")</f>
        <v>#REF!</v>
      </c>
      <c r="K499" s="362" t="s">
        <v>3241</v>
      </c>
      <c r="L499" s="362">
        <f t="shared" si="278"/>
        <v>1017.688</v>
      </c>
      <c r="M499" s="64"/>
      <c r="N499" s="65" t="e">
        <f>IF(B499&lt;&gt;0,VLOOKUP(B499,#REF!,2,FALSE),"")</f>
        <v>#REF!</v>
      </c>
      <c r="AY499" s="21"/>
      <c r="AZ499" s="481"/>
      <c r="BA499" s="481"/>
      <c r="BB499" s="481"/>
      <c r="BC499" s="481"/>
      <c r="BD499" s="163">
        <f t="shared" ref="BD499:BD509" si="303">ROUND(G499*$BH$19,2)</f>
        <v>283.43</v>
      </c>
      <c r="BE499" s="163">
        <f t="shared" si="300"/>
        <v>359.42</v>
      </c>
      <c r="BF499" s="163">
        <f t="shared" si="301"/>
        <v>1437.68</v>
      </c>
    </row>
    <row r="500" spans="1:59" ht="45">
      <c r="A500" s="41" t="s">
        <v>3635</v>
      </c>
      <c r="B500" s="24">
        <v>97881</v>
      </c>
      <c r="C500" s="470" t="s">
        <v>3636</v>
      </c>
      <c r="D500" s="25" t="s">
        <v>12</v>
      </c>
      <c r="E500" s="25" t="s">
        <v>17</v>
      </c>
      <c r="F500" s="26">
        <v>4</v>
      </c>
      <c r="G500" s="26">
        <f t="shared" si="276"/>
        <v>84.243499999999997</v>
      </c>
      <c r="H500" s="26">
        <f t="shared" si="297"/>
        <v>106.83</v>
      </c>
      <c r="I500" s="26">
        <f t="shared" si="302"/>
        <v>427.32</v>
      </c>
      <c r="J500" s="64" t="e">
        <f>IF(B500&lt;&gt;0,VLOOKUP(B500,#REF!,4,FALSE),"")</f>
        <v>#REF!</v>
      </c>
      <c r="K500" s="362" t="s">
        <v>3240</v>
      </c>
      <c r="L500" s="362">
        <f t="shared" si="278"/>
        <v>336.97399999999999</v>
      </c>
      <c r="M500" s="64"/>
      <c r="N500" s="65" t="e">
        <f>IF(B500&lt;&gt;0,VLOOKUP(B500,#REF!,2,FALSE),"")</f>
        <v>#REF!</v>
      </c>
      <c r="AY500" s="21"/>
      <c r="AZ500" s="481"/>
      <c r="BA500" s="481"/>
      <c r="BB500" s="481"/>
      <c r="BC500" s="481"/>
      <c r="BD500" s="163">
        <f t="shared" si="303"/>
        <v>93.85</v>
      </c>
      <c r="BE500" s="163">
        <f t="shared" si="300"/>
        <v>119.01</v>
      </c>
      <c r="BF500" s="163">
        <f t="shared" si="301"/>
        <v>476.04</v>
      </c>
    </row>
    <row r="501" spans="1:59" s="62" customFormat="1" ht="30">
      <c r="A501" s="23" t="s">
        <v>1015</v>
      </c>
      <c r="B501" s="25" t="s">
        <v>2266</v>
      </c>
      <c r="C501" s="23" t="s">
        <v>217</v>
      </c>
      <c r="D501" s="25" t="s">
        <v>1915</v>
      </c>
      <c r="E501" s="25" t="s">
        <v>17</v>
      </c>
      <c r="F501" s="26">
        <v>2</v>
      </c>
      <c r="G501" s="26">
        <f t="shared" si="276"/>
        <v>106.98099999999999</v>
      </c>
      <c r="H501" s="26">
        <f t="shared" si="297"/>
        <v>135.66</v>
      </c>
      <c r="I501" s="26">
        <f t="shared" si="302"/>
        <v>271.32</v>
      </c>
      <c r="J501" s="64">
        <f>'COMPOSIÇÃO DE CUSTOS'!G1244</f>
        <v>106.99</v>
      </c>
      <c r="K501" s="362">
        <v>125.86</v>
      </c>
      <c r="L501" s="362">
        <f t="shared" si="278"/>
        <v>213.96199999999999</v>
      </c>
      <c r="M501" s="64"/>
      <c r="N501" s="65"/>
      <c r="AY501" s="221"/>
      <c r="AZ501" s="481"/>
      <c r="BA501" s="481"/>
      <c r="BB501" s="481"/>
      <c r="BC501" s="481"/>
      <c r="BD501" s="163">
        <f t="shared" si="303"/>
        <v>119.18</v>
      </c>
      <c r="BE501" s="163">
        <f t="shared" si="300"/>
        <v>151.13</v>
      </c>
      <c r="BF501" s="163">
        <f t="shared" si="301"/>
        <v>302.26</v>
      </c>
    </row>
    <row r="502" spans="1:59" s="62" customFormat="1" ht="55.5" customHeight="1">
      <c r="A502" s="23" t="s">
        <v>1016</v>
      </c>
      <c r="B502" s="24">
        <v>95789</v>
      </c>
      <c r="C502" s="23" t="s">
        <v>1690</v>
      </c>
      <c r="D502" s="25" t="s">
        <v>12</v>
      </c>
      <c r="E502" s="25" t="s">
        <v>17</v>
      </c>
      <c r="F502" s="26">
        <v>3</v>
      </c>
      <c r="G502" s="26">
        <f t="shared" si="276"/>
        <v>23.859500000000001</v>
      </c>
      <c r="H502" s="26">
        <f t="shared" si="297"/>
        <v>30.26</v>
      </c>
      <c r="I502" s="26">
        <f t="shared" ref="I502:I503" si="304">ROUND(H502*F502,2)</f>
        <v>90.78</v>
      </c>
      <c r="J502" s="64" t="e">
        <f>IF(B502&lt;&gt;0,VLOOKUP(B502,#REF!,4,FALSE),"")</f>
        <v>#REF!</v>
      </c>
      <c r="K502" s="362" t="s">
        <v>3151</v>
      </c>
      <c r="L502" s="362">
        <f t="shared" si="278"/>
        <v>71.578500000000005</v>
      </c>
      <c r="M502" s="64"/>
      <c r="N502" s="65" t="e">
        <f>IF(B502&lt;&gt;0,VLOOKUP(B502,#REF!,2,FALSE),"")</f>
        <v>#REF!</v>
      </c>
      <c r="AY502" s="221"/>
      <c r="AZ502" s="481"/>
      <c r="BA502" s="481"/>
      <c r="BB502" s="481"/>
      <c r="BC502" s="481"/>
      <c r="BD502" s="163">
        <f t="shared" si="303"/>
        <v>26.58</v>
      </c>
      <c r="BE502" s="163">
        <f t="shared" si="300"/>
        <v>33.71</v>
      </c>
      <c r="BF502" s="163">
        <f t="shared" si="301"/>
        <v>101.13</v>
      </c>
    </row>
    <row r="503" spans="1:59" s="62" customFormat="1" ht="52.5" customHeight="1">
      <c r="A503" s="23" t="s">
        <v>1017</v>
      </c>
      <c r="B503" s="24">
        <v>95796</v>
      </c>
      <c r="C503" s="23" t="s">
        <v>1691</v>
      </c>
      <c r="D503" s="25" t="s">
        <v>12</v>
      </c>
      <c r="E503" s="25" t="s">
        <v>17</v>
      </c>
      <c r="F503" s="26">
        <v>1</v>
      </c>
      <c r="G503" s="26">
        <f t="shared" si="276"/>
        <v>28.092499999999998</v>
      </c>
      <c r="H503" s="26">
        <f t="shared" si="297"/>
        <v>35.619999999999997</v>
      </c>
      <c r="I503" s="26">
        <f t="shared" si="304"/>
        <v>35.619999999999997</v>
      </c>
      <c r="J503" s="64" t="e">
        <f>IF(B503&lt;&gt;0,VLOOKUP(B503,#REF!,4,FALSE),"")</f>
        <v>#REF!</v>
      </c>
      <c r="K503" s="362" t="s">
        <v>3187</v>
      </c>
      <c r="L503" s="362">
        <f t="shared" si="278"/>
        <v>28.092499999999998</v>
      </c>
      <c r="M503" s="64"/>
      <c r="N503" s="65" t="e">
        <f>IF(B503&lt;&gt;0,VLOOKUP(B503,#REF!,2,FALSE),"")</f>
        <v>#REF!</v>
      </c>
      <c r="AY503" s="221"/>
      <c r="AZ503" s="481"/>
      <c r="BA503" s="481"/>
      <c r="BB503" s="481"/>
      <c r="BC503" s="481"/>
      <c r="BD503" s="163">
        <f t="shared" si="303"/>
        <v>31.3</v>
      </c>
      <c r="BE503" s="163">
        <f t="shared" si="300"/>
        <v>39.69</v>
      </c>
      <c r="BF503" s="163">
        <f t="shared" si="301"/>
        <v>39.69</v>
      </c>
    </row>
    <row r="504" spans="1:59" ht="29.25" customHeight="1">
      <c r="A504" s="23"/>
      <c r="B504" s="25"/>
      <c r="C504" s="23"/>
      <c r="D504" s="25"/>
      <c r="E504" s="25"/>
      <c r="F504" s="26"/>
      <c r="G504" s="26"/>
      <c r="H504" s="26"/>
      <c r="I504" s="26"/>
      <c r="J504" s="35"/>
      <c r="K504" s="375"/>
      <c r="L504" s="362">
        <f t="shared" si="278"/>
        <v>0</v>
      </c>
      <c r="M504" s="35"/>
      <c r="N504" s="35"/>
      <c r="AY504" s="21"/>
      <c r="AZ504" s="481"/>
      <c r="BA504" s="481"/>
      <c r="BB504" s="481"/>
      <c r="BC504" s="481"/>
      <c r="BD504" s="163"/>
      <c r="BE504" s="163"/>
      <c r="BF504" s="163"/>
    </row>
    <row r="505" spans="1:59" s="45" customFormat="1" ht="15" customHeight="1">
      <c r="A505" s="356" t="s">
        <v>1018</v>
      </c>
      <c r="B505" s="356"/>
      <c r="C505" s="356" t="s">
        <v>218</v>
      </c>
      <c r="D505" s="357"/>
      <c r="E505" s="357"/>
      <c r="F505" s="357"/>
      <c r="G505" s="26"/>
      <c r="H505" s="357"/>
      <c r="I505" s="96">
        <f>ROUND(SUM(I507:I583),2)</f>
        <v>732550.35</v>
      </c>
      <c r="J505" s="44">
        <v>266350.86</v>
      </c>
      <c r="K505" s="51"/>
      <c r="L505" s="362">
        <f t="shared" si="278"/>
        <v>0</v>
      </c>
      <c r="M505" s="51"/>
      <c r="N505" s="46"/>
      <c r="AY505" s="56"/>
      <c r="AZ505" s="481"/>
      <c r="BA505" s="481"/>
      <c r="BB505" s="481"/>
      <c r="BC505" s="481"/>
      <c r="BD505" s="163"/>
      <c r="BE505" s="163"/>
      <c r="BF505" s="96">
        <f>ROUND(SUM(BF507:BF583),2)</f>
        <v>866573.82</v>
      </c>
    </row>
    <row r="506" spans="1:59" s="62" customFormat="1" ht="15" customHeight="1">
      <c r="A506" s="356" t="s">
        <v>1019</v>
      </c>
      <c r="B506" s="356"/>
      <c r="C506" s="356" t="s">
        <v>219</v>
      </c>
      <c r="D506" s="357"/>
      <c r="E506" s="357"/>
      <c r="F506" s="357"/>
      <c r="G506" s="26"/>
      <c r="H506" s="357"/>
      <c r="I506" s="96"/>
      <c r="J506" s="65"/>
      <c r="K506" s="362"/>
      <c r="L506" s="362">
        <f t="shared" si="278"/>
        <v>0</v>
      </c>
      <c r="M506" s="65"/>
      <c r="N506" s="65"/>
      <c r="AY506" s="221"/>
      <c r="AZ506" s="481"/>
      <c r="BA506" s="481"/>
      <c r="BB506" s="481"/>
      <c r="BC506" s="481"/>
      <c r="BD506" s="163"/>
      <c r="BE506" s="163"/>
      <c r="BF506" s="163"/>
    </row>
    <row r="507" spans="1:59" s="62" customFormat="1" ht="30">
      <c r="A507" s="23" t="s">
        <v>1020</v>
      </c>
      <c r="B507" s="24">
        <v>12781</v>
      </c>
      <c r="C507" s="23" t="s">
        <v>2267</v>
      </c>
      <c r="D507" s="25" t="s">
        <v>44</v>
      </c>
      <c r="E507" s="25" t="s">
        <v>17</v>
      </c>
      <c r="F507" s="26">
        <v>2</v>
      </c>
      <c r="G507" s="26">
        <f t="shared" si="276"/>
        <v>2186.9650000000001</v>
      </c>
      <c r="H507" s="26">
        <f>ROUND(G507*(1+$J$14),2)</f>
        <v>2773.29</v>
      </c>
      <c r="I507" s="26">
        <f t="shared" ref="I507" si="305">ROUND(H507*F507,2)</f>
        <v>5546.58</v>
      </c>
      <c r="J507" s="64">
        <f>'COMPOSIÇÃO DE CUSTOS'!G1251</f>
        <v>2186.9699999999998</v>
      </c>
      <c r="K507" s="362">
        <v>2572.9</v>
      </c>
      <c r="L507" s="362">
        <f t="shared" si="278"/>
        <v>4373.93</v>
      </c>
      <c r="M507" s="64"/>
      <c r="N507" s="65"/>
      <c r="AY507" s="221"/>
      <c r="AZ507" s="481"/>
      <c r="BA507" s="481"/>
      <c r="BB507" s="481"/>
      <c r="BC507" s="481"/>
      <c r="BD507" s="163">
        <f t="shared" si="303"/>
        <v>2436.3000000000002</v>
      </c>
      <c r="BE507" s="163">
        <f t="shared" si="300"/>
        <v>3089.47</v>
      </c>
      <c r="BF507" s="163">
        <f t="shared" ref="BF507:BF524" si="306">ROUND(BE507*F507,2)</f>
        <v>6178.94</v>
      </c>
    </row>
    <row r="508" spans="1:59" s="62" customFormat="1" ht="30">
      <c r="A508" s="23" t="s">
        <v>1021</v>
      </c>
      <c r="B508" s="24">
        <v>11419</v>
      </c>
      <c r="C508" s="23" t="s">
        <v>220</v>
      </c>
      <c r="D508" s="25" t="s">
        <v>44</v>
      </c>
      <c r="E508" s="25" t="s">
        <v>17</v>
      </c>
      <c r="F508" s="26">
        <v>2</v>
      </c>
      <c r="G508" s="26">
        <f t="shared" si="276"/>
        <v>17.977499999999999</v>
      </c>
      <c r="H508" s="26">
        <f>ROUND(G508*(1+$J$14),2)</f>
        <v>22.8</v>
      </c>
      <c r="I508" s="26">
        <f t="shared" ref="I508:I509" si="307">ROUND(H508*F508,2)</f>
        <v>45.6</v>
      </c>
      <c r="J508" s="64">
        <f>'COMPOSIÇÃO DE CUSTOS'!G1933</f>
        <v>21.15</v>
      </c>
      <c r="K508" s="362">
        <v>21.15</v>
      </c>
      <c r="L508" s="362">
        <f t="shared" si="278"/>
        <v>35.954999999999998</v>
      </c>
      <c r="M508" s="64"/>
      <c r="N508" s="65"/>
      <c r="AY508" s="221"/>
      <c r="AZ508" s="481"/>
      <c r="BA508" s="481"/>
      <c r="BB508" s="481"/>
      <c r="BC508" s="481"/>
      <c r="BD508" s="163">
        <f t="shared" si="303"/>
        <v>20.03</v>
      </c>
      <c r="BE508" s="163">
        <f t="shared" si="300"/>
        <v>25.4</v>
      </c>
      <c r="BF508" s="163">
        <f t="shared" si="306"/>
        <v>50.8</v>
      </c>
    </row>
    <row r="509" spans="1:59" s="62" customFormat="1" ht="30">
      <c r="A509" s="23" t="s">
        <v>3012</v>
      </c>
      <c r="B509" s="24">
        <v>98304</v>
      </c>
      <c r="C509" s="23" t="s">
        <v>2506</v>
      </c>
      <c r="D509" s="25" t="s">
        <v>12</v>
      </c>
      <c r="E509" s="25" t="s">
        <v>17</v>
      </c>
      <c r="F509" s="26">
        <v>8</v>
      </c>
      <c r="G509" s="26">
        <f t="shared" si="276"/>
        <v>732.14750000000004</v>
      </c>
      <c r="H509" s="26">
        <f>ROUND(G509*(1+$J$14),2)</f>
        <v>928.44</v>
      </c>
      <c r="I509" s="26">
        <f t="shared" si="307"/>
        <v>7427.52</v>
      </c>
      <c r="J509" s="64" t="e">
        <f>IF(B509&lt;&gt;0,VLOOKUP(B509,#REF!,4,FALSE),"")</f>
        <v>#REF!</v>
      </c>
      <c r="K509" s="362" t="s">
        <v>3169</v>
      </c>
      <c r="L509" s="362">
        <f t="shared" si="278"/>
        <v>5857.18</v>
      </c>
      <c r="M509" s="64"/>
      <c r="N509" s="65" t="e">
        <f>IF(B509&lt;&gt;0,VLOOKUP(B509,#REF!,2,FALSE),"")</f>
        <v>#REF!</v>
      </c>
      <c r="AY509" s="221"/>
      <c r="AZ509" s="481"/>
      <c r="BA509" s="481"/>
      <c r="BB509" s="481"/>
      <c r="BC509" s="481"/>
      <c r="BD509" s="163">
        <f t="shared" si="303"/>
        <v>815.62</v>
      </c>
      <c r="BE509" s="163">
        <f t="shared" si="300"/>
        <v>1034.29</v>
      </c>
      <c r="BF509" s="163">
        <f t="shared" si="306"/>
        <v>8274.32</v>
      </c>
    </row>
    <row r="510" spans="1:59" s="34" customFormat="1" ht="30">
      <c r="A510" s="471" t="s">
        <v>3013</v>
      </c>
      <c r="B510" s="475" t="s">
        <v>2569</v>
      </c>
      <c r="C510" s="471" t="s">
        <v>2668</v>
      </c>
      <c r="D510" s="472" t="s">
        <v>1915</v>
      </c>
      <c r="E510" s="472" t="s">
        <v>17</v>
      </c>
      <c r="F510" s="473">
        <v>2</v>
      </c>
      <c r="G510" s="473">
        <f t="shared" si="276"/>
        <v>39969.550000000003</v>
      </c>
      <c r="H510" s="473">
        <f t="shared" ref="H510:H517" si="308">ROUND(G510*(1+$J$15),2)</f>
        <v>47435.86</v>
      </c>
      <c r="I510" s="473">
        <f t="shared" ref="I510" si="309">ROUND(H510*F510,2)</f>
        <v>94871.72</v>
      </c>
      <c r="J510" s="474">
        <f>'COMPOSIÇÃO DE CUSTOS'!G2284</f>
        <v>39969.550000000003</v>
      </c>
      <c r="K510" s="378">
        <v>47023</v>
      </c>
      <c r="L510" s="378">
        <f t="shared" si="278"/>
        <v>79939.100000000006</v>
      </c>
      <c r="M510" s="474"/>
      <c r="N510" s="47"/>
      <c r="AY510" s="577"/>
      <c r="AZ510" s="502"/>
      <c r="BA510" s="502"/>
      <c r="BB510" s="502"/>
      <c r="BC510" s="502"/>
      <c r="BD510" s="885">
        <f>BG510</f>
        <v>38678.550000000003</v>
      </c>
      <c r="BE510" s="523">
        <f t="shared" ref="BE510:BE514" si="310">ROUND(BD510*(1+$J$15),2)</f>
        <v>45903.7</v>
      </c>
      <c r="BF510" s="523">
        <f t="shared" si="306"/>
        <v>91807.4</v>
      </c>
      <c r="BG510" s="34">
        <f>'COMPOSIÇÃO AB'!G781</f>
        <v>38678.550000000003</v>
      </c>
    </row>
    <row r="511" spans="1:59" s="34" customFormat="1" ht="30">
      <c r="A511" s="471" t="s">
        <v>3014</v>
      </c>
      <c r="B511" s="475" t="s">
        <v>2570</v>
      </c>
      <c r="C511" s="471" t="s">
        <v>2576</v>
      </c>
      <c r="D511" s="472" t="s">
        <v>1915</v>
      </c>
      <c r="E511" s="472" t="s">
        <v>17</v>
      </c>
      <c r="F511" s="473">
        <v>2</v>
      </c>
      <c r="G511" s="473">
        <f t="shared" si="276"/>
        <v>28041.5</v>
      </c>
      <c r="H511" s="473">
        <f t="shared" si="308"/>
        <v>33279.65</v>
      </c>
      <c r="I511" s="473">
        <f t="shared" ref="I511:I516" si="311">ROUND(H511*F511,2)</f>
        <v>66559.3</v>
      </c>
      <c r="J511" s="474">
        <f>'COMPOSIÇÃO DE CUSTOS'!G2289</f>
        <v>28041.5</v>
      </c>
      <c r="K511" s="378">
        <v>32990</v>
      </c>
      <c r="L511" s="378">
        <f t="shared" si="278"/>
        <v>56083</v>
      </c>
      <c r="M511" s="474"/>
      <c r="N511" s="47"/>
      <c r="AY511" s="577"/>
      <c r="AZ511" s="502"/>
      <c r="BA511" s="502"/>
      <c r="BB511" s="502"/>
      <c r="BC511" s="502"/>
      <c r="BD511" s="885">
        <f>BG511</f>
        <v>42843.05</v>
      </c>
      <c r="BE511" s="523">
        <f t="shared" si="310"/>
        <v>50846.13</v>
      </c>
      <c r="BF511" s="523">
        <f t="shared" si="306"/>
        <v>101692.26</v>
      </c>
      <c r="BG511" s="34">
        <f>'COMPOSIÇÃO AB'!G786</f>
        <v>42843.05</v>
      </c>
    </row>
    <row r="512" spans="1:59" s="34" customFormat="1" ht="30">
      <c r="A512" s="471" t="s">
        <v>3015</v>
      </c>
      <c r="B512" s="475" t="s">
        <v>2571</v>
      </c>
      <c r="C512" s="471" t="s">
        <v>2577</v>
      </c>
      <c r="D512" s="472" t="s">
        <v>1915</v>
      </c>
      <c r="E512" s="472" t="s">
        <v>17</v>
      </c>
      <c r="F512" s="473">
        <v>5</v>
      </c>
      <c r="G512" s="473">
        <f t="shared" si="276"/>
        <v>21038.35</v>
      </c>
      <c r="H512" s="473">
        <f t="shared" si="308"/>
        <v>24968.31</v>
      </c>
      <c r="I512" s="473">
        <f t="shared" si="311"/>
        <v>124841.55</v>
      </c>
      <c r="J512" s="474">
        <f>'COMPOSIÇÃO DE CUSTOS'!G2294</f>
        <v>21038.35</v>
      </c>
      <c r="K512" s="378">
        <v>24751</v>
      </c>
      <c r="L512" s="378">
        <f t="shared" si="278"/>
        <v>105191.75</v>
      </c>
      <c r="M512" s="474"/>
      <c r="N512" s="47"/>
      <c r="AY512" s="577"/>
      <c r="AZ512" s="502"/>
      <c r="BA512" s="502"/>
      <c r="BB512" s="502"/>
      <c r="BC512" s="502"/>
      <c r="BD512" s="885">
        <f>BG512</f>
        <v>35500.980000000003</v>
      </c>
      <c r="BE512" s="523">
        <f t="shared" si="310"/>
        <v>42132.56</v>
      </c>
      <c r="BF512" s="523">
        <f t="shared" si="306"/>
        <v>210662.8</v>
      </c>
      <c r="BG512" s="34">
        <f>'COMPOSIÇÃO AB'!G791</f>
        <v>35500.980000000003</v>
      </c>
    </row>
    <row r="513" spans="1:59" s="34" customFormat="1" ht="30">
      <c r="A513" s="471" t="s">
        <v>3016</v>
      </c>
      <c r="B513" s="475" t="s">
        <v>2575</v>
      </c>
      <c r="C513" s="471" t="s">
        <v>3011</v>
      </c>
      <c r="D513" s="472" t="s">
        <v>1915</v>
      </c>
      <c r="E513" s="472" t="s">
        <v>17</v>
      </c>
      <c r="F513" s="473">
        <v>10</v>
      </c>
      <c r="G513" s="473">
        <f t="shared" si="276"/>
        <v>1491.75</v>
      </c>
      <c r="H513" s="473">
        <f t="shared" si="308"/>
        <v>1770.41</v>
      </c>
      <c r="I513" s="473">
        <f t="shared" si="311"/>
        <v>17704.099999999999</v>
      </c>
      <c r="J513" s="474">
        <f>'COMPOSIÇÃO DE CUSTOS'!G2299</f>
        <v>1491.75</v>
      </c>
      <c r="K513" s="378">
        <v>1755</v>
      </c>
      <c r="L513" s="378">
        <f t="shared" si="278"/>
        <v>14917.5</v>
      </c>
      <c r="M513" s="474"/>
      <c r="N513" s="47"/>
      <c r="AY513" s="577"/>
      <c r="AZ513" s="502"/>
      <c r="BA513" s="502"/>
      <c r="BB513" s="502"/>
      <c r="BC513" s="502"/>
      <c r="BD513" s="885">
        <f>BG513</f>
        <v>1993</v>
      </c>
      <c r="BE513" s="523">
        <f t="shared" si="310"/>
        <v>2365.29</v>
      </c>
      <c r="BF513" s="523">
        <f t="shared" si="306"/>
        <v>23652.9</v>
      </c>
      <c r="BG513" s="34">
        <f>'COMPOSIÇÃO AB'!G802</f>
        <v>1993</v>
      </c>
    </row>
    <row r="514" spans="1:59" s="34" customFormat="1" ht="60">
      <c r="A514" s="471" t="s">
        <v>3017</v>
      </c>
      <c r="B514" s="583">
        <v>12955</v>
      </c>
      <c r="C514" s="584" t="s">
        <v>3018</v>
      </c>
      <c r="D514" s="472" t="s">
        <v>44</v>
      </c>
      <c r="E514" s="472" t="s">
        <v>17</v>
      </c>
      <c r="F514" s="473">
        <v>2</v>
      </c>
      <c r="G514" s="473">
        <f t="shared" si="276"/>
        <v>5100</v>
      </c>
      <c r="H514" s="473">
        <f t="shared" si="308"/>
        <v>6052.68</v>
      </c>
      <c r="I514" s="473">
        <f t="shared" si="311"/>
        <v>12105.36</v>
      </c>
      <c r="J514" s="474">
        <f>'COMPOSIÇÃO DE CUSTOS'!G1805</f>
        <v>5100</v>
      </c>
      <c r="K514" s="378">
        <v>6000</v>
      </c>
      <c r="L514" s="378">
        <f t="shared" si="278"/>
        <v>10200</v>
      </c>
      <c r="M514" s="474"/>
      <c r="N514" s="47"/>
      <c r="AY514" s="577"/>
      <c r="AZ514" s="502"/>
      <c r="BA514" s="502"/>
      <c r="BB514" s="502"/>
      <c r="BC514" s="502"/>
      <c r="BD514" s="885">
        <f>BG514</f>
        <v>4434.3900000000003</v>
      </c>
      <c r="BE514" s="523">
        <f t="shared" si="310"/>
        <v>5262.73</v>
      </c>
      <c r="BF514" s="523">
        <f t="shared" si="306"/>
        <v>10525.46</v>
      </c>
      <c r="BG514" s="47">
        <f>'COMPOSIÇÃO AB'!G724</f>
        <v>4434.3900000000003</v>
      </c>
    </row>
    <row r="515" spans="1:59" s="62" customFormat="1">
      <c r="A515" s="23" t="s">
        <v>2553</v>
      </c>
      <c r="B515" s="24">
        <v>39606</v>
      </c>
      <c r="C515" s="23" t="s">
        <v>1875</v>
      </c>
      <c r="D515" s="25" t="s">
        <v>12</v>
      </c>
      <c r="E515" s="25" t="s">
        <v>17</v>
      </c>
      <c r="F515" s="26">
        <v>365</v>
      </c>
      <c r="G515" s="26">
        <f t="shared" si="276"/>
        <v>15.572000000000001</v>
      </c>
      <c r="H515" s="26">
        <f t="shared" si="308"/>
        <v>18.48</v>
      </c>
      <c r="I515" s="26">
        <f t="shared" si="311"/>
        <v>6745.2</v>
      </c>
      <c r="J515" s="64" t="e">
        <f>IF(B515&lt;&gt;0,VLOOKUP(B515,#REF!,4,FALSE),"")</f>
        <v>#REF!</v>
      </c>
      <c r="K515" s="362" t="s">
        <v>3041</v>
      </c>
      <c r="L515" s="362">
        <f t="shared" si="278"/>
        <v>5683.7800000000007</v>
      </c>
      <c r="M515" s="64"/>
      <c r="N515" s="65" t="e">
        <f>IF(B515&lt;&gt;0,VLOOKUP(B515,#REF!,2,FALSE),"")</f>
        <v>#REF!</v>
      </c>
      <c r="AY515" s="221"/>
      <c r="AZ515" s="481"/>
      <c r="BA515" s="481"/>
      <c r="BB515" s="481"/>
      <c r="BC515" s="481"/>
      <c r="BD515" s="163">
        <f t="shared" ref="BD515:BD516" si="312">ROUND(G515*$BH$19,2)</f>
        <v>17.350000000000001</v>
      </c>
      <c r="BE515" s="163">
        <f t="shared" ref="BE515:BE517" si="313">ROUND(BD515*(1+$J$15),2)</f>
        <v>20.59</v>
      </c>
      <c r="BF515" s="163">
        <f t="shared" si="306"/>
        <v>7515.35</v>
      </c>
    </row>
    <row r="516" spans="1:59" s="62" customFormat="1">
      <c r="A516" s="23" t="s">
        <v>2554</v>
      </c>
      <c r="B516" s="24">
        <v>39607</v>
      </c>
      <c r="C516" s="23" t="s">
        <v>1877</v>
      </c>
      <c r="D516" s="25" t="s">
        <v>12</v>
      </c>
      <c r="E516" s="25" t="s">
        <v>17</v>
      </c>
      <c r="F516" s="26">
        <f>365-24-5</f>
        <v>336</v>
      </c>
      <c r="G516" s="26">
        <f t="shared" si="276"/>
        <v>17.858500000000003</v>
      </c>
      <c r="H516" s="26">
        <f t="shared" si="308"/>
        <v>21.19</v>
      </c>
      <c r="I516" s="26">
        <f t="shared" si="311"/>
        <v>7119.84</v>
      </c>
      <c r="J516" s="64" t="e">
        <f>IF(B516&lt;&gt;0,VLOOKUP(B516,#REF!,4,FALSE),"")</f>
        <v>#REF!</v>
      </c>
      <c r="K516" s="362" t="s">
        <v>3043</v>
      </c>
      <c r="L516" s="362">
        <f t="shared" si="278"/>
        <v>6000.456000000001</v>
      </c>
      <c r="M516" s="64"/>
      <c r="N516" s="65" t="e">
        <f>IF(B516&lt;&gt;0,VLOOKUP(B516,#REF!,2,FALSE),"")</f>
        <v>#REF!</v>
      </c>
      <c r="AY516" s="221"/>
      <c r="AZ516" s="481"/>
      <c r="BA516" s="481"/>
      <c r="BB516" s="481"/>
      <c r="BC516" s="481"/>
      <c r="BD516" s="163">
        <f t="shared" si="312"/>
        <v>19.89</v>
      </c>
      <c r="BE516" s="163">
        <f t="shared" si="313"/>
        <v>23.61</v>
      </c>
      <c r="BF516" s="163">
        <f t="shared" si="306"/>
        <v>7932.96</v>
      </c>
    </row>
    <row r="517" spans="1:59" s="34" customFormat="1" ht="45">
      <c r="A517" s="803" t="s">
        <v>3558</v>
      </c>
      <c r="B517" s="475">
        <v>39611</v>
      </c>
      <c r="C517" s="471" t="s">
        <v>3749</v>
      </c>
      <c r="D517" s="472" t="s">
        <v>12</v>
      </c>
      <c r="E517" s="472" t="s">
        <v>17</v>
      </c>
      <c r="F517" s="473">
        <v>2</v>
      </c>
      <c r="G517" s="473">
        <f t="shared" si="276"/>
        <v>91406.551999999996</v>
      </c>
      <c r="H517" s="473">
        <f t="shared" si="308"/>
        <v>108481.3</v>
      </c>
      <c r="I517" s="473">
        <f t="shared" ref="I517" si="314">ROUND(H517*F517,2)</f>
        <v>216962.6</v>
      </c>
      <c r="J517" s="474" t="e">
        <f>IF(B517&lt;&gt;0,VLOOKUP(B517,#REF!,4,FALSE),"")</f>
        <v>#REF!</v>
      </c>
      <c r="K517" s="378" t="s">
        <v>3319</v>
      </c>
      <c r="L517" s="378">
        <f t="shared" si="278"/>
        <v>182813.10399999999</v>
      </c>
      <c r="M517" s="882">
        <f>SUM(G510:G517)</f>
        <v>187081.13250000001</v>
      </c>
      <c r="N517" s="47" t="e">
        <f>IF(B517&lt;&gt;0,VLOOKUP(B517,#REF!,2,FALSE),"")</f>
        <v>#REF!</v>
      </c>
      <c r="AY517" s="577"/>
      <c r="AZ517" s="502"/>
      <c r="BA517" s="502"/>
      <c r="BB517" s="502"/>
      <c r="BC517" s="502"/>
      <c r="BD517" s="885">
        <f>BG517</f>
        <v>70060</v>
      </c>
      <c r="BE517" s="523">
        <f t="shared" si="313"/>
        <v>83147.210000000006</v>
      </c>
      <c r="BF517" s="523">
        <f t="shared" si="306"/>
        <v>166294.42000000001</v>
      </c>
      <c r="BG517" s="34">
        <f>'COMPOSIÇÃO AB'!G797</f>
        <v>70060</v>
      </c>
    </row>
    <row r="518" spans="1:59" s="62" customFormat="1" ht="30">
      <c r="A518" s="23" t="s">
        <v>2555</v>
      </c>
      <c r="B518" s="24">
        <v>10727</v>
      </c>
      <c r="C518" s="23" t="s">
        <v>2502</v>
      </c>
      <c r="D518" s="25" t="s">
        <v>44</v>
      </c>
      <c r="E518" s="25" t="s">
        <v>17</v>
      </c>
      <c r="F518" s="26">
        <v>4</v>
      </c>
      <c r="G518" s="26">
        <f t="shared" si="276"/>
        <v>354.99399999999997</v>
      </c>
      <c r="H518" s="26">
        <f t="shared" ref="H518:H524" si="315">ROUND(G518*(1+$J$14),2)</f>
        <v>450.17</v>
      </c>
      <c r="I518" s="26">
        <f t="shared" ref="I518" si="316">ROUND(H518*F518,2)</f>
        <v>1800.68</v>
      </c>
      <c r="J518" s="64">
        <f>'COMPOSIÇÃO DE CUSTOS'!G2010</f>
        <v>355</v>
      </c>
      <c r="K518" s="362">
        <v>417.64</v>
      </c>
      <c r="L518" s="362">
        <f t="shared" si="278"/>
        <v>1419.9759999999999</v>
      </c>
      <c r="M518" s="64"/>
      <c r="N518" s="65"/>
      <c r="AY518" s="221"/>
      <c r="AZ518" s="481"/>
      <c r="BA518" s="481"/>
      <c r="BB518" s="481"/>
      <c r="BC518" s="481"/>
      <c r="BD518" s="163">
        <f t="shared" ref="BD518" si="317">ROUND(G518*$BH$19,2)</f>
        <v>395.47</v>
      </c>
      <c r="BE518" s="163">
        <f t="shared" ref="BE518:BE562" si="318">ROUND(BD518*(1+$J$14),2)</f>
        <v>501.5</v>
      </c>
      <c r="BF518" s="163">
        <f t="shared" si="306"/>
        <v>2006</v>
      </c>
    </row>
    <row r="519" spans="1:59" s="62" customFormat="1" ht="39.75" customHeight="1">
      <c r="A519" s="23" t="s">
        <v>2556</v>
      </c>
      <c r="B519" s="24">
        <v>8362</v>
      </c>
      <c r="C519" s="23" t="s">
        <v>222</v>
      </c>
      <c r="D519" s="25" t="s">
        <v>44</v>
      </c>
      <c r="E519" s="25" t="s">
        <v>17</v>
      </c>
      <c r="F519" s="26">
        <v>21</v>
      </c>
      <c r="G519" s="26">
        <f t="shared" si="276"/>
        <v>16.3965</v>
      </c>
      <c r="H519" s="26">
        <f t="shared" si="315"/>
        <v>20.79</v>
      </c>
      <c r="I519" s="26">
        <f t="shared" ref="I519:I521" si="319">ROUND(H519*F519,2)</f>
        <v>436.59</v>
      </c>
      <c r="J519" s="64">
        <f>'COMPOSIÇÃO DE CUSTOS'!G1997</f>
        <v>16.399999999999999</v>
      </c>
      <c r="K519" s="362">
        <v>19.29</v>
      </c>
      <c r="L519" s="362">
        <f t="shared" si="278"/>
        <v>344.32650000000001</v>
      </c>
      <c r="M519" s="64"/>
      <c r="N519" s="65"/>
      <c r="AY519" s="221"/>
      <c r="AZ519" s="481"/>
      <c r="BA519" s="481"/>
      <c r="BB519" s="481"/>
      <c r="BC519" s="481"/>
      <c r="BD519" s="163">
        <f t="shared" ref="BD519:BD562" si="320">ROUND(G519*$BH$19,2)</f>
        <v>18.27</v>
      </c>
      <c r="BE519" s="163">
        <f t="shared" si="318"/>
        <v>23.17</v>
      </c>
      <c r="BF519" s="163">
        <f t="shared" si="306"/>
        <v>486.57</v>
      </c>
    </row>
    <row r="520" spans="1:59" s="62" customFormat="1" ht="30" customHeight="1">
      <c r="A520" s="23" t="s">
        <v>2557</v>
      </c>
      <c r="B520" s="278">
        <v>11417</v>
      </c>
      <c r="C520" s="149" t="s">
        <v>3088</v>
      </c>
      <c r="D520" s="25" t="s">
        <v>44</v>
      </c>
      <c r="E520" s="25" t="s">
        <v>17</v>
      </c>
      <c r="F520" s="26">
        <v>2</v>
      </c>
      <c r="G520" s="26">
        <f t="shared" si="276"/>
        <v>133.21199999999999</v>
      </c>
      <c r="H520" s="26">
        <f t="shared" si="315"/>
        <v>168.93</v>
      </c>
      <c r="I520" s="26">
        <f t="shared" ref="I520" si="321">ROUND(H520*F520,2)</f>
        <v>337.86</v>
      </c>
      <c r="J520" s="64">
        <f>'COMPOSIÇÃO DE CUSTOS'!G2561</f>
        <v>133.21</v>
      </c>
      <c r="K520" s="362">
        <v>156.72</v>
      </c>
      <c r="L520" s="362">
        <f t="shared" si="278"/>
        <v>266.42399999999998</v>
      </c>
      <c r="M520" s="64"/>
      <c r="N520" s="65"/>
      <c r="AY520" s="221"/>
      <c r="AZ520" s="481"/>
      <c r="BA520" s="481"/>
      <c r="BB520" s="481"/>
      <c r="BC520" s="481"/>
      <c r="BD520" s="163">
        <f t="shared" si="320"/>
        <v>148.4</v>
      </c>
      <c r="BE520" s="163">
        <f t="shared" si="318"/>
        <v>188.19</v>
      </c>
      <c r="BF520" s="163">
        <f t="shared" si="306"/>
        <v>376.38</v>
      </c>
    </row>
    <row r="521" spans="1:59" s="62" customFormat="1" ht="30">
      <c r="A521" s="23" t="s">
        <v>2558</v>
      </c>
      <c r="B521" s="141" t="s">
        <v>2539</v>
      </c>
      <c r="C521" s="23" t="s">
        <v>2540</v>
      </c>
      <c r="D521" s="25" t="s">
        <v>1915</v>
      </c>
      <c r="E521" s="25" t="s">
        <v>17</v>
      </c>
      <c r="F521" s="26">
        <v>2</v>
      </c>
      <c r="G521" s="26">
        <f t="shared" si="276"/>
        <v>1953.9204999999999</v>
      </c>
      <c r="H521" s="26">
        <f t="shared" si="315"/>
        <v>2477.77</v>
      </c>
      <c r="I521" s="26">
        <f t="shared" si="319"/>
        <v>4955.54</v>
      </c>
      <c r="J521" s="64">
        <f>'COMPOSIÇÃO DE CUSTOS'!G2265</f>
        <v>1953.92</v>
      </c>
      <c r="K521" s="362">
        <v>2298.73</v>
      </c>
      <c r="L521" s="362">
        <f t="shared" si="278"/>
        <v>3907.8409999999999</v>
      </c>
      <c r="M521" s="64"/>
      <c r="N521" s="65"/>
      <c r="AY521" s="221"/>
      <c r="AZ521" s="481"/>
      <c r="BA521" s="481"/>
      <c r="BB521" s="481"/>
      <c r="BC521" s="481"/>
      <c r="BD521" s="163">
        <f t="shared" si="320"/>
        <v>2176.6799999999998</v>
      </c>
      <c r="BE521" s="163">
        <f t="shared" si="318"/>
        <v>2760.25</v>
      </c>
      <c r="BF521" s="163">
        <f t="shared" si="306"/>
        <v>5520.5</v>
      </c>
    </row>
    <row r="522" spans="1:59" s="62" customFormat="1" ht="30">
      <c r="A522" s="23" t="s">
        <v>2759</v>
      </c>
      <c r="B522" s="24">
        <v>8681</v>
      </c>
      <c r="C522" s="23" t="s">
        <v>2206</v>
      </c>
      <c r="D522" s="25" t="s">
        <v>44</v>
      </c>
      <c r="E522" s="25" t="s">
        <v>17</v>
      </c>
      <c r="F522" s="26">
        <v>1</v>
      </c>
      <c r="G522" s="26">
        <f t="shared" si="276"/>
        <v>387.66800000000001</v>
      </c>
      <c r="H522" s="26">
        <f t="shared" si="315"/>
        <v>491.6</v>
      </c>
      <c r="I522" s="26">
        <f t="shared" ref="I522" si="322">ROUND(H522*F522,2)</f>
        <v>491.6</v>
      </c>
      <c r="J522" s="64">
        <f>'COMPOSIÇÃO DE CUSTOS'!G1940</f>
        <v>387.68</v>
      </c>
      <c r="K522" s="362">
        <v>456.08</v>
      </c>
      <c r="L522" s="362">
        <f t="shared" si="278"/>
        <v>387.66800000000001</v>
      </c>
      <c r="M522" s="64"/>
      <c r="N522" s="65"/>
      <c r="AY522" s="221"/>
      <c r="AZ522" s="481"/>
      <c r="BA522" s="481"/>
      <c r="BB522" s="481"/>
      <c r="BC522" s="481"/>
      <c r="BD522" s="163">
        <f t="shared" si="320"/>
        <v>431.87</v>
      </c>
      <c r="BE522" s="163">
        <f t="shared" si="318"/>
        <v>547.65</v>
      </c>
      <c r="BF522" s="163">
        <f t="shared" si="306"/>
        <v>547.65</v>
      </c>
    </row>
    <row r="523" spans="1:59" s="62" customFormat="1" ht="60">
      <c r="A523" s="23" t="s">
        <v>2760</v>
      </c>
      <c r="B523" s="24" t="s">
        <v>2390</v>
      </c>
      <c r="C523" s="23" t="s">
        <v>2400</v>
      </c>
      <c r="D523" s="25" t="s">
        <v>1915</v>
      </c>
      <c r="E523" s="25" t="s">
        <v>17</v>
      </c>
      <c r="F523" s="26">
        <v>2</v>
      </c>
      <c r="G523" s="26">
        <f t="shared" si="276"/>
        <v>3109.47</v>
      </c>
      <c r="H523" s="26">
        <f t="shared" si="315"/>
        <v>3943.12</v>
      </c>
      <c r="I523" s="26">
        <f t="shared" ref="I523" si="323">ROUND(H523*F523,2)</f>
        <v>7886.24</v>
      </c>
      <c r="J523" s="64">
        <f>'COMPOSIÇÃO DE CUSTOS'!G1823</f>
        <v>3109.47</v>
      </c>
      <c r="K523" s="362">
        <v>3658.2</v>
      </c>
      <c r="L523" s="362">
        <f t="shared" si="278"/>
        <v>6218.94</v>
      </c>
      <c r="M523" s="64"/>
      <c r="N523" s="65"/>
      <c r="AY523" s="221"/>
      <c r="AZ523" s="481"/>
      <c r="BA523" s="481"/>
      <c r="BB523" s="481"/>
      <c r="BC523" s="481"/>
      <c r="BD523" s="163">
        <f t="shared" si="320"/>
        <v>3463.98</v>
      </c>
      <c r="BE523" s="163">
        <f t="shared" si="318"/>
        <v>4392.67</v>
      </c>
      <c r="BF523" s="163">
        <f t="shared" si="306"/>
        <v>8785.34</v>
      </c>
    </row>
    <row r="524" spans="1:59" s="62" customFormat="1" ht="36" customHeight="1">
      <c r="A524" s="23" t="s">
        <v>3020</v>
      </c>
      <c r="B524" s="24" t="s">
        <v>2392</v>
      </c>
      <c r="C524" s="23" t="s">
        <v>2391</v>
      </c>
      <c r="D524" s="25" t="s">
        <v>1915</v>
      </c>
      <c r="E524" s="25" t="s">
        <v>17</v>
      </c>
      <c r="F524" s="26">
        <v>20</v>
      </c>
      <c r="G524" s="26">
        <f t="shared" si="276"/>
        <v>136.28900000000002</v>
      </c>
      <c r="H524" s="26">
        <f t="shared" si="315"/>
        <v>172.83</v>
      </c>
      <c r="I524" s="26">
        <f t="shared" ref="I524" si="324">ROUND(H524*F524,2)</f>
        <v>3456.6</v>
      </c>
      <c r="J524" s="64">
        <f>'COMPOSIÇÃO DE CUSTOS'!G1830</f>
        <v>136.29</v>
      </c>
      <c r="K524" s="362">
        <v>160.34</v>
      </c>
      <c r="L524" s="362">
        <f t="shared" si="278"/>
        <v>2725.78</v>
      </c>
      <c r="M524" s="64"/>
      <c r="N524" s="65"/>
      <c r="AY524" s="221"/>
      <c r="AZ524" s="481"/>
      <c r="BA524" s="481"/>
      <c r="BB524" s="481"/>
      <c r="BC524" s="481"/>
      <c r="BD524" s="163">
        <f t="shared" si="320"/>
        <v>151.83000000000001</v>
      </c>
      <c r="BE524" s="163">
        <f t="shared" si="318"/>
        <v>192.54</v>
      </c>
      <c r="BF524" s="163">
        <f t="shared" si="306"/>
        <v>3850.8</v>
      </c>
    </row>
    <row r="525" spans="1:59" s="62" customFormat="1" ht="15" customHeight="1">
      <c r="A525" s="356" t="s">
        <v>1023</v>
      </c>
      <c r="B525" s="356"/>
      <c r="C525" s="356" t="s">
        <v>224</v>
      </c>
      <c r="D525" s="357"/>
      <c r="E525" s="357"/>
      <c r="F525" s="357"/>
      <c r="G525" s="26"/>
      <c r="H525" s="357"/>
      <c r="I525" s="96"/>
      <c r="J525" s="65"/>
      <c r="K525" s="362"/>
      <c r="L525" s="362">
        <f t="shared" si="278"/>
        <v>0</v>
      </c>
      <c r="M525" s="65"/>
      <c r="N525" s="65"/>
      <c r="AY525" s="221"/>
      <c r="AZ525" s="481"/>
      <c r="BA525" s="481"/>
      <c r="BB525" s="481"/>
      <c r="BC525" s="481"/>
      <c r="BD525" s="163"/>
      <c r="BE525" s="163"/>
      <c r="BF525" s="163"/>
    </row>
    <row r="526" spans="1:59" s="62" customFormat="1" ht="45">
      <c r="A526" s="23" t="s">
        <v>1024</v>
      </c>
      <c r="B526" s="24">
        <v>91863</v>
      </c>
      <c r="C526" s="23" t="s">
        <v>1692</v>
      </c>
      <c r="D526" s="25" t="s">
        <v>12</v>
      </c>
      <c r="E526" s="25" t="s">
        <v>52</v>
      </c>
      <c r="F526" s="26">
        <v>223</v>
      </c>
      <c r="G526" s="26">
        <f t="shared" si="276"/>
        <v>6.8849999999999998</v>
      </c>
      <c r="H526" s="26">
        <f t="shared" ref="H526:H562" si="325">ROUND(G526*(1+$J$14),2)</f>
        <v>8.73</v>
      </c>
      <c r="I526" s="26">
        <f t="shared" ref="I526:I531" si="326">ROUND(H526*F526,2)</f>
        <v>1946.79</v>
      </c>
      <c r="J526" s="64" t="e">
        <f>IF(B526&lt;&gt;0,VLOOKUP(B526,#REF!,4,FALSE),"")</f>
        <v>#REF!</v>
      </c>
      <c r="K526" s="362" t="s">
        <v>1886</v>
      </c>
      <c r="L526" s="362">
        <f t="shared" si="278"/>
        <v>1535.355</v>
      </c>
      <c r="M526" s="64"/>
      <c r="N526" s="65" t="e">
        <f>IF(B526&lt;&gt;0,VLOOKUP(B526,#REF!,2,FALSE),"")</f>
        <v>#REF!</v>
      </c>
      <c r="AY526" s="221"/>
      <c r="AZ526" s="481"/>
      <c r="BA526" s="481"/>
      <c r="BB526" s="481"/>
      <c r="BC526" s="481"/>
      <c r="BD526" s="163">
        <f t="shared" si="320"/>
        <v>7.67</v>
      </c>
      <c r="BE526" s="163">
        <f t="shared" si="318"/>
        <v>9.73</v>
      </c>
      <c r="BF526" s="163">
        <f t="shared" ref="BF526:BF562" si="327">ROUND(BE526*F526,2)</f>
        <v>2169.79</v>
      </c>
    </row>
    <row r="527" spans="1:59" s="62" customFormat="1" ht="60">
      <c r="A527" s="23" t="s">
        <v>1025</v>
      </c>
      <c r="B527" s="24">
        <v>91890</v>
      </c>
      <c r="C527" s="23" t="s">
        <v>1693</v>
      </c>
      <c r="D527" s="25" t="s">
        <v>12</v>
      </c>
      <c r="E527" s="25" t="s">
        <v>17</v>
      </c>
      <c r="F527" s="26">
        <v>13</v>
      </c>
      <c r="G527" s="26">
        <f t="shared" si="276"/>
        <v>6.375</v>
      </c>
      <c r="H527" s="26">
        <f t="shared" si="325"/>
        <v>8.08</v>
      </c>
      <c r="I527" s="26">
        <f t="shared" si="326"/>
        <v>105.04</v>
      </c>
      <c r="J527" s="64" t="e">
        <f>IF(B527&lt;&gt;0,VLOOKUP(B527,#REF!,4,FALSE),"")</f>
        <v>#REF!</v>
      </c>
      <c r="K527" s="362" t="s">
        <v>3225</v>
      </c>
      <c r="L527" s="362">
        <f t="shared" si="278"/>
        <v>82.875</v>
      </c>
      <c r="M527" s="64"/>
      <c r="N527" s="65" t="e">
        <f>IF(B527&lt;&gt;0,VLOOKUP(B527,#REF!,2,FALSE),"")</f>
        <v>#REF!</v>
      </c>
      <c r="AY527" s="221"/>
      <c r="AZ527" s="481"/>
      <c r="BA527" s="481"/>
      <c r="BB527" s="481"/>
      <c r="BC527" s="481"/>
      <c r="BD527" s="163">
        <f t="shared" si="320"/>
        <v>7.1</v>
      </c>
      <c r="BE527" s="163">
        <f t="shared" si="318"/>
        <v>9</v>
      </c>
      <c r="BF527" s="163">
        <f t="shared" si="327"/>
        <v>117</v>
      </c>
    </row>
    <row r="528" spans="1:59" s="62" customFormat="1" ht="45">
      <c r="A528" s="23" t="s">
        <v>1026</v>
      </c>
      <c r="B528" s="24">
        <v>91875</v>
      </c>
      <c r="C528" s="23" t="s">
        <v>1694</v>
      </c>
      <c r="D528" s="25" t="s">
        <v>12</v>
      </c>
      <c r="E528" s="25" t="s">
        <v>17</v>
      </c>
      <c r="F528" s="26">
        <v>101</v>
      </c>
      <c r="G528" s="26">
        <f t="shared" si="276"/>
        <v>3.7654999999999998</v>
      </c>
      <c r="H528" s="26">
        <f t="shared" si="325"/>
        <v>4.78</v>
      </c>
      <c r="I528" s="26">
        <f t="shared" si="326"/>
        <v>482.78</v>
      </c>
      <c r="J528" s="64" t="e">
        <f>IF(B528&lt;&gt;0,VLOOKUP(B528,#REF!,4,FALSE),"")</f>
        <v>#REF!</v>
      </c>
      <c r="K528" s="362" t="s">
        <v>1865</v>
      </c>
      <c r="L528" s="362">
        <f t="shared" si="278"/>
        <v>380.31549999999999</v>
      </c>
      <c r="M528" s="64"/>
      <c r="N528" s="65" t="e">
        <f>IF(B528&lt;&gt;0,VLOOKUP(B528,#REF!,2,FALSE),"")</f>
        <v>#REF!</v>
      </c>
      <c r="AY528" s="221"/>
      <c r="AZ528" s="481"/>
      <c r="BA528" s="481"/>
      <c r="BB528" s="481"/>
      <c r="BC528" s="481"/>
      <c r="BD528" s="163">
        <f t="shared" si="320"/>
        <v>4.1900000000000004</v>
      </c>
      <c r="BE528" s="163">
        <f t="shared" si="318"/>
        <v>5.31</v>
      </c>
      <c r="BF528" s="163">
        <f t="shared" si="327"/>
        <v>536.30999999999995</v>
      </c>
    </row>
    <row r="529" spans="1:58" s="62" customFormat="1" ht="45">
      <c r="A529" s="23" t="s">
        <v>1027</v>
      </c>
      <c r="B529" s="24">
        <v>91871</v>
      </c>
      <c r="C529" s="23" t="s">
        <v>1695</v>
      </c>
      <c r="D529" s="25" t="s">
        <v>12</v>
      </c>
      <c r="E529" s="25" t="s">
        <v>52</v>
      </c>
      <c r="F529" s="26">
        <v>145</v>
      </c>
      <c r="G529" s="26">
        <f t="shared" si="276"/>
        <v>7.3949999999999996</v>
      </c>
      <c r="H529" s="26">
        <f t="shared" si="325"/>
        <v>9.3800000000000008</v>
      </c>
      <c r="I529" s="26">
        <f t="shared" si="326"/>
        <v>1360.1</v>
      </c>
      <c r="J529" s="64" t="e">
        <f>IF(B529&lt;&gt;0,VLOOKUP(B529,#REF!,4,FALSE),"")</f>
        <v>#REF!</v>
      </c>
      <c r="K529" s="362" t="s">
        <v>2648</v>
      </c>
      <c r="L529" s="362">
        <f t="shared" si="278"/>
        <v>1072.2749999999999</v>
      </c>
      <c r="M529" s="64"/>
      <c r="N529" s="65" t="e">
        <f>IF(B529&lt;&gt;0,VLOOKUP(B529,#REF!,2,FALSE),"")</f>
        <v>#REF!</v>
      </c>
      <c r="AY529" s="221"/>
      <c r="AZ529" s="481"/>
      <c r="BA529" s="481"/>
      <c r="BB529" s="481"/>
      <c r="BC529" s="481"/>
      <c r="BD529" s="163">
        <f t="shared" si="320"/>
        <v>8.24</v>
      </c>
      <c r="BE529" s="163">
        <f t="shared" si="318"/>
        <v>10.45</v>
      </c>
      <c r="BF529" s="163">
        <f t="shared" si="327"/>
        <v>1515.25</v>
      </c>
    </row>
    <row r="530" spans="1:58" s="62" customFormat="1" ht="60">
      <c r="A530" s="23" t="s">
        <v>1028</v>
      </c>
      <c r="B530" s="24">
        <v>91914</v>
      </c>
      <c r="C530" s="23" t="s">
        <v>1696</v>
      </c>
      <c r="D530" s="25" t="s">
        <v>12</v>
      </c>
      <c r="E530" s="25" t="s">
        <v>17</v>
      </c>
      <c r="F530" s="26">
        <v>56</v>
      </c>
      <c r="G530" s="26">
        <f t="shared" si="276"/>
        <v>8.5084999999999997</v>
      </c>
      <c r="H530" s="26">
        <f t="shared" si="325"/>
        <v>10.79</v>
      </c>
      <c r="I530" s="26">
        <f t="shared" si="326"/>
        <v>604.24</v>
      </c>
      <c r="J530" s="64" t="e">
        <f>IF(B530&lt;&gt;0,VLOOKUP(B530,#REF!,4,FALSE),"")</f>
        <v>#REF!</v>
      </c>
      <c r="K530" s="362" t="s">
        <v>1908</v>
      </c>
      <c r="L530" s="362">
        <f t="shared" si="278"/>
        <v>476.476</v>
      </c>
      <c r="M530" s="64"/>
      <c r="N530" s="65" t="e">
        <f>IF(B530&lt;&gt;0,VLOOKUP(B530,#REF!,2,FALSE),"")</f>
        <v>#REF!</v>
      </c>
      <c r="AY530" s="221"/>
      <c r="AZ530" s="481"/>
      <c r="BA530" s="481"/>
      <c r="BB530" s="481"/>
      <c r="BC530" s="481"/>
      <c r="BD530" s="163">
        <f t="shared" si="320"/>
        <v>9.48</v>
      </c>
      <c r="BE530" s="163">
        <f t="shared" si="318"/>
        <v>12.02</v>
      </c>
      <c r="BF530" s="163">
        <f t="shared" si="327"/>
        <v>673.12</v>
      </c>
    </row>
    <row r="531" spans="1:58" s="62" customFormat="1" ht="45">
      <c r="A531" s="23" t="s">
        <v>2587</v>
      </c>
      <c r="B531" s="24">
        <v>91884</v>
      </c>
      <c r="C531" s="23" t="s">
        <v>1697</v>
      </c>
      <c r="D531" s="25" t="s">
        <v>12</v>
      </c>
      <c r="E531" s="25" t="s">
        <v>17</v>
      </c>
      <c r="F531" s="26">
        <v>161</v>
      </c>
      <c r="G531" s="26">
        <f t="shared" si="276"/>
        <v>5.1849999999999996</v>
      </c>
      <c r="H531" s="26">
        <f t="shared" si="325"/>
        <v>6.58</v>
      </c>
      <c r="I531" s="26">
        <f t="shared" si="326"/>
        <v>1059.3800000000001</v>
      </c>
      <c r="J531" s="64" t="e">
        <f>IF(B531&lt;&gt;0,VLOOKUP(B531,#REF!,4,FALSE),"")</f>
        <v>#REF!</v>
      </c>
      <c r="K531" s="362" t="s">
        <v>3141</v>
      </c>
      <c r="L531" s="362">
        <f t="shared" si="278"/>
        <v>834.78499999999997</v>
      </c>
      <c r="M531" s="64"/>
      <c r="N531" s="65" t="e">
        <f>IF(B531&lt;&gt;0,VLOOKUP(B531,#REF!,2,FALSE),"")</f>
        <v>#REF!</v>
      </c>
      <c r="AY531" s="221"/>
      <c r="AZ531" s="481"/>
      <c r="BA531" s="481"/>
      <c r="BB531" s="481"/>
      <c r="BC531" s="481"/>
      <c r="BD531" s="163">
        <f t="shared" si="320"/>
        <v>5.78</v>
      </c>
      <c r="BE531" s="163">
        <f t="shared" si="318"/>
        <v>7.33</v>
      </c>
      <c r="BF531" s="163">
        <f t="shared" si="327"/>
        <v>1180.1300000000001</v>
      </c>
    </row>
    <row r="532" spans="1:58" s="62" customFormat="1" ht="30">
      <c r="A532" s="23" t="s">
        <v>2588</v>
      </c>
      <c r="B532" s="24">
        <v>723</v>
      </c>
      <c r="C532" s="23" t="s">
        <v>1765</v>
      </c>
      <c r="D532" s="25" t="s">
        <v>44</v>
      </c>
      <c r="E532" s="25" t="s">
        <v>17</v>
      </c>
      <c r="F532" s="26">
        <v>51</v>
      </c>
      <c r="G532" s="26">
        <f t="shared" si="276"/>
        <v>3.4085000000000001</v>
      </c>
      <c r="H532" s="26">
        <f t="shared" si="325"/>
        <v>4.32</v>
      </c>
      <c r="I532" s="26">
        <f t="shared" ref="I532" si="328">ROUND(H532*F532,2)</f>
        <v>220.32</v>
      </c>
      <c r="J532" s="64">
        <f>'COMPOSIÇÃO DE CUSTOS'!G1307</f>
        <v>3.41</v>
      </c>
      <c r="K532" s="362">
        <v>4.01</v>
      </c>
      <c r="L532" s="362">
        <f t="shared" si="278"/>
        <v>173.83350000000002</v>
      </c>
      <c r="M532" s="64"/>
      <c r="N532" s="65"/>
      <c r="AY532" s="221"/>
      <c r="AZ532" s="481"/>
      <c r="BA532" s="481"/>
      <c r="BB532" s="481"/>
      <c r="BC532" s="481"/>
      <c r="BD532" s="163">
        <f t="shared" si="320"/>
        <v>3.8</v>
      </c>
      <c r="BE532" s="163">
        <f t="shared" si="318"/>
        <v>4.82</v>
      </c>
      <c r="BF532" s="163">
        <f t="shared" si="327"/>
        <v>245.82</v>
      </c>
    </row>
    <row r="533" spans="1:58" s="62" customFormat="1" ht="45">
      <c r="A533" s="23" t="s">
        <v>2589</v>
      </c>
      <c r="B533" s="24">
        <v>91864</v>
      </c>
      <c r="C533" s="23" t="s">
        <v>1663</v>
      </c>
      <c r="D533" s="25" t="s">
        <v>12</v>
      </c>
      <c r="E533" s="25" t="s">
        <v>52</v>
      </c>
      <c r="F533" s="26">
        <v>39</v>
      </c>
      <c r="G533" s="26">
        <f t="shared" si="276"/>
        <v>9.1204999999999998</v>
      </c>
      <c r="H533" s="26">
        <f t="shared" si="325"/>
        <v>11.57</v>
      </c>
      <c r="I533" s="26">
        <f t="shared" ref="I533:I538" si="329">ROUND(H533*F533,2)</f>
        <v>451.23</v>
      </c>
      <c r="J533" s="64" t="e">
        <f>IF(B533&lt;&gt;0,VLOOKUP(B533,#REF!,4,FALSE),"")</f>
        <v>#REF!</v>
      </c>
      <c r="K533" s="362" t="s">
        <v>1837</v>
      </c>
      <c r="L533" s="362">
        <f t="shared" si="278"/>
        <v>355.6995</v>
      </c>
      <c r="M533" s="64"/>
      <c r="N533" s="65" t="e">
        <f>IF(B533&lt;&gt;0,VLOOKUP(B533,#REF!,2,FALSE),"")</f>
        <v>#REF!</v>
      </c>
      <c r="AY533" s="221"/>
      <c r="AZ533" s="481"/>
      <c r="BA533" s="481"/>
      <c r="BB533" s="481"/>
      <c r="BC533" s="481"/>
      <c r="BD533" s="163">
        <f t="shared" si="320"/>
        <v>10.16</v>
      </c>
      <c r="BE533" s="163">
        <f t="shared" si="318"/>
        <v>12.88</v>
      </c>
      <c r="BF533" s="163">
        <f t="shared" si="327"/>
        <v>502.32</v>
      </c>
    </row>
    <row r="534" spans="1:58" s="62" customFormat="1" ht="60">
      <c r="A534" s="23" t="s">
        <v>2590</v>
      </c>
      <c r="B534" s="24">
        <v>91893</v>
      </c>
      <c r="C534" s="23" t="s">
        <v>1698</v>
      </c>
      <c r="D534" s="25" t="s">
        <v>12</v>
      </c>
      <c r="E534" s="25" t="s">
        <v>17</v>
      </c>
      <c r="F534" s="26">
        <v>1</v>
      </c>
      <c r="G534" s="26">
        <f t="shared" si="276"/>
        <v>8.7379999999999995</v>
      </c>
      <c r="H534" s="26">
        <f t="shared" si="325"/>
        <v>11.08</v>
      </c>
      <c r="I534" s="26">
        <f t="shared" si="329"/>
        <v>11.08</v>
      </c>
      <c r="J534" s="64" t="e">
        <f>IF(B534&lt;&gt;0,VLOOKUP(B534,#REF!,4,FALSE),"")</f>
        <v>#REF!</v>
      </c>
      <c r="K534" s="362" t="s">
        <v>3159</v>
      </c>
      <c r="L534" s="362">
        <f t="shared" si="278"/>
        <v>8.7379999999999995</v>
      </c>
      <c r="M534" s="64"/>
      <c r="N534" s="65" t="e">
        <f>IF(B534&lt;&gt;0,VLOOKUP(B534,#REF!,2,FALSE),"")</f>
        <v>#REF!</v>
      </c>
      <c r="AY534" s="221"/>
      <c r="AZ534" s="481"/>
      <c r="BA534" s="481"/>
      <c r="BB534" s="481"/>
      <c r="BC534" s="481"/>
      <c r="BD534" s="163">
        <f t="shared" si="320"/>
        <v>9.73</v>
      </c>
      <c r="BE534" s="163">
        <f t="shared" si="318"/>
        <v>12.34</v>
      </c>
      <c r="BF534" s="163">
        <f t="shared" si="327"/>
        <v>12.34</v>
      </c>
    </row>
    <row r="535" spans="1:58" s="62" customFormat="1" ht="45">
      <c r="A535" s="23" t="s">
        <v>2591</v>
      </c>
      <c r="B535" s="24">
        <v>91876</v>
      </c>
      <c r="C535" s="23" t="s">
        <v>1664</v>
      </c>
      <c r="D535" s="25" t="s">
        <v>12</v>
      </c>
      <c r="E535" s="25" t="s">
        <v>17</v>
      </c>
      <c r="F535" s="26">
        <v>16</v>
      </c>
      <c r="G535" s="26">
        <f t="shared" si="276"/>
        <v>4.9980000000000002</v>
      </c>
      <c r="H535" s="26">
        <f t="shared" si="325"/>
        <v>6.34</v>
      </c>
      <c r="I535" s="26">
        <f t="shared" si="329"/>
        <v>101.44</v>
      </c>
      <c r="J535" s="64" t="e">
        <f>IF(B535&lt;&gt;0,VLOOKUP(B535,#REF!,4,FALSE),"")</f>
        <v>#REF!</v>
      </c>
      <c r="K535" s="362" t="s">
        <v>3194</v>
      </c>
      <c r="L535" s="362">
        <f t="shared" si="278"/>
        <v>79.968000000000004</v>
      </c>
      <c r="M535" s="64"/>
      <c r="N535" s="65" t="e">
        <f>IF(B535&lt;&gt;0,VLOOKUP(B535,#REF!,2,FALSE),"")</f>
        <v>#REF!</v>
      </c>
      <c r="AY535" s="221"/>
      <c r="AZ535" s="481"/>
      <c r="BA535" s="481"/>
      <c r="BB535" s="481"/>
      <c r="BC535" s="481"/>
      <c r="BD535" s="163">
        <f t="shared" si="320"/>
        <v>5.57</v>
      </c>
      <c r="BE535" s="163">
        <f t="shared" si="318"/>
        <v>7.06</v>
      </c>
      <c r="BF535" s="163">
        <f t="shared" si="327"/>
        <v>112.96</v>
      </c>
    </row>
    <row r="536" spans="1:58" s="62" customFormat="1" ht="45">
      <c r="A536" s="23" t="s">
        <v>2592</v>
      </c>
      <c r="B536" s="24">
        <v>91872</v>
      </c>
      <c r="C536" s="23" t="s">
        <v>1699</v>
      </c>
      <c r="D536" s="25" t="s">
        <v>12</v>
      </c>
      <c r="E536" s="25" t="s">
        <v>52</v>
      </c>
      <c r="F536" s="26">
        <f>8+36</f>
        <v>44</v>
      </c>
      <c r="G536" s="26">
        <f t="shared" ref="G536:G599" si="330">K536-(K536*$K$15)</f>
        <v>9.6304999999999996</v>
      </c>
      <c r="H536" s="26">
        <f t="shared" si="325"/>
        <v>12.21</v>
      </c>
      <c r="I536" s="26">
        <f t="shared" si="329"/>
        <v>537.24</v>
      </c>
      <c r="J536" s="64" t="e">
        <f>IF(B536&lt;&gt;0,VLOOKUP(B536,#REF!,4,FALSE),"")</f>
        <v>#REF!</v>
      </c>
      <c r="K536" s="362" t="s">
        <v>1857</v>
      </c>
      <c r="L536" s="362">
        <f t="shared" ref="L536:L599" si="331">F536*G536</f>
        <v>423.74199999999996</v>
      </c>
      <c r="M536" s="64"/>
      <c r="N536" s="65" t="e">
        <f>IF(B536&lt;&gt;0,VLOOKUP(B536,#REF!,2,FALSE),"")</f>
        <v>#REF!</v>
      </c>
      <c r="AY536" s="221"/>
      <c r="AZ536" s="481"/>
      <c r="BA536" s="481"/>
      <c r="BB536" s="481"/>
      <c r="BC536" s="481"/>
      <c r="BD536" s="163">
        <f t="shared" si="320"/>
        <v>10.73</v>
      </c>
      <c r="BE536" s="163">
        <f t="shared" si="318"/>
        <v>13.61</v>
      </c>
      <c r="BF536" s="163">
        <f t="shared" si="327"/>
        <v>598.84</v>
      </c>
    </row>
    <row r="537" spans="1:58" s="62" customFormat="1" ht="60">
      <c r="A537" s="23" t="s">
        <v>2593</v>
      </c>
      <c r="B537" s="24">
        <v>91917</v>
      </c>
      <c r="C537" s="23" t="s">
        <v>1700</v>
      </c>
      <c r="D537" s="25" t="s">
        <v>12</v>
      </c>
      <c r="E537" s="25" t="s">
        <v>17</v>
      </c>
      <c r="F537" s="26">
        <f>2+8</f>
        <v>10</v>
      </c>
      <c r="G537" s="26">
        <f t="shared" si="330"/>
        <v>10.480499999999999</v>
      </c>
      <c r="H537" s="26">
        <f t="shared" si="325"/>
        <v>13.29</v>
      </c>
      <c r="I537" s="26">
        <f t="shared" si="329"/>
        <v>132.9</v>
      </c>
      <c r="J537" s="64" t="e">
        <f>IF(B537&lt;&gt;0,VLOOKUP(B537,#REF!,4,FALSE),"")</f>
        <v>#REF!</v>
      </c>
      <c r="K537" s="362" t="s">
        <v>3111</v>
      </c>
      <c r="L537" s="362">
        <f t="shared" si="331"/>
        <v>104.80499999999999</v>
      </c>
      <c r="M537" s="64"/>
      <c r="N537" s="65" t="e">
        <f>IF(B537&lt;&gt;0,VLOOKUP(B537,#REF!,2,FALSE),"")</f>
        <v>#REF!</v>
      </c>
      <c r="AY537" s="221"/>
      <c r="AZ537" s="481"/>
      <c r="BA537" s="481"/>
      <c r="BB537" s="481"/>
      <c r="BC537" s="481"/>
      <c r="BD537" s="163">
        <f t="shared" si="320"/>
        <v>11.68</v>
      </c>
      <c r="BE537" s="163">
        <f t="shared" si="318"/>
        <v>14.81</v>
      </c>
      <c r="BF537" s="163">
        <f t="shared" si="327"/>
        <v>148.1</v>
      </c>
    </row>
    <row r="538" spans="1:58" s="62" customFormat="1" ht="45">
      <c r="A538" s="23" t="s">
        <v>2594</v>
      </c>
      <c r="B538" s="24">
        <v>91885</v>
      </c>
      <c r="C538" s="23" t="s">
        <v>1701</v>
      </c>
      <c r="D538" s="25" t="s">
        <v>12</v>
      </c>
      <c r="E538" s="25" t="s">
        <v>17</v>
      </c>
      <c r="F538" s="26">
        <f>7+29</f>
        <v>36</v>
      </c>
      <c r="G538" s="26">
        <f t="shared" si="330"/>
        <v>6.1624999999999996</v>
      </c>
      <c r="H538" s="26">
        <f t="shared" si="325"/>
        <v>7.81</v>
      </c>
      <c r="I538" s="26">
        <f t="shared" si="329"/>
        <v>281.16000000000003</v>
      </c>
      <c r="J538" s="64" t="e">
        <f>IF(B538&lt;&gt;0,VLOOKUP(B538,#REF!,4,FALSE),"")</f>
        <v>#REF!</v>
      </c>
      <c r="K538" s="362" t="s">
        <v>1871</v>
      </c>
      <c r="L538" s="362">
        <f t="shared" si="331"/>
        <v>221.85</v>
      </c>
      <c r="M538" s="64"/>
      <c r="N538" s="65" t="e">
        <f>IF(B538&lt;&gt;0,VLOOKUP(B538,#REF!,2,FALSE),"")</f>
        <v>#REF!</v>
      </c>
      <c r="AY538" s="221"/>
      <c r="AZ538" s="481"/>
      <c r="BA538" s="481"/>
      <c r="BB538" s="481"/>
      <c r="BC538" s="481"/>
      <c r="BD538" s="163">
        <f t="shared" si="320"/>
        <v>6.87</v>
      </c>
      <c r="BE538" s="163">
        <f t="shared" si="318"/>
        <v>8.7100000000000009</v>
      </c>
      <c r="BF538" s="163">
        <f t="shared" si="327"/>
        <v>313.56</v>
      </c>
    </row>
    <row r="539" spans="1:58" s="62" customFormat="1" ht="30">
      <c r="A539" s="23" t="s">
        <v>2595</v>
      </c>
      <c r="B539" s="24">
        <v>724</v>
      </c>
      <c r="C539" s="23" t="s">
        <v>1766</v>
      </c>
      <c r="D539" s="25" t="s">
        <v>44</v>
      </c>
      <c r="E539" s="25" t="s">
        <v>17</v>
      </c>
      <c r="F539" s="26">
        <v>7</v>
      </c>
      <c r="G539" s="26">
        <f t="shared" si="330"/>
        <v>5.032</v>
      </c>
      <c r="H539" s="26">
        <f t="shared" si="325"/>
        <v>6.38</v>
      </c>
      <c r="I539" s="26">
        <f t="shared" ref="I539" si="332">ROUND(H539*F539,2)</f>
        <v>44.66</v>
      </c>
      <c r="J539" s="64">
        <f>J472</f>
        <v>5.04</v>
      </c>
      <c r="K539" s="362">
        <v>5.92</v>
      </c>
      <c r="L539" s="362">
        <f t="shared" si="331"/>
        <v>35.224000000000004</v>
      </c>
      <c r="M539" s="64"/>
      <c r="N539" s="65"/>
      <c r="AY539" s="221"/>
      <c r="AZ539" s="481"/>
      <c r="BA539" s="481"/>
      <c r="BB539" s="481"/>
      <c r="BC539" s="481"/>
      <c r="BD539" s="163">
        <f t="shared" si="320"/>
        <v>5.61</v>
      </c>
      <c r="BE539" s="163">
        <f t="shared" si="318"/>
        <v>7.11</v>
      </c>
      <c r="BF539" s="163">
        <f t="shared" si="327"/>
        <v>49.77</v>
      </c>
    </row>
    <row r="540" spans="1:58" ht="45">
      <c r="A540" s="23" t="s">
        <v>2596</v>
      </c>
      <c r="B540" s="24">
        <v>91865</v>
      </c>
      <c r="C540" s="23" t="s">
        <v>1702</v>
      </c>
      <c r="D540" s="25" t="s">
        <v>12</v>
      </c>
      <c r="E540" s="25" t="s">
        <v>52</v>
      </c>
      <c r="F540" s="26">
        <v>97</v>
      </c>
      <c r="G540" s="26">
        <f t="shared" si="330"/>
        <v>11.322000000000001</v>
      </c>
      <c r="H540" s="26">
        <f t="shared" si="325"/>
        <v>14.36</v>
      </c>
      <c r="I540" s="26">
        <f t="shared" ref="I540:I545" si="333">ROUND(H540*F540,2)</f>
        <v>1392.92</v>
      </c>
      <c r="J540" s="36" t="e">
        <f>IF(B540&lt;&gt;0,VLOOKUP(B540,#REF!,4,FALSE),"")</f>
        <v>#REF!</v>
      </c>
      <c r="K540" s="374" t="s">
        <v>3105</v>
      </c>
      <c r="L540" s="362">
        <f t="shared" si="331"/>
        <v>1098.2340000000002</v>
      </c>
      <c r="M540" s="36"/>
      <c r="N540" s="37" t="e">
        <f>IF(B540&lt;&gt;0,VLOOKUP(B540,#REF!,2,FALSE),"")</f>
        <v>#REF!</v>
      </c>
      <c r="AY540" s="21"/>
      <c r="AZ540" s="481"/>
      <c r="BA540" s="481"/>
      <c r="BB540" s="481"/>
      <c r="BC540" s="481"/>
      <c r="BD540" s="163">
        <f t="shared" si="320"/>
        <v>12.61</v>
      </c>
      <c r="BE540" s="163">
        <f t="shared" si="318"/>
        <v>15.99</v>
      </c>
      <c r="BF540" s="163">
        <f t="shared" si="327"/>
        <v>1551.03</v>
      </c>
    </row>
    <row r="541" spans="1:58" ht="60">
      <c r="A541" s="23" t="s">
        <v>2597</v>
      </c>
      <c r="B541" s="24">
        <v>91896</v>
      </c>
      <c r="C541" s="23" t="s">
        <v>1703</v>
      </c>
      <c r="D541" s="25" t="s">
        <v>12</v>
      </c>
      <c r="E541" s="25" t="s">
        <v>17</v>
      </c>
      <c r="F541" s="26">
        <v>4</v>
      </c>
      <c r="G541" s="26">
        <f t="shared" si="330"/>
        <v>10.6335</v>
      </c>
      <c r="H541" s="26">
        <f t="shared" si="325"/>
        <v>13.48</v>
      </c>
      <c r="I541" s="26">
        <f t="shared" si="333"/>
        <v>53.92</v>
      </c>
      <c r="J541" s="36" t="e">
        <f>IF(B541&lt;&gt;0,VLOOKUP(B541,#REF!,4,FALSE),"")</f>
        <v>#REF!</v>
      </c>
      <c r="K541" s="374" t="s">
        <v>3035</v>
      </c>
      <c r="L541" s="362">
        <f t="shared" si="331"/>
        <v>42.533999999999999</v>
      </c>
      <c r="M541" s="36"/>
      <c r="N541" s="37" t="e">
        <f>IF(B541&lt;&gt;0,VLOOKUP(B541,#REF!,2,FALSE),"")</f>
        <v>#REF!</v>
      </c>
      <c r="AY541" s="21"/>
      <c r="AZ541" s="481"/>
      <c r="BA541" s="481"/>
      <c r="BB541" s="481"/>
      <c r="BC541" s="481"/>
      <c r="BD541" s="163">
        <f t="shared" si="320"/>
        <v>11.85</v>
      </c>
      <c r="BE541" s="163">
        <f t="shared" si="318"/>
        <v>15.03</v>
      </c>
      <c r="BF541" s="163">
        <f t="shared" si="327"/>
        <v>60.12</v>
      </c>
    </row>
    <row r="542" spans="1:58" ht="60">
      <c r="A542" s="23" t="s">
        <v>2598</v>
      </c>
      <c r="B542" s="24">
        <v>91877</v>
      </c>
      <c r="C542" s="23" t="s">
        <v>1704</v>
      </c>
      <c r="D542" s="25" t="s">
        <v>12</v>
      </c>
      <c r="E542" s="25" t="s">
        <v>17</v>
      </c>
      <c r="F542" s="26">
        <v>41</v>
      </c>
      <c r="G542" s="26">
        <f t="shared" si="330"/>
        <v>6.681</v>
      </c>
      <c r="H542" s="26">
        <f t="shared" si="325"/>
        <v>8.4700000000000006</v>
      </c>
      <c r="I542" s="26">
        <f t="shared" si="333"/>
        <v>347.27</v>
      </c>
      <c r="J542" s="36" t="e">
        <f>IF(B542&lt;&gt;0,VLOOKUP(B542,#REF!,4,FALSE),"")</f>
        <v>#REF!</v>
      </c>
      <c r="K542" s="374" t="s">
        <v>3037</v>
      </c>
      <c r="L542" s="362">
        <f t="shared" si="331"/>
        <v>273.92099999999999</v>
      </c>
      <c r="M542" s="36"/>
      <c r="N542" s="37" t="e">
        <f>IF(B542&lt;&gt;0,VLOOKUP(B542,#REF!,2,FALSE),"")</f>
        <v>#REF!</v>
      </c>
      <c r="AY542" s="21"/>
      <c r="AZ542" s="481"/>
      <c r="BA542" s="481"/>
      <c r="BB542" s="481"/>
      <c r="BC542" s="481"/>
      <c r="BD542" s="163">
        <f t="shared" si="320"/>
        <v>7.44</v>
      </c>
      <c r="BE542" s="163">
        <f t="shared" si="318"/>
        <v>9.43</v>
      </c>
      <c r="BF542" s="163">
        <f t="shared" si="327"/>
        <v>386.63</v>
      </c>
    </row>
    <row r="543" spans="1:58" ht="45">
      <c r="A543" s="23" t="s">
        <v>2599</v>
      </c>
      <c r="B543" s="24">
        <v>91873</v>
      </c>
      <c r="C543" s="23" t="s">
        <v>1665</v>
      </c>
      <c r="D543" s="25" t="s">
        <v>12</v>
      </c>
      <c r="E543" s="25" t="s">
        <v>52</v>
      </c>
      <c r="F543" s="26">
        <f>6+49</f>
        <v>55</v>
      </c>
      <c r="G543" s="26">
        <f t="shared" si="330"/>
        <v>11.8065</v>
      </c>
      <c r="H543" s="26">
        <f t="shared" si="325"/>
        <v>14.97</v>
      </c>
      <c r="I543" s="26">
        <f t="shared" si="333"/>
        <v>823.35</v>
      </c>
      <c r="J543" s="36" t="e">
        <f>IF(B543&lt;&gt;0,VLOOKUP(B543,#REF!,4,FALSE),"")</f>
        <v>#REF!</v>
      </c>
      <c r="K543" s="374" t="s">
        <v>3157</v>
      </c>
      <c r="L543" s="362">
        <f t="shared" si="331"/>
        <v>649.35749999999996</v>
      </c>
      <c r="M543" s="36"/>
      <c r="N543" s="37" t="e">
        <f>IF(B543&lt;&gt;0,VLOOKUP(B543,#REF!,2,FALSE),"")</f>
        <v>#REF!</v>
      </c>
      <c r="AY543" s="21"/>
      <c r="AZ543" s="481"/>
      <c r="BA543" s="481"/>
      <c r="BB543" s="481"/>
      <c r="BC543" s="481"/>
      <c r="BD543" s="163">
        <f t="shared" si="320"/>
        <v>13.15</v>
      </c>
      <c r="BE543" s="163">
        <f t="shared" si="318"/>
        <v>16.68</v>
      </c>
      <c r="BF543" s="163">
        <f t="shared" si="327"/>
        <v>917.4</v>
      </c>
    </row>
    <row r="544" spans="1:58" ht="60">
      <c r="A544" s="23" t="s">
        <v>2600</v>
      </c>
      <c r="B544" s="24">
        <v>91920</v>
      </c>
      <c r="C544" s="23" t="s">
        <v>1666</v>
      </c>
      <c r="D544" s="25" t="s">
        <v>12</v>
      </c>
      <c r="E544" s="25" t="s">
        <v>17</v>
      </c>
      <c r="F544" s="26">
        <v>14</v>
      </c>
      <c r="G544" s="26">
        <f t="shared" si="330"/>
        <v>11.942500000000001</v>
      </c>
      <c r="H544" s="26">
        <f t="shared" si="325"/>
        <v>15.14</v>
      </c>
      <c r="I544" s="26">
        <f t="shared" si="333"/>
        <v>211.96</v>
      </c>
      <c r="J544" s="36" t="e">
        <f>IF(B544&lt;&gt;0,VLOOKUP(B544,#REF!,4,FALSE),"")</f>
        <v>#REF!</v>
      </c>
      <c r="K544" s="374" t="s">
        <v>3210</v>
      </c>
      <c r="L544" s="362">
        <f t="shared" si="331"/>
        <v>167.19500000000002</v>
      </c>
      <c r="M544" s="36"/>
      <c r="N544" s="37" t="e">
        <f>IF(B544&lt;&gt;0,VLOOKUP(B544,#REF!,2,FALSE),"")</f>
        <v>#REF!</v>
      </c>
      <c r="AY544" s="21"/>
      <c r="AZ544" s="481"/>
      <c r="BA544" s="481"/>
      <c r="BB544" s="481"/>
      <c r="BC544" s="481"/>
      <c r="BD544" s="163">
        <f t="shared" si="320"/>
        <v>13.3</v>
      </c>
      <c r="BE544" s="163">
        <f t="shared" si="318"/>
        <v>16.87</v>
      </c>
      <c r="BF544" s="163">
        <f t="shared" si="327"/>
        <v>236.18</v>
      </c>
    </row>
    <row r="545" spans="1:58" ht="60">
      <c r="A545" s="23" t="s">
        <v>2601</v>
      </c>
      <c r="B545" s="24">
        <v>91886</v>
      </c>
      <c r="C545" s="23" t="s">
        <v>1667</v>
      </c>
      <c r="D545" s="25" t="s">
        <v>12</v>
      </c>
      <c r="E545" s="25" t="s">
        <v>17</v>
      </c>
      <c r="F545" s="26">
        <f>2+45</f>
        <v>47</v>
      </c>
      <c r="G545" s="26">
        <f t="shared" si="330"/>
        <v>7.5565000000000007</v>
      </c>
      <c r="H545" s="26">
        <f t="shared" si="325"/>
        <v>9.58</v>
      </c>
      <c r="I545" s="26">
        <f t="shared" si="333"/>
        <v>450.26</v>
      </c>
      <c r="J545" s="36" t="e">
        <f>IF(B545&lt;&gt;0,VLOOKUP(B545,#REF!,4,FALSE),"")</f>
        <v>#REF!</v>
      </c>
      <c r="K545" s="374" t="s">
        <v>1907</v>
      </c>
      <c r="L545" s="362">
        <f t="shared" si="331"/>
        <v>355.15550000000002</v>
      </c>
      <c r="M545" s="36"/>
      <c r="N545" s="37" t="e">
        <f>IF(B545&lt;&gt;0,VLOOKUP(B545,#REF!,2,FALSE),"")</f>
        <v>#REF!</v>
      </c>
      <c r="AY545" s="21"/>
      <c r="AZ545" s="481"/>
      <c r="BA545" s="481"/>
      <c r="BB545" s="481"/>
      <c r="BC545" s="481"/>
      <c r="BD545" s="163">
        <f t="shared" si="320"/>
        <v>8.42</v>
      </c>
      <c r="BE545" s="163">
        <f t="shared" si="318"/>
        <v>10.68</v>
      </c>
      <c r="BF545" s="163">
        <f t="shared" si="327"/>
        <v>501.96</v>
      </c>
    </row>
    <row r="546" spans="1:58" s="62" customFormat="1" ht="30">
      <c r="A546" s="23" t="s">
        <v>2602</v>
      </c>
      <c r="B546" s="24">
        <v>725</v>
      </c>
      <c r="C546" s="23" t="s">
        <v>2271</v>
      </c>
      <c r="D546" s="25" t="s">
        <v>44</v>
      </c>
      <c r="E546" s="25" t="s">
        <v>17</v>
      </c>
      <c r="F546" s="26">
        <v>13</v>
      </c>
      <c r="G546" s="26">
        <f t="shared" si="330"/>
        <v>5.5419999999999998</v>
      </c>
      <c r="H546" s="26">
        <f t="shared" si="325"/>
        <v>7.03</v>
      </c>
      <c r="I546" s="26">
        <f t="shared" ref="I546" si="334">ROUND(H546*F546,2)</f>
        <v>91.39</v>
      </c>
      <c r="J546" s="64">
        <f>'COMPOSIÇÃO DE CUSTOS'!G1172</f>
        <v>5.55</v>
      </c>
      <c r="K546" s="362">
        <v>6.52</v>
      </c>
      <c r="L546" s="362">
        <f t="shared" si="331"/>
        <v>72.045999999999992</v>
      </c>
      <c r="M546" s="64"/>
      <c r="N546" s="65"/>
      <c r="AY546" s="221"/>
      <c r="AZ546" s="481"/>
      <c r="BA546" s="481"/>
      <c r="BB546" s="481"/>
      <c r="BC546" s="481"/>
      <c r="BD546" s="163">
        <f t="shared" si="320"/>
        <v>6.17</v>
      </c>
      <c r="BE546" s="163">
        <f t="shared" si="318"/>
        <v>7.82</v>
      </c>
      <c r="BF546" s="163">
        <f t="shared" si="327"/>
        <v>101.66</v>
      </c>
    </row>
    <row r="547" spans="1:58" s="62" customFormat="1" ht="30">
      <c r="A547" s="23" t="s">
        <v>2603</v>
      </c>
      <c r="B547" s="24">
        <v>762</v>
      </c>
      <c r="C547" s="23" t="s">
        <v>1749</v>
      </c>
      <c r="D547" s="25" t="s">
        <v>44</v>
      </c>
      <c r="E547" s="25" t="s">
        <v>17</v>
      </c>
      <c r="F547" s="26">
        <v>7</v>
      </c>
      <c r="G547" s="26">
        <f t="shared" si="330"/>
        <v>57.230499999999999</v>
      </c>
      <c r="H547" s="26">
        <f t="shared" si="325"/>
        <v>72.569999999999993</v>
      </c>
      <c r="I547" s="26">
        <f t="shared" ref="I547:I548" si="335">ROUND(H547*F547,2)</f>
        <v>507.99</v>
      </c>
      <c r="J547" s="64">
        <f>'COMPOSIÇÃO DE CUSTOS'!G1265</f>
        <v>57.23</v>
      </c>
      <c r="K547" s="362">
        <v>67.33</v>
      </c>
      <c r="L547" s="362">
        <f t="shared" si="331"/>
        <v>400.61349999999999</v>
      </c>
      <c r="M547" s="64"/>
      <c r="N547" s="65"/>
      <c r="AY547" s="221"/>
      <c r="AZ547" s="481"/>
      <c r="BA547" s="481"/>
      <c r="BB547" s="481"/>
      <c r="BC547" s="481"/>
      <c r="BD547" s="163">
        <f t="shared" si="320"/>
        <v>63.76</v>
      </c>
      <c r="BE547" s="163">
        <f t="shared" si="318"/>
        <v>80.849999999999994</v>
      </c>
      <c r="BF547" s="163">
        <f t="shared" si="327"/>
        <v>565.95000000000005</v>
      </c>
    </row>
    <row r="548" spans="1:58" s="62" customFormat="1" ht="30">
      <c r="A548" s="23" t="s">
        <v>2604</v>
      </c>
      <c r="B548" s="24">
        <v>8113</v>
      </c>
      <c r="C548" s="23" t="s">
        <v>1750</v>
      </c>
      <c r="D548" s="25" t="s">
        <v>44</v>
      </c>
      <c r="E548" s="25" t="s">
        <v>17</v>
      </c>
      <c r="F548" s="26">
        <v>2</v>
      </c>
      <c r="G548" s="26">
        <f t="shared" si="330"/>
        <v>35.929500000000004</v>
      </c>
      <c r="H548" s="26">
        <f t="shared" si="325"/>
        <v>45.56</v>
      </c>
      <c r="I548" s="26">
        <f t="shared" si="335"/>
        <v>91.12</v>
      </c>
      <c r="J548" s="64">
        <f>'COMPOSIÇÃO DE CUSTOS'!G1300</f>
        <v>35.93</v>
      </c>
      <c r="K548" s="362">
        <v>42.27</v>
      </c>
      <c r="L548" s="362">
        <f t="shared" si="331"/>
        <v>71.859000000000009</v>
      </c>
      <c r="M548" s="64"/>
      <c r="N548" s="65"/>
      <c r="AY548" s="221"/>
      <c r="AZ548" s="481"/>
      <c r="BA548" s="481"/>
      <c r="BB548" s="481"/>
      <c r="BC548" s="481"/>
      <c r="BD548" s="163">
        <f t="shared" si="320"/>
        <v>40.03</v>
      </c>
      <c r="BE548" s="163">
        <f t="shared" si="318"/>
        <v>50.76</v>
      </c>
      <c r="BF548" s="163">
        <f t="shared" si="327"/>
        <v>101.52</v>
      </c>
    </row>
    <row r="549" spans="1:58" s="62" customFormat="1" ht="30">
      <c r="A549" s="23" t="s">
        <v>2605</v>
      </c>
      <c r="B549" s="24">
        <v>9533</v>
      </c>
      <c r="C549" s="23" t="s">
        <v>1751</v>
      </c>
      <c r="D549" s="25" t="s">
        <v>44</v>
      </c>
      <c r="E549" s="25" t="s">
        <v>17</v>
      </c>
      <c r="F549" s="26">
        <v>2</v>
      </c>
      <c r="G549" s="26">
        <f t="shared" si="330"/>
        <v>12.1295</v>
      </c>
      <c r="H549" s="26">
        <f t="shared" si="325"/>
        <v>15.38</v>
      </c>
      <c r="I549" s="26">
        <f t="shared" ref="I549" si="336">ROUND(H549*F549,2)</f>
        <v>30.76</v>
      </c>
      <c r="J549" s="64">
        <f>'COMPOSIÇÃO DE CUSTOS'!G1279</f>
        <v>12.13</v>
      </c>
      <c r="K549" s="362">
        <v>14.27</v>
      </c>
      <c r="L549" s="362">
        <f t="shared" si="331"/>
        <v>24.259</v>
      </c>
      <c r="M549" s="64"/>
      <c r="N549" s="65"/>
      <c r="AY549" s="221"/>
      <c r="AZ549" s="481"/>
      <c r="BA549" s="481"/>
      <c r="BB549" s="481"/>
      <c r="BC549" s="481"/>
      <c r="BD549" s="163">
        <f t="shared" si="320"/>
        <v>13.51</v>
      </c>
      <c r="BE549" s="163">
        <f t="shared" si="318"/>
        <v>17.13</v>
      </c>
      <c r="BF549" s="163">
        <f t="shared" si="327"/>
        <v>34.26</v>
      </c>
    </row>
    <row r="550" spans="1:58" s="62" customFormat="1" ht="30">
      <c r="A550" s="23" t="s">
        <v>2606</v>
      </c>
      <c r="B550" s="24">
        <v>8443</v>
      </c>
      <c r="C550" s="23" t="s">
        <v>1759</v>
      </c>
      <c r="D550" s="25" t="s">
        <v>44</v>
      </c>
      <c r="E550" s="25" t="s">
        <v>17</v>
      </c>
      <c r="F550" s="26">
        <v>2</v>
      </c>
      <c r="G550" s="26">
        <f t="shared" si="330"/>
        <v>57.179499999999997</v>
      </c>
      <c r="H550" s="26">
        <f t="shared" si="325"/>
        <v>72.510000000000005</v>
      </c>
      <c r="I550" s="26">
        <f t="shared" ref="I550" si="337">ROUND(H550*F550,2)</f>
        <v>145.02000000000001</v>
      </c>
      <c r="J550" s="64">
        <f>'COMPOSIÇÃO DE CUSTOS'!G1272</f>
        <v>57.18</v>
      </c>
      <c r="K550" s="362">
        <v>67.27</v>
      </c>
      <c r="L550" s="362">
        <f t="shared" si="331"/>
        <v>114.35899999999999</v>
      </c>
      <c r="M550" s="64"/>
      <c r="N550" s="65"/>
      <c r="AY550" s="221"/>
      <c r="AZ550" s="481"/>
      <c r="BA550" s="481"/>
      <c r="BB550" s="481"/>
      <c r="BC550" s="481"/>
      <c r="BD550" s="163">
        <f t="shared" si="320"/>
        <v>63.7</v>
      </c>
      <c r="BE550" s="163">
        <f t="shared" si="318"/>
        <v>80.78</v>
      </c>
      <c r="BF550" s="163">
        <f t="shared" si="327"/>
        <v>161.56</v>
      </c>
    </row>
    <row r="551" spans="1:58" s="62" customFormat="1" ht="30">
      <c r="A551" s="23" t="s">
        <v>2607</v>
      </c>
      <c r="B551" s="24">
        <v>748</v>
      </c>
      <c r="C551" s="23" t="s">
        <v>201</v>
      </c>
      <c r="D551" s="25" t="s">
        <v>44</v>
      </c>
      <c r="E551" s="25" t="s">
        <v>17</v>
      </c>
      <c r="F551" s="26">
        <v>22</v>
      </c>
      <c r="G551" s="26">
        <f t="shared" si="330"/>
        <v>70.473500000000001</v>
      </c>
      <c r="H551" s="26">
        <f t="shared" si="325"/>
        <v>89.37</v>
      </c>
      <c r="I551" s="26">
        <f t="shared" ref="I551:I555" si="338">ROUND(H551*F551,2)</f>
        <v>1966.14</v>
      </c>
      <c r="J551" s="64">
        <f>J456</f>
        <v>70.47</v>
      </c>
      <c r="K551" s="362">
        <v>82.91</v>
      </c>
      <c r="L551" s="362">
        <f t="shared" si="331"/>
        <v>1550.4169999999999</v>
      </c>
      <c r="M551" s="64"/>
      <c r="N551" s="65"/>
      <c r="AY551" s="221"/>
      <c r="AZ551" s="481"/>
      <c r="BA551" s="481"/>
      <c r="BB551" s="481"/>
      <c r="BC551" s="481"/>
      <c r="BD551" s="163">
        <f t="shared" si="320"/>
        <v>78.510000000000005</v>
      </c>
      <c r="BE551" s="163">
        <f t="shared" si="318"/>
        <v>99.56</v>
      </c>
      <c r="BF551" s="163">
        <f t="shared" si="327"/>
        <v>2190.3200000000002</v>
      </c>
    </row>
    <row r="552" spans="1:58" s="62" customFormat="1" ht="30">
      <c r="A552" s="23" t="s">
        <v>2608</v>
      </c>
      <c r="B552" s="24">
        <v>4533</v>
      </c>
      <c r="C552" s="23" t="s">
        <v>203</v>
      </c>
      <c r="D552" s="25" t="s">
        <v>44</v>
      </c>
      <c r="E552" s="25" t="s">
        <v>17</v>
      </c>
      <c r="F552" s="26">
        <v>22</v>
      </c>
      <c r="G552" s="26">
        <f t="shared" si="330"/>
        <v>114.5205</v>
      </c>
      <c r="H552" s="26">
        <f t="shared" si="325"/>
        <v>145.22</v>
      </c>
      <c r="I552" s="26">
        <f t="shared" si="338"/>
        <v>3194.84</v>
      </c>
      <c r="J552" s="64">
        <f>J461</f>
        <v>114.52</v>
      </c>
      <c r="K552" s="362">
        <v>134.72999999999999</v>
      </c>
      <c r="L552" s="362">
        <f t="shared" si="331"/>
        <v>2519.451</v>
      </c>
      <c r="M552" s="64"/>
      <c r="N552" s="65"/>
      <c r="AY552" s="221"/>
      <c r="AZ552" s="481"/>
      <c r="BA552" s="481"/>
      <c r="BB552" s="481"/>
      <c r="BC552" s="481"/>
      <c r="BD552" s="163">
        <f t="shared" si="320"/>
        <v>127.58</v>
      </c>
      <c r="BE552" s="163">
        <f t="shared" si="318"/>
        <v>161.78</v>
      </c>
      <c r="BF552" s="163">
        <f t="shared" si="327"/>
        <v>3559.16</v>
      </c>
    </row>
    <row r="553" spans="1:58" s="62" customFormat="1" ht="30">
      <c r="A553" s="23" t="s">
        <v>2609</v>
      </c>
      <c r="B553" s="24">
        <v>63988</v>
      </c>
      <c r="C553" s="23" t="s">
        <v>2242</v>
      </c>
      <c r="D553" s="25" t="s">
        <v>1915</v>
      </c>
      <c r="E553" s="25" t="s">
        <v>17</v>
      </c>
      <c r="F553" s="26">
        <v>3</v>
      </c>
      <c r="G553" s="26">
        <f t="shared" si="330"/>
        <v>82.212000000000003</v>
      </c>
      <c r="H553" s="26">
        <f t="shared" si="325"/>
        <v>104.25</v>
      </c>
      <c r="I553" s="26">
        <f t="shared" si="338"/>
        <v>312.75</v>
      </c>
      <c r="J553" s="64">
        <f>J466</f>
        <v>82.21</v>
      </c>
      <c r="K553" s="362">
        <v>96.72</v>
      </c>
      <c r="L553" s="362">
        <f t="shared" si="331"/>
        <v>246.63600000000002</v>
      </c>
      <c r="M553" s="64"/>
      <c r="N553" s="65"/>
      <c r="AY553" s="221"/>
      <c r="AZ553" s="481"/>
      <c r="BA553" s="481"/>
      <c r="BB553" s="481"/>
      <c r="BC553" s="481"/>
      <c r="BD553" s="163">
        <f t="shared" si="320"/>
        <v>91.58</v>
      </c>
      <c r="BE553" s="163">
        <f t="shared" si="318"/>
        <v>116.13</v>
      </c>
      <c r="BF553" s="163">
        <f t="shared" si="327"/>
        <v>348.39</v>
      </c>
    </row>
    <row r="554" spans="1:58" s="62" customFormat="1" ht="30">
      <c r="A554" s="23" t="s">
        <v>2610</v>
      </c>
      <c r="B554" s="24">
        <v>8112</v>
      </c>
      <c r="C554" s="23" t="s">
        <v>225</v>
      </c>
      <c r="D554" s="25" t="s">
        <v>44</v>
      </c>
      <c r="E554" s="25" t="s">
        <v>17</v>
      </c>
      <c r="F554" s="26">
        <v>2</v>
      </c>
      <c r="G554" s="26">
        <f t="shared" si="330"/>
        <v>141.4145</v>
      </c>
      <c r="H554" s="26">
        <f t="shared" si="325"/>
        <v>179.33</v>
      </c>
      <c r="I554" s="26">
        <f t="shared" si="338"/>
        <v>358.66</v>
      </c>
      <c r="J554" s="64">
        <f>'COMPOSIÇÃO DE CUSTOS'!G1293</f>
        <v>141.41</v>
      </c>
      <c r="K554" s="362">
        <v>166.37</v>
      </c>
      <c r="L554" s="362">
        <f t="shared" si="331"/>
        <v>282.82900000000001</v>
      </c>
      <c r="M554" s="64"/>
      <c r="N554" s="65"/>
      <c r="AY554" s="221"/>
      <c r="AZ554" s="481"/>
      <c r="BA554" s="481"/>
      <c r="BB554" s="481"/>
      <c r="BC554" s="481"/>
      <c r="BD554" s="163">
        <f>ROUND(G554*$BH$19,2)</f>
        <v>157.54</v>
      </c>
      <c r="BE554" s="163">
        <f t="shared" si="318"/>
        <v>199.78</v>
      </c>
      <c r="BF554" s="163">
        <f t="shared" si="327"/>
        <v>399.56</v>
      </c>
    </row>
    <row r="555" spans="1:58" s="62" customFormat="1" ht="30">
      <c r="A555" s="23" t="s">
        <v>2611</v>
      </c>
      <c r="B555" s="24">
        <v>4109</v>
      </c>
      <c r="C555" s="23" t="s">
        <v>1752</v>
      </c>
      <c r="D555" s="25" t="s">
        <v>44</v>
      </c>
      <c r="E555" s="25" t="s">
        <v>17</v>
      </c>
      <c r="F555" s="26">
        <v>2</v>
      </c>
      <c r="G555" s="26">
        <f t="shared" si="330"/>
        <v>26.749499999999998</v>
      </c>
      <c r="H555" s="26">
        <f t="shared" si="325"/>
        <v>33.92</v>
      </c>
      <c r="I555" s="26">
        <f t="shared" si="338"/>
        <v>67.84</v>
      </c>
      <c r="J555" s="64">
        <f>'COMPOSIÇÃO DE CUSTOS'!G1286</f>
        <v>26.75</v>
      </c>
      <c r="K555" s="362">
        <v>31.47</v>
      </c>
      <c r="L555" s="362">
        <f t="shared" si="331"/>
        <v>53.498999999999995</v>
      </c>
      <c r="M555" s="64"/>
      <c r="N555" s="65"/>
      <c r="AY555" s="221"/>
      <c r="AZ555" s="481"/>
      <c r="BA555" s="481"/>
      <c r="BB555" s="481"/>
      <c r="BC555" s="481"/>
      <c r="BD555" s="163">
        <f>ROUND(G555*$BH$19,2)</f>
        <v>29.8</v>
      </c>
      <c r="BE555" s="163">
        <f t="shared" si="318"/>
        <v>37.79</v>
      </c>
      <c r="BF555" s="163">
        <f t="shared" si="327"/>
        <v>75.58</v>
      </c>
    </row>
    <row r="556" spans="1:58" s="62" customFormat="1" ht="30">
      <c r="A556" s="23" t="s">
        <v>2612</v>
      </c>
      <c r="B556" s="25" t="s">
        <v>2240</v>
      </c>
      <c r="C556" s="23" t="s">
        <v>204</v>
      </c>
      <c r="D556" s="25" t="s">
        <v>1915</v>
      </c>
      <c r="E556" s="25" t="s">
        <v>17</v>
      </c>
      <c r="F556" s="26">
        <v>2</v>
      </c>
      <c r="G556" s="26">
        <f t="shared" si="330"/>
        <v>73.5505</v>
      </c>
      <c r="H556" s="26">
        <f t="shared" si="325"/>
        <v>93.27</v>
      </c>
      <c r="I556" s="26">
        <f t="shared" ref="I556" si="339">ROUND(H556*F556,2)</f>
        <v>186.54</v>
      </c>
      <c r="J556" s="64">
        <f>J467</f>
        <v>73.55</v>
      </c>
      <c r="K556" s="362">
        <v>86.53</v>
      </c>
      <c r="L556" s="362">
        <f t="shared" si="331"/>
        <v>147.101</v>
      </c>
      <c r="M556" s="64"/>
      <c r="N556" s="65"/>
      <c r="AY556" s="221"/>
      <c r="AZ556" s="481"/>
      <c r="BA556" s="481"/>
      <c r="BB556" s="481"/>
      <c r="BC556" s="481"/>
      <c r="BD556" s="163">
        <f>ROUND(G556*$BH$19,2)</f>
        <v>81.94</v>
      </c>
      <c r="BE556" s="163">
        <f t="shared" si="318"/>
        <v>103.91</v>
      </c>
      <c r="BF556" s="163">
        <f t="shared" si="327"/>
        <v>207.82</v>
      </c>
    </row>
    <row r="557" spans="1:58" s="62" customFormat="1" ht="30">
      <c r="A557" s="41" t="s">
        <v>3637</v>
      </c>
      <c r="B557" s="24">
        <v>97668</v>
      </c>
      <c r="C557" s="470" t="s">
        <v>3746</v>
      </c>
      <c r="D557" s="25" t="s">
        <v>12</v>
      </c>
      <c r="E557" s="25" t="s">
        <v>52</v>
      </c>
      <c r="F557" s="26">
        <v>203</v>
      </c>
      <c r="G557" s="26">
        <f t="shared" si="330"/>
        <v>8.8739999999999988</v>
      </c>
      <c r="H557" s="26">
        <f t="shared" si="325"/>
        <v>11.25</v>
      </c>
      <c r="I557" s="26">
        <f t="shared" ref="I557" si="340">ROUND(H557*F557,2)</f>
        <v>2283.75</v>
      </c>
      <c r="J557" s="64" t="e">
        <f>IF(B557&lt;&gt;0,VLOOKUP(B557,#REF!,4,FALSE),"")</f>
        <v>#REF!</v>
      </c>
      <c r="K557" s="362" t="s">
        <v>1898</v>
      </c>
      <c r="L557" s="362">
        <f t="shared" si="331"/>
        <v>1801.4219999999998</v>
      </c>
      <c r="M557" s="64"/>
      <c r="N557" s="65" t="e">
        <f>IF(B557&lt;&gt;0,VLOOKUP(B557,#REF!,2,FALSE),"")</f>
        <v>#REF!</v>
      </c>
      <c r="AY557" s="221"/>
      <c r="AZ557" s="481"/>
      <c r="BA557" s="481"/>
      <c r="BB557" s="481"/>
      <c r="BC557" s="481"/>
      <c r="BD557" s="163">
        <f t="shared" si="320"/>
        <v>9.89</v>
      </c>
      <c r="BE557" s="163">
        <f t="shared" si="318"/>
        <v>12.54</v>
      </c>
      <c r="BF557" s="163">
        <f t="shared" si="327"/>
        <v>2545.62</v>
      </c>
    </row>
    <row r="558" spans="1:58" s="62" customFormat="1" ht="30">
      <c r="A558" s="41" t="s">
        <v>3638</v>
      </c>
      <c r="B558" s="24">
        <v>97667</v>
      </c>
      <c r="C558" s="470" t="s">
        <v>3745</v>
      </c>
      <c r="D558" s="25" t="s">
        <v>12</v>
      </c>
      <c r="E558" s="25" t="s">
        <v>52</v>
      </c>
      <c r="F558" s="26">
        <f>242+28</f>
        <v>270</v>
      </c>
      <c r="G558" s="26">
        <f t="shared" si="330"/>
        <v>5.8650000000000002</v>
      </c>
      <c r="H558" s="26">
        <f t="shared" si="325"/>
        <v>7.44</v>
      </c>
      <c r="I558" s="26">
        <f t="shared" ref="I558" si="341">ROUND(H558*F558,2)</f>
        <v>2008.8</v>
      </c>
      <c r="J558" s="64" t="e">
        <f>IF(B558&lt;&gt;0,VLOOKUP(B558,#REF!,4,FALSE),"")</f>
        <v>#REF!</v>
      </c>
      <c r="K558" s="362" t="s">
        <v>1849</v>
      </c>
      <c r="L558" s="362">
        <f t="shared" si="331"/>
        <v>1583.55</v>
      </c>
      <c r="M558" s="64"/>
      <c r="N558" s="65" t="e">
        <f>IF(B558&lt;&gt;0,VLOOKUP(B558,#REF!,2,FALSE),"")</f>
        <v>#REF!</v>
      </c>
      <c r="AY558" s="221"/>
      <c r="AZ558" s="481"/>
      <c r="BA558" s="481"/>
      <c r="BB558" s="481"/>
      <c r="BC558" s="481"/>
      <c r="BD558" s="163">
        <f t="shared" si="320"/>
        <v>6.53</v>
      </c>
      <c r="BE558" s="163">
        <f t="shared" si="318"/>
        <v>8.2799999999999994</v>
      </c>
      <c r="BF558" s="163">
        <f t="shared" si="327"/>
        <v>2235.6</v>
      </c>
    </row>
    <row r="559" spans="1:58" s="62" customFormat="1" ht="30">
      <c r="A559" s="41" t="s">
        <v>3639</v>
      </c>
      <c r="B559" s="24">
        <v>97669</v>
      </c>
      <c r="C559" s="470" t="s">
        <v>3747</v>
      </c>
      <c r="D559" s="25" t="s">
        <v>12</v>
      </c>
      <c r="E559" s="25" t="s">
        <v>52</v>
      </c>
      <c r="F559" s="26">
        <v>72</v>
      </c>
      <c r="G559" s="26">
        <f t="shared" si="330"/>
        <v>13.753</v>
      </c>
      <c r="H559" s="26">
        <f t="shared" si="325"/>
        <v>17.440000000000001</v>
      </c>
      <c r="I559" s="26">
        <f t="shared" ref="I559" si="342">ROUND(H559*F559,2)</f>
        <v>1255.68</v>
      </c>
      <c r="J559" s="64" t="e">
        <f>IF(B559&lt;&gt;0,VLOOKUP(B559,#REF!,4,FALSE),"")</f>
        <v>#REF!</v>
      </c>
      <c r="K559" s="362" t="s">
        <v>3123</v>
      </c>
      <c r="L559" s="362">
        <f t="shared" si="331"/>
        <v>990.21600000000001</v>
      </c>
      <c r="M559" s="64"/>
      <c r="N559" s="65" t="e">
        <f>IF(B559&lt;&gt;0,VLOOKUP(B559,#REF!,2,FALSE),"")</f>
        <v>#REF!</v>
      </c>
      <c r="AY559" s="221"/>
      <c r="AZ559" s="481"/>
      <c r="BA559" s="481"/>
      <c r="BB559" s="481"/>
      <c r="BC559" s="481"/>
      <c r="BD559" s="163">
        <f t="shared" si="320"/>
        <v>15.32</v>
      </c>
      <c r="BE559" s="163">
        <f t="shared" si="318"/>
        <v>19.43</v>
      </c>
      <c r="BF559" s="163">
        <f t="shared" si="327"/>
        <v>1398.96</v>
      </c>
    </row>
    <row r="560" spans="1:58" s="62" customFormat="1" ht="30">
      <c r="A560" s="41" t="s">
        <v>3640</v>
      </c>
      <c r="B560" s="24">
        <v>97670</v>
      </c>
      <c r="C560" s="470" t="s">
        <v>3748</v>
      </c>
      <c r="D560" s="25" t="s">
        <v>12</v>
      </c>
      <c r="E560" s="25" t="s">
        <v>52</v>
      </c>
      <c r="F560" s="26">
        <f>70+8</f>
        <v>78</v>
      </c>
      <c r="G560" s="26">
        <f t="shared" si="330"/>
        <v>18.003</v>
      </c>
      <c r="H560" s="26">
        <f t="shared" si="325"/>
        <v>22.83</v>
      </c>
      <c r="I560" s="26">
        <f t="shared" ref="I560" si="343">ROUND(H560*F560,2)</f>
        <v>1780.74</v>
      </c>
      <c r="J560" s="64" t="e">
        <f>IF(B560&lt;&gt;0,VLOOKUP(B560,#REF!,4,FALSE),"")</f>
        <v>#REF!</v>
      </c>
      <c r="K560" s="362" t="s">
        <v>1874</v>
      </c>
      <c r="L560" s="362">
        <f t="shared" si="331"/>
        <v>1404.2339999999999</v>
      </c>
      <c r="M560" s="64"/>
      <c r="N560" s="65" t="e">
        <f>IF(B560&lt;&gt;0,VLOOKUP(B560,#REF!,2,FALSE),"")</f>
        <v>#REF!</v>
      </c>
      <c r="AY560" s="221"/>
      <c r="AZ560" s="481"/>
      <c r="BA560" s="481"/>
      <c r="BB560" s="481"/>
      <c r="BC560" s="481"/>
      <c r="BD560" s="163">
        <f t="shared" si="320"/>
        <v>20.059999999999999</v>
      </c>
      <c r="BE560" s="163">
        <f t="shared" si="318"/>
        <v>25.44</v>
      </c>
      <c r="BF560" s="163">
        <f t="shared" si="327"/>
        <v>1984.32</v>
      </c>
    </row>
    <row r="561" spans="1:59" s="62" customFormat="1" ht="90">
      <c r="A561" s="23" t="s">
        <v>2615</v>
      </c>
      <c r="B561" s="24">
        <v>90091</v>
      </c>
      <c r="C561" s="23" t="s">
        <v>1705</v>
      </c>
      <c r="D561" s="25" t="s">
        <v>12</v>
      </c>
      <c r="E561" s="25" t="s">
        <v>35</v>
      </c>
      <c r="F561" s="26">
        <v>109</v>
      </c>
      <c r="G561" s="26">
        <f t="shared" si="330"/>
        <v>3.5105</v>
      </c>
      <c r="H561" s="26">
        <f t="shared" si="325"/>
        <v>4.45</v>
      </c>
      <c r="I561" s="26">
        <f t="shared" ref="I561:I562" si="344">ROUND(H561*F561,2)</f>
        <v>485.05</v>
      </c>
      <c r="J561" s="64" t="e">
        <f>IF(B561&lt;&gt;0,VLOOKUP(B561,#REF!,4,FALSE),"")</f>
        <v>#REF!</v>
      </c>
      <c r="K561" s="362" t="s">
        <v>1867</v>
      </c>
      <c r="L561" s="362">
        <f t="shared" si="331"/>
        <v>382.64449999999999</v>
      </c>
      <c r="M561" s="64"/>
      <c r="N561" s="65" t="e">
        <f>IF(B561&lt;&gt;0,VLOOKUP(B561,#REF!,2,FALSE),"")</f>
        <v>#REF!</v>
      </c>
      <c r="AY561" s="221"/>
      <c r="AZ561" s="481"/>
      <c r="BA561" s="481"/>
      <c r="BB561" s="481"/>
      <c r="BC561" s="481"/>
      <c r="BD561" s="163">
        <f t="shared" si="320"/>
        <v>3.91</v>
      </c>
      <c r="BE561" s="163">
        <f t="shared" si="318"/>
        <v>4.96</v>
      </c>
      <c r="BF561" s="163">
        <f t="shared" si="327"/>
        <v>540.64</v>
      </c>
    </row>
    <row r="562" spans="1:59" s="62" customFormat="1" ht="90">
      <c r="A562" s="23" t="s">
        <v>2616</v>
      </c>
      <c r="B562" s="24">
        <v>93368</v>
      </c>
      <c r="C562" s="23" t="s">
        <v>1706</v>
      </c>
      <c r="D562" s="25" t="s">
        <v>12</v>
      </c>
      <c r="E562" s="25" t="s">
        <v>35</v>
      </c>
      <c r="F562" s="26">
        <v>109</v>
      </c>
      <c r="G562" s="26">
        <f t="shared" si="330"/>
        <v>10.531500000000001</v>
      </c>
      <c r="H562" s="26">
        <f t="shared" si="325"/>
        <v>13.35</v>
      </c>
      <c r="I562" s="26">
        <f t="shared" si="344"/>
        <v>1455.15</v>
      </c>
      <c r="J562" s="64" t="e">
        <f>IF(B562&lt;&gt;0,VLOOKUP(B562,#REF!,4,FALSE),"")</f>
        <v>#REF!</v>
      </c>
      <c r="K562" s="362" t="s">
        <v>3112</v>
      </c>
      <c r="L562" s="362">
        <f t="shared" si="331"/>
        <v>1147.9335000000001</v>
      </c>
      <c r="M562" s="64"/>
      <c r="N562" s="65" t="e">
        <f>IF(B562&lt;&gt;0,VLOOKUP(B562,#REF!,2,FALSE),"")</f>
        <v>#REF!</v>
      </c>
      <c r="AY562" s="221"/>
      <c r="AZ562" s="481"/>
      <c r="BA562" s="481"/>
      <c r="BB562" s="481"/>
      <c r="BC562" s="481"/>
      <c r="BD562" s="163">
        <f t="shared" si="320"/>
        <v>11.73</v>
      </c>
      <c r="BE562" s="163">
        <f t="shared" si="318"/>
        <v>14.87</v>
      </c>
      <c r="BF562" s="163">
        <f t="shared" si="327"/>
        <v>1620.83</v>
      </c>
    </row>
    <row r="563" spans="1:59" s="62" customFormat="1">
      <c r="A563" s="356" t="s">
        <v>1052</v>
      </c>
      <c r="B563" s="356"/>
      <c r="C563" s="356" t="s">
        <v>214</v>
      </c>
      <c r="D563" s="357"/>
      <c r="E563" s="357"/>
      <c r="F563" s="357"/>
      <c r="G563" s="26"/>
      <c r="H563" s="357"/>
      <c r="I563" s="96"/>
      <c r="J563" s="65"/>
      <c r="K563" s="362"/>
      <c r="L563" s="362">
        <f t="shared" si="331"/>
        <v>0</v>
      </c>
      <c r="M563" s="65"/>
      <c r="N563" s="65"/>
      <c r="AY563" s="221"/>
      <c r="AZ563" s="481"/>
      <c r="BA563" s="481"/>
      <c r="BB563" s="481"/>
      <c r="BC563" s="481"/>
      <c r="BD563" s="481"/>
      <c r="BE563" s="481"/>
      <c r="BF563" s="481"/>
    </row>
    <row r="564" spans="1:59" s="34" customFormat="1" ht="45">
      <c r="A564" s="471" t="s">
        <v>1053</v>
      </c>
      <c r="B564" s="475">
        <v>98297</v>
      </c>
      <c r="C564" s="471" t="s">
        <v>2505</v>
      </c>
      <c r="D564" s="472" t="s">
        <v>12</v>
      </c>
      <c r="E564" s="472" t="s">
        <v>52</v>
      </c>
      <c r="F564" s="473">
        <v>10872</v>
      </c>
      <c r="G564" s="473">
        <f t="shared" si="330"/>
        <v>1.7765</v>
      </c>
      <c r="H564" s="473">
        <f>ROUND(G564*(1+$J$14),2)</f>
        <v>2.25</v>
      </c>
      <c r="I564" s="473">
        <f t="shared" ref="I564:I565" si="345">ROUND(H564*F564,2)</f>
        <v>24462</v>
      </c>
      <c r="J564" s="474" t="e">
        <f>IF(B564&lt;&gt;0,VLOOKUP(B564,#REF!,4,FALSE),"")</f>
        <v>#REF!</v>
      </c>
      <c r="K564" s="378" t="s">
        <v>2643</v>
      </c>
      <c r="L564" s="378">
        <f t="shared" si="331"/>
        <v>19314.108</v>
      </c>
      <c r="M564" s="474"/>
      <c r="N564" s="47" t="e">
        <f>IF(B564&lt;&gt;0,VLOOKUP(B564,#REF!,2,FALSE),"")</f>
        <v>#REF!</v>
      </c>
      <c r="AY564" s="577"/>
      <c r="AZ564" s="502"/>
      <c r="BA564" s="502"/>
      <c r="BB564" s="502"/>
      <c r="BC564" s="502"/>
      <c r="BD564" s="523">
        <f>BG564</f>
        <v>3.74</v>
      </c>
      <c r="BE564" s="523">
        <f>ROUND(BD564*(1+$J$14),2)</f>
        <v>4.74</v>
      </c>
      <c r="BF564" s="523">
        <f>ROUND(BE564*F564,2)</f>
        <v>51533.279999999999</v>
      </c>
      <c r="BG564" s="34">
        <f>'COMPOSIÇÃO AB'!G604</f>
        <v>3.74</v>
      </c>
    </row>
    <row r="565" spans="1:59" s="34" customFormat="1" ht="30">
      <c r="A565" s="471" t="s">
        <v>1054</v>
      </c>
      <c r="B565" s="475" t="s">
        <v>2394</v>
      </c>
      <c r="C565" s="471" t="s">
        <v>2393</v>
      </c>
      <c r="D565" s="472" t="s">
        <v>1915</v>
      </c>
      <c r="E565" s="472" t="s">
        <v>52</v>
      </c>
      <c r="F565" s="473">
        <v>652</v>
      </c>
      <c r="G565" s="473">
        <f t="shared" si="330"/>
        <v>61.735499999999995</v>
      </c>
      <c r="H565" s="473">
        <f>ROUND(G565*(1+$J$14),2)</f>
        <v>78.290000000000006</v>
      </c>
      <c r="I565" s="473">
        <f t="shared" si="345"/>
        <v>51045.08</v>
      </c>
      <c r="J565" s="474">
        <f>'COMPOSIÇÃO DE CUSTOS'!G1838</f>
        <v>61.73</v>
      </c>
      <c r="K565" s="378">
        <v>72.63</v>
      </c>
      <c r="L565" s="378">
        <f t="shared" si="331"/>
        <v>40251.545999999995</v>
      </c>
      <c r="M565" s="474"/>
      <c r="N565" s="47"/>
      <c r="AY565" s="577"/>
      <c r="AZ565" s="502"/>
      <c r="BA565" s="502"/>
      <c r="BB565" s="502"/>
      <c r="BC565" s="502"/>
      <c r="BD565" s="523">
        <f>BG565</f>
        <v>77.03</v>
      </c>
      <c r="BE565" s="523">
        <f>ROUND(BD565*(1+$J$14),2)</f>
        <v>97.68</v>
      </c>
      <c r="BF565" s="523">
        <f>ROUND(BE565*F565,2)</f>
        <v>63687.360000000001</v>
      </c>
      <c r="BG565" s="34">
        <f>'COMPOSIÇÃO AB'!G732</f>
        <v>77.03</v>
      </c>
    </row>
    <row r="566" spans="1:59" s="34" customFormat="1" ht="45">
      <c r="A566" s="471" t="s">
        <v>1055</v>
      </c>
      <c r="B566" s="475">
        <v>98270</v>
      </c>
      <c r="C566" s="471" t="s">
        <v>2504</v>
      </c>
      <c r="D566" s="472" t="s">
        <v>12</v>
      </c>
      <c r="E566" s="472" t="s">
        <v>52</v>
      </c>
      <c r="F566" s="473">
        <v>608</v>
      </c>
      <c r="G566" s="473">
        <f t="shared" si="330"/>
        <v>33.464500000000001</v>
      </c>
      <c r="H566" s="473">
        <f>ROUND(G566*(1+$J$14),2)</f>
        <v>42.44</v>
      </c>
      <c r="I566" s="473">
        <f t="shared" ref="I566" si="346">ROUND(H566*F566,2)</f>
        <v>25803.52</v>
      </c>
      <c r="J566" s="474" t="e">
        <f>IF(B566&lt;&gt;0,VLOOKUP(B566,#REF!,4,FALSE),"")</f>
        <v>#REF!</v>
      </c>
      <c r="K566" s="378" t="s">
        <v>1881</v>
      </c>
      <c r="L566" s="378">
        <f t="shared" si="331"/>
        <v>20346.416000000001</v>
      </c>
      <c r="M566" s="474"/>
      <c r="N566" s="47" t="e">
        <f>IF(B566&lt;&gt;0,VLOOKUP(B566,#REF!,2,FALSE),"")</f>
        <v>#REF!</v>
      </c>
      <c r="AY566" s="577"/>
      <c r="AZ566" s="502"/>
      <c r="BA566" s="502"/>
      <c r="BB566" s="502"/>
      <c r="BC566" s="502"/>
      <c r="BD566" s="523">
        <f>BG566</f>
        <v>48.41</v>
      </c>
      <c r="BE566" s="523">
        <f>ROUND(BD566*(1+$J$14),2)</f>
        <v>61.39</v>
      </c>
      <c r="BF566" s="523">
        <f>ROUND(BE566*F566,2)</f>
        <v>37325.120000000003</v>
      </c>
      <c r="BG566" s="34">
        <f>'COMPOSIÇÃO AB'!G611</f>
        <v>48.41</v>
      </c>
    </row>
    <row r="567" spans="1:59" ht="15" customHeight="1">
      <c r="A567" s="356" t="s">
        <v>1056</v>
      </c>
      <c r="B567" s="356"/>
      <c r="C567" s="356" t="s">
        <v>227</v>
      </c>
      <c r="D567" s="357"/>
      <c r="E567" s="357"/>
      <c r="F567" s="357"/>
      <c r="G567" s="26">
        <f t="shared" si="330"/>
        <v>0</v>
      </c>
      <c r="H567" s="357"/>
      <c r="I567" s="96"/>
      <c r="J567" s="35"/>
      <c r="K567" s="375"/>
      <c r="L567" s="362">
        <f t="shared" si="331"/>
        <v>0</v>
      </c>
      <c r="M567" s="35"/>
      <c r="N567" s="35"/>
      <c r="AY567" s="21"/>
      <c r="AZ567" s="481"/>
      <c r="BA567" s="481"/>
      <c r="BB567" s="481"/>
      <c r="BC567" s="481"/>
      <c r="BD567" s="481"/>
      <c r="BE567" s="481"/>
      <c r="BF567" s="481"/>
    </row>
    <row r="568" spans="1:59" ht="30">
      <c r="A568" s="23" t="s">
        <v>1057</v>
      </c>
      <c r="B568" s="24">
        <v>11214</v>
      </c>
      <c r="C568" s="23" t="s">
        <v>1966</v>
      </c>
      <c r="D568" s="25" t="s">
        <v>44</v>
      </c>
      <c r="E568" s="25" t="s">
        <v>17</v>
      </c>
      <c r="F568" s="26">
        <v>13</v>
      </c>
      <c r="G568" s="26">
        <f t="shared" si="330"/>
        <v>47.183499999999995</v>
      </c>
      <c r="H568" s="26">
        <f>ROUND(G568*(1+$J$14),2)</f>
        <v>59.83</v>
      </c>
      <c r="I568" s="26">
        <f t="shared" ref="I568:I569" si="347">ROUND(H568*F568,2)</f>
        <v>777.79</v>
      </c>
      <c r="J568" s="38">
        <f>'COMPOSIÇÃO DE CUSTOS'!G1991</f>
        <v>47.17</v>
      </c>
      <c r="K568" s="375">
        <v>55.51</v>
      </c>
      <c r="L568" s="362">
        <f t="shared" si="331"/>
        <v>613.38549999999998</v>
      </c>
      <c r="M568" s="38"/>
      <c r="N568" s="35"/>
      <c r="AY568" s="21"/>
      <c r="AZ568" s="481"/>
      <c r="BA568" s="481"/>
      <c r="BB568" s="481"/>
      <c r="BC568" s="481"/>
      <c r="BD568" s="163">
        <f t="shared" ref="BD568" si="348">ROUND(G568*$BH$19,2)</f>
        <v>52.56</v>
      </c>
      <c r="BE568" s="163">
        <f t="shared" ref="BE568:BE610" si="349">ROUND(BD568*(1+$J$14),2)</f>
        <v>66.650000000000006</v>
      </c>
      <c r="BF568" s="163">
        <f>ROUND(BE568*F568,2)</f>
        <v>866.45</v>
      </c>
    </row>
    <row r="569" spans="1:59" ht="30">
      <c r="A569" s="23" t="s">
        <v>1058</v>
      </c>
      <c r="B569" s="24">
        <v>11234</v>
      </c>
      <c r="C569" s="23" t="s">
        <v>1963</v>
      </c>
      <c r="D569" s="25" t="s">
        <v>44</v>
      </c>
      <c r="E569" s="25" t="s">
        <v>17</v>
      </c>
      <c r="F569" s="26">
        <v>162</v>
      </c>
      <c r="G569" s="26">
        <f t="shared" si="330"/>
        <v>80.9285</v>
      </c>
      <c r="H569" s="26">
        <f>ROUND(G569*(1+$J$14),2)</f>
        <v>102.63</v>
      </c>
      <c r="I569" s="26">
        <f t="shared" si="347"/>
        <v>16626.060000000001</v>
      </c>
      <c r="J569" s="38">
        <f>'COMPOSIÇÃO DE CUSTOS'!G1983</f>
        <v>80.930000000000007</v>
      </c>
      <c r="K569" s="375">
        <v>95.21</v>
      </c>
      <c r="L569" s="362">
        <f t="shared" si="331"/>
        <v>13110.416999999999</v>
      </c>
      <c r="M569" s="38"/>
      <c r="N569" s="35"/>
      <c r="AY569" s="21"/>
      <c r="AZ569" s="481"/>
      <c r="BA569" s="481"/>
      <c r="BB569" s="481"/>
      <c r="BC569" s="481"/>
      <c r="BD569" s="163">
        <f t="shared" ref="BD569:BD610" si="350">ROUND(G569*$BH$19,2)</f>
        <v>90.16</v>
      </c>
      <c r="BE569" s="163">
        <f t="shared" si="349"/>
        <v>114.33</v>
      </c>
      <c r="BF569" s="163">
        <f>ROUND(BE569*F569,2)</f>
        <v>18521.46</v>
      </c>
    </row>
    <row r="570" spans="1:59" ht="15" customHeight="1">
      <c r="A570" s="356" t="s">
        <v>1059</v>
      </c>
      <c r="B570" s="356"/>
      <c r="C570" s="356" t="s">
        <v>216</v>
      </c>
      <c r="D570" s="357"/>
      <c r="E570" s="357"/>
      <c r="F570" s="357"/>
      <c r="G570" s="26"/>
      <c r="H570" s="357"/>
      <c r="I570" s="96"/>
      <c r="J570" s="38"/>
      <c r="K570" s="375"/>
      <c r="L570" s="362">
        <f t="shared" si="331"/>
        <v>0</v>
      </c>
      <c r="M570" s="38"/>
      <c r="N570" s="35"/>
      <c r="AY570" s="21"/>
      <c r="AZ570" s="481"/>
      <c r="BA570" s="481"/>
      <c r="BB570" s="481"/>
      <c r="BC570" s="481"/>
      <c r="BD570" s="163"/>
      <c r="BE570" s="163"/>
      <c r="BF570" s="163"/>
    </row>
    <row r="571" spans="1:59" s="62" customFormat="1" ht="30">
      <c r="A571" s="23" t="s">
        <v>1060</v>
      </c>
      <c r="B571" s="25" t="s">
        <v>2285</v>
      </c>
      <c r="C571" s="23" t="s">
        <v>228</v>
      </c>
      <c r="D571" s="25" t="s">
        <v>70</v>
      </c>
      <c r="E571" s="25" t="s">
        <v>17</v>
      </c>
      <c r="F571" s="26">
        <v>13</v>
      </c>
      <c r="G571" s="26">
        <f t="shared" si="330"/>
        <v>43.978999999999999</v>
      </c>
      <c r="H571" s="26">
        <f t="shared" ref="H571:H577" si="351">ROUND(G571*(1+$J$14),2)</f>
        <v>55.77</v>
      </c>
      <c r="I571" s="26">
        <f t="shared" ref="I571" si="352">ROUND(H571*F571,2)</f>
        <v>725.01</v>
      </c>
      <c r="J571" s="64">
        <f>'COMPOSIÇÃO DE CUSTOS'!G1314</f>
        <v>43.97</v>
      </c>
      <c r="K571" s="362">
        <v>51.74</v>
      </c>
      <c r="L571" s="362">
        <f t="shared" si="331"/>
        <v>571.72699999999998</v>
      </c>
      <c r="M571" s="64"/>
      <c r="N571" s="65"/>
      <c r="AY571" s="221"/>
      <c r="AZ571" s="481"/>
      <c r="BA571" s="481"/>
      <c r="BB571" s="481"/>
      <c r="BC571" s="481"/>
      <c r="BD571" s="163">
        <f t="shared" si="350"/>
        <v>48.99</v>
      </c>
      <c r="BE571" s="163">
        <f t="shared" si="349"/>
        <v>62.12</v>
      </c>
      <c r="BF571" s="163">
        <f t="shared" ref="BF571:BF577" si="353">ROUND(BE571*F571,2)</f>
        <v>807.56</v>
      </c>
    </row>
    <row r="572" spans="1:59" s="62" customFormat="1" ht="45">
      <c r="A572" s="23" t="s">
        <v>2217</v>
      </c>
      <c r="B572" s="24">
        <v>95795</v>
      </c>
      <c r="C572" s="23" t="s">
        <v>1707</v>
      </c>
      <c r="D572" s="25" t="s">
        <v>12</v>
      </c>
      <c r="E572" s="25" t="s">
        <v>17</v>
      </c>
      <c r="F572" s="26">
        <v>13</v>
      </c>
      <c r="G572" s="26">
        <f t="shared" si="330"/>
        <v>21.488</v>
      </c>
      <c r="H572" s="26">
        <f t="shared" si="351"/>
        <v>27.25</v>
      </c>
      <c r="I572" s="26">
        <f t="shared" ref="I572:I575" si="354">ROUND(H572*F572,2)</f>
        <v>354.25</v>
      </c>
      <c r="J572" s="64" t="e">
        <f>IF(B572&lt;&gt;0,VLOOKUP(B572,#REF!,4,FALSE),"")</f>
        <v>#REF!</v>
      </c>
      <c r="K572" s="362" t="s">
        <v>3238</v>
      </c>
      <c r="L572" s="362">
        <f t="shared" si="331"/>
        <v>279.34399999999999</v>
      </c>
      <c r="M572" s="64"/>
      <c r="N572" s="65" t="e">
        <f>IF(B572&lt;&gt;0,VLOOKUP(B572,#REF!,2,FALSE),"")</f>
        <v>#REF!</v>
      </c>
      <c r="AY572" s="221"/>
      <c r="AZ572" s="481"/>
      <c r="BA572" s="481"/>
      <c r="BB572" s="481"/>
      <c r="BC572" s="481"/>
      <c r="BD572" s="163">
        <f t="shared" si="350"/>
        <v>23.94</v>
      </c>
      <c r="BE572" s="163">
        <f t="shared" si="349"/>
        <v>30.36</v>
      </c>
      <c r="BF572" s="163">
        <f t="shared" si="353"/>
        <v>394.68</v>
      </c>
    </row>
    <row r="573" spans="1:59" s="62" customFormat="1" ht="45">
      <c r="A573" s="23" t="s">
        <v>2218</v>
      </c>
      <c r="B573" s="24">
        <v>95787</v>
      </c>
      <c r="C573" s="23" t="s">
        <v>1708</v>
      </c>
      <c r="D573" s="25" t="s">
        <v>12</v>
      </c>
      <c r="E573" s="25" t="s">
        <v>17</v>
      </c>
      <c r="F573" s="26">
        <v>5</v>
      </c>
      <c r="G573" s="26">
        <f t="shared" si="330"/>
        <v>18.614999999999998</v>
      </c>
      <c r="H573" s="26">
        <f t="shared" si="351"/>
        <v>23.61</v>
      </c>
      <c r="I573" s="26">
        <f t="shared" si="354"/>
        <v>118.05</v>
      </c>
      <c r="J573" s="64" t="e">
        <f>IF(B573&lt;&gt;0,VLOOKUP(B573,#REF!,4,FALSE),"")</f>
        <v>#REF!</v>
      </c>
      <c r="K573" s="362" t="s">
        <v>1888</v>
      </c>
      <c r="L573" s="362">
        <f t="shared" si="331"/>
        <v>93.074999999999989</v>
      </c>
      <c r="M573" s="64"/>
      <c r="N573" s="65" t="e">
        <f>IF(B573&lt;&gt;0,VLOOKUP(B573,#REF!,2,FALSE),"")</f>
        <v>#REF!</v>
      </c>
      <c r="AY573" s="221"/>
      <c r="AZ573" s="481"/>
      <c r="BA573" s="481"/>
      <c r="BB573" s="481"/>
      <c r="BC573" s="481"/>
      <c r="BD573" s="163">
        <f t="shared" si="350"/>
        <v>20.74</v>
      </c>
      <c r="BE573" s="163">
        <f t="shared" si="349"/>
        <v>26.3</v>
      </c>
      <c r="BF573" s="163">
        <f t="shared" si="353"/>
        <v>131.5</v>
      </c>
    </row>
    <row r="574" spans="1:59" s="62" customFormat="1" ht="45">
      <c r="A574" s="23" t="s">
        <v>2219</v>
      </c>
      <c r="B574" s="24">
        <v>95778</v>
      </c>
      <c r="C574" s="23" t="s">
        <v>1709</v>
      </c>
      <c r="D574" s="25" t="s">
        <v>12</v>
      </c>
      <c r="E574" s="25" t="s">
        <v>17</v>
      </c>
      <c r="F574" s="26">
        <v>2</v>
      </c>
      <c r="G574" s="26">
        <f t="shared" si="330"/>
        <v>19.3035</v>
      </c>
      <c r="H574" s="26">
        <f t="shared" si="351"/>
        <v>24.48</v>
      </c>
      <c r="I574" s="26">
        <f t="shared" si="354"/>
        <v>48.96</v>
      </c>
      <c r="J574" s="64" t="e">
        <f>IF(B574&lt;&gt;0,VLOOKUP(B574,#REF!,4,FALSE),"")</f>
        <v>#REF!</v>
      </c>
      <c r="K574" s="362" t="s">
        <v>3137</v>
      </c>
      <c r="L574" s="362">
        <f t="shared" si="331"/>
        <v>38.606999999999999</v>
      </c>
      <c r="M574" s="64"/>
      <c r="N574" s="65" t="e">
        <f>IF(B574&lt;&gt;0,VLOOKUP(B574,#REF!,2,FALSE),"")</f>
        <v>#REF!</v>
      </c>
      <c r="AY574" s="221"/>
      <c r="AZ574" s="481"/>
      <c r="BA574" s="481"/>
      <c r="BB574" s="481"/>
      <c r="BC574" s="481"/>
      <c r="BD574" s="163">
        <f t="shared" si="350"/>
        <v>21.5</v>
      </c>
      <c r="BE574" s="163">
        <f t="shared" si="349"/>
        <v>27.26</v>
      </c>
      <c r="BF574" s="163">
        <f t="shared" si="353"/>
        <v>54.52</v>
      </c>
    </row>
    <row r="575" spans="1:59" s="62" customFormat="1" ht="45">
      <c r="A575" s="23" t="s">
        <v>2220</v>
      </c>
      <c r="B575" s="24">
        <v>95779</v>
      </c>
      <c r="C575" s="23" t="s">
        <v>1710</v>
      </c>
      <c r="D575" s="25" t="s">
        <v>12</v>
      </c>
      <c r="E575" s="25" t="s">
        <v>17</v>
      </c>
      <c r="F575" s="26">
        <v>1</v>
      </c>
      <c r="G575" s="26">
        <f t="shared" si="330"/>
        <v>17.442</v>
      </c>
      <c r="H575" s="26">
        <f t="shared" si="351"/>
        <v>22.12</v>
      </c>
      <c r="I575" s="26">
        <f t="shared" si="354"/>
        <v>22.12</v>
      </c>
      <c r="J575" s="64" t="e">
        <f>IF(B575&lt;&gt;0,VLOOKUP(B575,#REF!,4,FALSE),"")</f>
        <v>#REF!</v>
      </c>
      <c r="K575" s="362" t="s">
        <v>1900</v>
      </c>
      <c r="L575" s="362">
        <f t="shared" si="331"/>
        <v>17.442</v>
      </c>
      <c r="M575" s="64"/>
      <c r="N575" s="65" t="e">
        <f>IF(B575&lt;&gt;0,VLOOKUP(B575,#REF!,2,FALSE),"")</f>
        <v>#REF!</v>
      </c>
      <c r="AY575" s="221"/>
      <c r="AZ575" s="481"/>
      <c r="BA575" s="481"/>
      <c r="BB575" s="481"/>
      <c r="BC575" s="481"/>
      <c r="BD575" s="163">
        <f t="shared" si="350"/>
        <v>19.43</v>
      </c>
      <c r="BE575" s="163">
        <f t="shared" si="349"/>
        <v>24.64</v>
      </c>
      <c r="BF575" s="163">
        <f t="shared" si="353"/>
        <v>24.64</v>
      </c>
    </row>
    <row r="576" spans="1:59" s="62" customFormat="1" ht="49.5" customHeight="1">
      <c r="A576" s="41" t="s">
        <v>3641</v>
      </c>
      <c r="B576" s="24">
        <v>97881</v>
      </c>
      <c r="C576" s="470" t="s">
        <v>3636</v>
      </c>
      <c r="D576" s="25" t="s">
        <v>12</v>
      </c>
      <c r="E576" s="25" t="s">
        <v>17</v>
      </c>
      <c r="F576" s="26">
        <v>5</v>
      </c>
      <c r="G576" s="26">
        <f t="shared" si="330"/>
        <v>84.243499999999997</v>
      </c>
      <c r="H576" s="26">
        <f t="shared" si="351"/>
        <v>106.83</v>
      </c>
      <c r="I576" s="26">
        <f t="shared" ref="I576:I577" si="355">ROUND(H576*F576,2)</f>
        <v>534.15</v>
      </c>
      <c r="J576" s="64" t="e">
        <f>J500</f>
        <v>#REF!</v>
      </c>
      <c r="K576" s="362" t="s">
        <v>3240</v>
      </c>
      <c r="L576" s="362">
        <f t="shared" si="331"/>
        <v>421.21749999999997</v>
      </c>
      <c r="M576" s="64"/>
      <c r="N576" s="65" t="e">
        <f>IF(B576&lt;&gt;0,VLOOKUP(B576,#REF!,2,FALSE),"")</f>
        <v>#REF!</v>
      </c>
      <c r="AY576" s="221"/>
      <c r="AZ576" s="481"/>
      <c r="BA576" s="481"/>
      <c r="BB576" s="481"/>
      <c r="BC576" s="481"/>
      <c r="BD576" s="163">
        <f t="shared" si="350"/>
        <v>93.85</v>
      </c>
      <c r="BE576" s="163">
        <f t="shared" si="349"/>
        <v>119.01</v>
      </c>
      <c r="BF576" s="163">
        <f t="shared" si="353"/>
        <v>595.04999999999995</v>
      </c>
    </row>
    <row r="577" spans="1:58" s="62" customFormat="1" ht="45">
      <c r="A577" s="41" t="s">
        <v>3642</v>
      </c>
      <c r="B577" s="24">
        <v>97883</v>
      </c>
      <c r="C577" s="470" t="s">
        <v>3634</v>
      </c>
      <c r="D577" s="25" t="s">
        <v>12</v>
      </c>
      <c r="E577" s="25" t="s">
        <v>17</v>
      </c>
      <c r="F577" s="26">
        <v>12</v>
      </c>
      <c r="G577" s="26">
        <f t="shared" si="330"/>
        <v>254.422</v>
      </c>
      <c r="H577" s="26">
        <f t="shared" si="351"/>
        <v>322.63</v>
      </c>
      <c r="I577" s="26">
        <f t="shared" si="355"/>
        <v>3871.56</v>
      </c>
      <c r="J577" s="64" t="e">
        <f>J499</f>
        <v>#REF!</v>
      </c>
      <c r="K577" s="362" t="s">
        <v>3241</v>
      </c>
      <c r="L577" s="362">
        <f t="shared" si="331"/>
        <v>3053.0639999999999</v>
      </c>
      <c r="M577" s="64"/>
      <c r="N577" s="65" t="e">
        <f>IF(B577&lt;&gt;0,VLOOKUP(B577,#REF!,2,FALSE),"")</f>
        <v>#REF!</v>
      </c>
      <c r="AY577" s="221"/>
      <c r="AZ577" s="481"/>
      <c r="BA577" s="481"/>
      <c r="BB577" s="481"/>
      <c r="BC577" s="481"/>
      <c r="BD577" s="163">
        <f>ROUND(G577*$BH$19,2)</f>
        <v>283.43</v>
      </c>
      <c r="BE577" s="163">
        <f t="shared" si="349"/>
        <v>359.42</v>
      </c>
      <c r="BF577" s="163">
        <f t="shared" si="353"/>
        <v>4313.04</v>
      </c>
    </row>
    <row r="578" spans="1:58" s="62" customFormat="1" ht="15" customHeight="1">
      <c r="A578" s="356" t="s">
        <v>1061</v>
      </c>
      <c r="B578" s="356"/>
      <c r="C578" s="356" t="s">
        <v>2277</v>
      </c>
      <c r="D578" s="357"/>
      <c r="E578" s="357"/>
      <c r="F578" s="357"/>
      <c r="G578" s="26"/>
      <c r="H578" s="357"/>
      <c r="I578" s="96"/>
      <c r="J578" s="65"/>
      <c r="K578" s="362"/>
      <c r="L578" s="362">
        <f t="shared" si="331"/>
        <v>0</v>
      </c>
      <c r="M578" s="65"/>
      <c r="N578" s="65"/>
      <c r="AY578" s="221"/>
      <c r="AZ578" s="481"/>
      <c r="BA578" s="481"/>
      <c r="BB578" s="481"/>
      <c r="BC578" s="481"/>
      <c r="BD578" s="163"/>
      <c r="BE578" s="163"/>
      <c r="BF578" s="163"/>
    </row>
    <row r="579" spans="1:58" s="62" customFormat="1" ht="30">
      <c r="A579" s="23" t="s">
        <v>1062</v>
      </c>
      <c r="B579" s="24">
        <v>7384</v>
      </c>
      <c r="C579" s="23" t="s">
        <v>229</v>
      </c>
      <c r="D579" s="25" t="s">
        <v>44</v>
      </c>
      <c r="E579" s="25" t="s">
        <v>52</v>
      </c>
      <c r="F579" s="26">
        <v>29</v>
      </c>
      <c r="G579" s="26">
        <f t="shared" si="330"/>
        <v>19.244</v>
      </c>
      <c r="H579" s="26">
        <f>ROUND(G579*(1+$J$14),2)</f>
        <v>24.4</v>
      </c>
      <c r="I579" s="26">
        <f t="shared" ref="I579" si="356">ROUND(H579*F579,2)</f>
        <v>707.6</v>
      </c>
      <c r="J579" s="64">
        <f>J479</f>
        <v>19.25</v>
      </c>
      <c r="K579" s="362">
        <v>22.64</v>
      </c>
      <c r="L579" s="362">
        <f t="shared" si="331"/>
        <v>558.07600000000002</v>
      </c>
      <c r="M579" s="64"/>
      <c r="N579" s="65"/>
      <c r="AY579" s="221"/>
      <c r="AZ579" s="481"/>
      <c r="BA579" s="481"/>
      <c r="BB579" s="481"/>
      <c r="BC579" s="481"/>
      <c r="BD579" s="163">
        <f t="shared" si="350"/>
        <v>21.44</v>
      </c>
      <c r="BE579" s="163">
        <f t="shared" si="349"/>
        <v>27.19</v>
      </c>
      <c r="BF579" s="163">
        <f>ROUND(BE579*F579,2)</f>
        <v>788.51</v>
      </c>
    </row>
    <row r="580" spans="1:58" s="62" customFormat="1" ht="30">
      <c r="A580" s="23" t="s">
        <v>1063</v>
      </c>
      <c r="B580" s="24">
        <v>7879</v>
      </c>
      <c r="C580" s="23" t="s">
        <v>1764</v>
      </c>
      <c r="D580" s="25" t="s">
        <v>44</v>
      </c>
      <c r="E580" s="25" t="s">
        <v>17</v>
      </c>
      <c r="F580" s="26">
        <v>5</v>
      </c>
      <c r="G580" s="26">
        <f t="shared" si="330"/>
        <v>9.4945000000000004</v>
      </c>
      <c r="H580" s="26">
        <f>ROUND(G580*(1+$J$14),2)</f>
        <v>12.04</v>
      </c>
      <c r="I580" s="26">
        <f t="shared" ref="I580" si="357">ROUND(H580*F580,2)</f>
        <v>60.2</v>
      </c>
      <c r="J580" s="64">
        <f>'COMPOSIÇÃO DE CUSTOS'!G1258</f>
        <v>9.49</v>
      </c>
      <c r="K580" s="362">
        <v>11.17</v>
      </c>
      <c r="L580" s="362">
        <f t="shared" si="331"/>
        <v>47.472500000000004</v>
      </c>
      <c r="M580" s="64"/>
      <c r="N580" s="65"/>
      <c r="AY580" s="221"/>
      <c r="AZ580" s="481"/>
      <c r="BA580" s="481"/>
      <c r="BB580" s="481"/>
      <c r="BC580" s="481"/>
      <c r="BD580" s="163">
        <f t="shared" si="350"/>
        <v>10.58</v>
      </c>
      <c r="BE580" s="163">
        <f t="shared" si="349"/>
        <v>13.42</v>
      </c>
      <c r="BF580" s="163">
        <f>ROUND(BE580*F580,2)</f>
        <v>67.099999999999994</v>
      </c>
    </row>
    <row r="581" spans="1:58" s="62" customFormat="1" ht="30">
      <c r="A581" s="23" t="s">
        <v>1064</v>
      </c>
      <c r="B581" s="24">
        <v>12573</v>
      </c>
      <c r="C581" s="23" t="s">
        <v>1760</v>
      </c>
      <c r="D581" s="25" t="s">
        <v>44</v>
      </c>
      <c r="E581" s="25" t="s">
        <v>17</v>
      </c>
      <c r="F581" s="26">
        <v>43</v>
      </c>
      <c r="G581" s="26">
        <f t="shared" si="330"/>
        <v>9.5794999999999995</v>
      </c>
      <c r="H581" s="26">
        <f>ROUND(G581*(1+$J$14),2)</f>
        <v>12.15</v>
      </c>
      <c r="I581" s="26">
        <f t="shared" ref="I581:I583" si="358">ROUND(H581*F581,2)</f>
        <v>522.45000000000005</v>
      </c>
      <c r="J581" s="64">
        <f>J481</f>
        <v>9.58</v>
      </c>
      <c r="K581" s="362">
        <v>11.27</v>
      </c>
      <c r="L581" s="362">
        <f t="shared" si="331"/>
        <v>411.91849999999999</v>
      </c>
      <c r="M581" s="64"/>
      <c r="N581" s="65"/>
      <c r="AY581" s="221"/>
      <c r="AZ581" s="481"/>
      <c r="BA581" s="481"/>
      <c r="BB581" s="481"/>
      <c r="BC581" s="481"/>
      <c r="BD581" s="163">
        <f>ROUND(G581*$BH$19,2)</f>
        <v>10.67</v>
      </c>
      <c r="BE581" s="163">
        <f t="shared" si="349"/>
        <v>13.53</v>
      </c>
      <c r="BF581" s="163">
        <f>ROUND(BE581*F581,2)</f>
        <v>581.79</v>
      </c>
    </row>
    <row r="582" spans="1:58" s="62" customFormat="1" ht="30">
      <c r="A582" s="23" t="s">
        <v>1065</v>
      </c>
      <c r="B582" s="24">
        <v>12976</v>
      </c>
      <c r="C582" s="23" t="s">
        <v>211</v>
      </c>
      <c r="D582" s="25" t="s">
        <v>44</v>
      </c>
      <c r="E582" s="25" t="s">
        <v>17</v>
      </c>
      <c r="F582" s="26">
        <v>44</v>
      </c>
      <c r="G582" s="26">
        <f t="shared" si="330"/>
        <v>11.662000000000001</v>
      </c>
      <c r="H582" s="26">
        <f>ROUND(G582*(1+$J$14),2)</f>
        <v>14.79</v>
      </c>
      <c r="I582" s="26">
        <f t="shared" si="358"/>
        <v>650.76</v>
      </c>
      <c r="J582" s="64">
        <f>J482</f>
        <v>11.66</v>
      </c>
      <c r="K582" s="362">
        <v>13.72</v>
      </c>
      <c r="L582" s="362">
        <f t="shared" si="331"/>
        <v>513.12800000000004</v>
      </c>
      <c r="M582" s="64"/>
      <c r="N582" s="65"/>
      <c r="AY582" s="221"/>
      <c r="AZ582" s="481"/>
      <c r="BA582" s="481"/>
      <c r="BB582" s="481"/>
      <c r="BC582" s="481"/>
      <c r="BD582" s="163">
        <f>ROUND(G582*$BH$19,2)</f>
        <v>12.99</v>
      </c>
      <c r="BE582" s="163">
        <f t="shared" si="349"/>
        <v>16.47</v>
      </c>
      <c r="BF582" s="163">
        <f>ROUND(BE582*F582,2)</f>
        <v>724.68</v>
      </c>
    </row>
    <row r="583" spans="1:58" s="62" customFormat="1" ht="30">
      <c r="A583" s="23" t="s">
        <v>1066</v>
      </c>
      <c r="B583" s="24">
        <v>12977</v>
      </c>
      <c r="C583" s="23" t="s">
        <v>212</v>
      </c>
      <c r="D583" s="25" t="s">
        <v>44</v>
      </c>
      <c r="E583" s="25" t="s">
        <v>17</v>
      </c>
      <c r="F583" s="26">
        <v>5</v>
      </c>
      <c r="G583" s="26">
        <f t="shared" si="330"/>
        <v>13.5745</v>
      </c>
      <c r="H583" s="26">
        <f>ROUND(G583*(1+$J$14),2)</f>
        <v>17.21</v>
      </c>
      <c r="I583" s="26">
        <f t="shared" si="358"/>
        <v>86.05</v>
      </c>
      <c r="J583" s="64">
        <f>J483</f>
        <v>13.57</v>
      </c>
      <c r="K583" s="362">
        <v>15.97</v>
      </c>
      <c r="L583" s="362">
        <f t="shared" si="331"/>
        <v>67.872500000000002</v>
      </c>
      <c r="M583" s="64"/>
      <c r="N583" s="65"/>
      <c r="AY583" s="221"/>
      <c r="AZ583" s="481"/>
      <c r="BA583" s="481"/>
      <c r="BB583" s="481"/>
      <c r="BC583" s="481"/>
      <c r="BD583" s="163">
        <f t="shared" si="350"/>
        <v>15.12</v>
      </c>
      <c r="BE583" s="163">
        <f t="shared" si="349"/>
        <v>19.170000000000002</v>
      </c>
      <c r="BF583" s="163">
        <f>ROUND(BE583*F583,2)</f>
        <v>95.85</v>
      </c>
    </row>
    <row r="584" spans="1:58" ht="26.25" customHeight="1">
      <c r="A584" s="23"/>
      <c r="B584" s="25"/>
      <c r="C584" s="23"/>
      <c r="D584" s="25"/>
      <c r="E584" s="25"/>
      <c r="F584" s="26"/>
      <c r="G584" s="26"/>
      <c r="H584" s="26"/>
      <c r="I584" s="26"/>
      <c r="J584" s="35"/>
      <c r="K584" s="375"/>
      <c r="L584" s="362">
        <f t="shared" si="331"/>
        <v>0</v>
      </c>
      <c r="M584" s="35"/>
      <c r="N584" s="35"/>
      <c r="AY584" s="21"/>
      <c r="AZ584" s="481"/>
      <c r="BA584" s="481"/>
      <c r="BB584" s="481"/>
      <c r="BC584" s="481"/>
      <c r="BD584" s="163"/>
      <c r="BE584" s="163"/>
      <c r="BF584" s="163"/>
    </row>
    <row r="585" spans="1:58" s="45" customFormat="1">
      <c r="A585" s="356" t="s">
        <v>1067</v>
      </c>
      <c r="B585" s="356"/>
      <c r="C585" s="356" t="s">
        <v>230</v>
      </c>
      <c r="D585" s="357"/>
      <c r="E585" s="357"/>
      <c r="F585" s="357"/>
      <c r="G585" s="26"/>
      <c r="H585" s="357"/>
      <c r="I585" s="96">
        <f>ROUND(SUM(I586:I614),2)</f>
        <v>57828.74</v>
      </c>
      <c r="J585" s="57"/>
      <c r="K585" s="51"/>
      <c r="L585" s="362">
        <f t="shared" si="331"/>
        <v>0</v>
      </c>
      <c r="M585" s="51"/>
      <c r="N585" s="52"/>
      <c r="AY585" s="56"/>
      <c r="AZ585" s="481"/>
      <c r="BA585" s="481"/>
      <c r="BB585" s="481"/>
      <c r="BC585" s="481"/>
      <c r="BD585" s="163"/>
      <c r="BE585" s="163"/>
      <c r="BF585" s="96">
        <f>ROUND(SUM(BF586:BF614),2)</f>
        <v>67179.7</v>
      </c>
    </row>
    <row r="586" spans="1:58" s="62" customFormat="1" ht="31.5" customHeight="1">
      <c r="A586" s="356" t="s">
        <v>1068</v>
      </c>
      <c r="B586" s="356"/>
      <c r="C586" s="356" t="s">
        <v>231</v>
      </c>
      <c r="D586" s="357"/>
      <c r="E586" s="357"/>
      <c r="F586" s="357"/>
      <c r="G586" s="26"/>
      <c r="H586" s="357"/>
      <c r="I586" s="96"/>
      <c r="J586" s="68"/>
      <c r="K586" s="385"/>
      <c r="L586" s="362">
        <f t="shared" si="331"/>
        <v>0</v>
      </c>
      <c r="M586" s="67"/>
      <c r="N586" s="65"/>
      <c r="AY586" s="221"/>
      <c r="AZ586" s="481"/>
      <c r="BA586" s="481"/>
      <c r="BB586" s="481"/>
      <c r="BC586" s="481"/>
      <c r="BD586" s="163"/>
      <c r="BE586" s="163"/>
      <c r="BF586" s="163"/>
    </row>
    <row r="587" spans="1:58" s="62" customFormat="1">
      <c r="A587" s="23" t="s">
        <v>1069</v>
      </c>
      <c r="B587" s="24" t="s">
        <v>2298</v>
      </c>
      <c r="C587" s="23" t="s">
        <v>2664</v>
      </c>
      <c r="D587" s="25" t="s">
        <v>1915</v>
      </c>
      <c r="E587" s="25" t="s">
        <v>17</v>
      </c>
      <c r="F587" s="26">
        <f>8+9</f>
        <v>17</v>
      </c>
      <c r="G587" s="26">
        <f t="shared" si="330"/>
        <v>567.74900000000002</v>
      </c>
      <c r="H587" s="26">
        <f>ROUND(G587*(1+$J$14),2)</f>
        <v>719.96</v>
      </c>
      <c r="I587" s="26">
        <f t="shared" ref="I587" si="359">ROUND(H587*F587,2)</f>
        <v>12239.32</v>
      </c>
      <c r="J587" s="64">
        <f>'COMPOSIÇÃO DE CUSTOS'!G1321</f>
        <v>567.75</v>
      </c>
      <c r="K587" s="362">
        <v>667.94</v>
      </c>
      <c r="L587" s="362">
        <f t="shared" si="331"/>
        <v>9651.7330000000002</v>
      </c>
      <c r="M587" s="64"/>
      <c r="N587" s="65"/>
      <c r="AY587" s="221"/>
      <c r="AZ587" s="481"/>
      <c r="BA587" s="481"/>
      <c r="BB587" s="481"/>
      <c r="BC587" s="481"/>
      <c r="BD587" s="163">
        <f t="shared" si="350"/>
        <v>632.48</v>
      </c>
      <c r="BE587" s="163">
        <f t="shared" si="349"/>
        <v>802.05</v>
      </c>
      <c r="BF587" s="163">
        <f>ROUND(BE587*F587,2)</f>
        <v>13634.85</v>
      </c>
    </row>
    <row r="588" spans="1:58" s="62" customFormat="1" ht="30">
      <c r="A588" s="23" t="s">
        <v>2294</v>
      </c>
      <c r="B588" s="24" t="s">
        <v>2300</v>
      </c>
      <c r="C588" s="23" t="s">
        <v>2494</v>
      </c>
      <c r="D588" s="25" t="s">
        <v>1915</v>
      </c>
      <c r="E588" s="25" t="s">
        <v>17</v>
      </c>
      <c r="F588" s="26">
        <v>7</v>
      </c>
      <c r="G588" s="26">
        <f t="shared" si="330"/>
        <v>2298.7314999999999</v>
      </c>
      <c r="H588" s="26">
        <f>ROUND(G588*(1+$J$14),2)</f>
        <v>2915.02</v>
      </c>
      <c r="I588" s="26">
        <f t="shared" ref="I588" si="360">ROUND(H588*F588,2)</f>
        <v>20405.14</v>
      </c>
      <c r="J588" s="64">
        <f>'COMPOSIÇÃO DE CUSTOS'!G1328</f>
        <v>2298.73</v>
      </c>
      <c r="K588" s="362">
        <v>2704.39</v>
      </c>
      <c r="L588" s="362">
        <f t="shared" si="331"/>
        <v>16091.120499999999</v>
      </c>
      <c r="M588" s="64"/>
      <c r="N588" s="65"/>
      <c r="AY588" s="221"/>
      <c r="AZ588" s="481"/>
      <c r="BA588" s="481"/>
      <c r="BB588" s="481"/>
      <c r="BC588" s="481"/>
      <c r="BD588" s="163">
        <f t="shared" si="350"/>
        <v>2560.81</v>
      </c>
      <c r="BE588" s="163">
        <f t="shared" si="349"/>
        <v>3247.36</v>
      </c>
      <c r="BF588" s="163">
        <f>ROUND(BE588*F588,2)</f>
        <v>22731.52</v>
      </c>
    </row>
    <row r="589" spans="1:58" s="62" customFormat="1">
      <c r="A589" s="23" t="s">
        <v>2295</v>
      </c>
      <c r="B589" s="24">
        <v>59624</v>
      </c>
      <c r="C589" s="23" t="s">
        <v>2303</v>
      </c>
      <c r="D589" s="25" t="s">
        <v>1915</v>
      </c>
      <c r="E589" s="25" t="s">
        <v>17</v>
      </c>
      <c r="F589" s="26">
        <v>1</v>
      </c>
      <c r="G589" s="26">
        <f t="shared" si="330"/>
        <v>517.31000000000006</v>
      </c>
      <c r="H589" s="26">
        <f>ROUND(G589*(1+$J$14),2)</f>
        <v>656</v>
      </c>
      <c r="I589" s="26">
        <f t="shared" ref="I589" si="361">ROUND(H589*F589,2)</f>
        <v>656</v>
      </c>
      <c r="J589" s="64">
        <f>'COMPOSIÇÃO DE CUSTOS'!G1335</f>
        <v>517.30999999999995</v>
      </c>
      <c r="K589" s="362">
        <v>608.6</v>
      </c>
      <c r="L589" s="362">
        <f t="shared" si="331"/>
        <v>517.31000000000006</v>
      </c>
      <c r="M589" s="64"/>
      <c r="N589" s="65"/>
      <c r="AY589" s="221"/>
      <c r="AZ589" s="481"/>
      <c r="BA589" s="481"/>
      <c r="BB589" s="481"/>
      <c r="BC589" s="481"/>
      <c r="BD589" s="163">
        <f t="shared" si="350"/>
        <v>576.29</v>
      </c>
      <c r="BE589" s="163">
        <f t="shared" si="349"/>
        <v>730.79</v>
      </c>
      <c r="BF589" s="163">
        <f>ROUND(BE589*F589,2)</f>
        <v>730.79</v>
      </c>
    </row>
    <row r="590" spans="1:58" s="62" customFormat="1">
      <c r="A590" s="23" t="s">
        <v>2296</v>
      </c>
      <c r="B590" s="25" t="s">
        <v>2305</v>
      </c>
      <c r="C590" s="23" t="s">
        <v>232</v>
      </c>
      <c r="D590" s="25" t="s">
        <v>1915</v>
      </c>
      <c r="E590" s="25" t="s">
        <v>17</v>
      </c>
      <c r="F590" s="26">
        <v>8</v>
      </c>
      <c r="G590" s="26">
        <f t="shared" si="330"/>
        <v>92.820000000000007</v>
      </c>
      <c r="H590" s="26">
        <f>ROUND(G590*(1+$J$14),2)</f>
        <v>117.71</v>
      </c>
      <c r="I590" s="26">
        <f t="shared" ref="I590" si="362">ROUND(H590*F590,2)</f>
        <v>941.68</v>
      </c>
      <c r="J590" s="64">
        <f>'COMPOSIÇÃO DE CUSTOS'!G1342</f>
        <v>92.82</v>
      </c>
      <c r="K590" s="362">
        <v>109.2</v>
      </c>
      <c r="L590" s="362">
        <f t="shared" si="331"/>
        <v>742.56000000000006</v>
      </c>
      <c r="M590" s="64"/>
      <c r="N590" s="65"/>
      <c r="AY590" s="221"/>
      <c r="AZ590" s="481"/>
      <c r="BA590" s="481"/>
      <c r="BB590" s="481"/>
      <c r="BC590" s="481"/>
      <c r="BD590" s="163">
        <f t="shared" si="350"/>
        <v>103.4</v>
      </c>
      <c r="BE590" s="163">
        <f t="shared" si="349"/>
        <v>131.12</v>
      </c>
      <c r="BF590" s="163">
        <f>ROUND(BE590*F590,2)</f>
        <v>1048.96</v>
      </c>
    </row>
    <row r="591" spans="1:58" s="62" customFormat="1">
      <c r="A591" s="23" t="s">
        <v>2297</v>
      </c>
      <c r="B591" s="24">
        <v>8016</v>
      </c>
      <c r="C591" s="23" t="s">
        <v>233</v>
      </c>
      <c r="D591" s="25" t="s">
        <v>44</v>
      </c>
      <c r="E591" s="25" t="s">
        <v>17</v>
      </c>
      <c r="F591" s="26">
        <v>1</v>
      </c>
      <c r="G591" s="26">
        <f t="shared" si="330"/>
        <v>1886.7449999999999</v>
      </c>
      <c r="H591" s="26">
        <f>ROUND(G591*(1+$J$14),2)</f>
        <v>2392.58</v>
      </c>
      <c r="I591" s="26">
        <f t="shared" ref="I591" si="363">ROUND(H591*F591,2)</f>
        <v>2392.58</v>
      </c>
      <c r="J591" s="64">
        <f>'COMPOSIÇÃO DE CUSTOS'!G1346</f>
        <v>1886.75</v>
      </c>
      <c r="K591" s="362">
        <v>2219.6999999999998</v>
      </c>
      <c r="L591" s="362">
        <f t="shared" si="331"/>
        <v>1886.7449999999999</v>
      </c>
      <c r="M591" s="64"/>
      <c r="N591" s="65"/>
      <c r="AY591" s="221"/>
      <c r="AZ591" s="481"/>
      <c r="BA591" s="481"/>
      <c r="BB591" s="481"/>
      <c r="BC591" s="481"/>
      <c r="BD591" s="163">
        <f t="shared" si="350"/>
        <v>2101.85</v>
      </c>
      <c r="BE591" s="163">
        <f t="shared" si="349"/>
        <v>2665.36</v>
      </c>
      <c r="BF591" s="163">
        <f>ROUND(BE591*F591,2)</f>
        <v>2665.36</v>
      </c>
    </row>
    <row r="592" spans="1:58" s="62" customFormat="1" ht="15" customHeight="1">
      <c r="A592" s="356" t="s">
        <v>1070</v>
      </c>
      <c r="B592" s="142"/>
      <c r="C592" s="356" t="s">
        <v>219</v>
      </c>
      <c r="D592" s="357"/>
      <c r="E592" s="357"/>
      <c r="F592" s="357"/>
      <c r="G592" s="26"/>
      <c r="H592" s="357"/>
      <c r="I592" s="96"/>
      <c r="J592" s="65"/>
      <c r="K592" s="362"/>
      <c r="L592" s="362">
        <f t="shared" si="331"/>
        <v>0</v>
      </c>
      <c r="M592" s="65"/>
      <c r="N592" s="65"/>
      <c r="AY592" s="221"/>
      <c r="AZ592" s="481"/>
      <c r="BA592" s="481"/>
      <c r="BB592" s="481"/>
      <c r="BC592" s="481"/>
      <c r="BD592" s="163"/>
      <c r="BE592" s="163"/>
      <c r="BF592" s="163"/>
    </row>
    <row r="593" spans="1:58" s="62" customFormat="1" ht="30">
      <c r="A593" s="143" t="s">
        <v>1071</v>
      </c>
      <c r="B593" s="144">
        <f>B508</f>
        <v>11419</v>
      </c>
      <c r="C593" s="145" t="s">
        <v>220</v>
      </c>
      <c r="D593" s="25" t="s">
        <v>44</v>
      </c>
      <c r="E593" s="25" t="s">
        <v>17</v>
      </c>
      <c r="F593" s="26">
        <v>1</v>
      </c>
      <c r="G593" s="26">
        <f t="shared" si="330"/>
        <v>17.977499999999999</v>
      </c>
      <c r="H593" s="26">
        <f t="shared" ref="H593:H602" si="364">ROUND(G593*(1+$J$14),2)</f>
        <v>22.8</v>
      </c>
      <c r="I593" s="26">
        <f t="shared" ref="I593:I594" si="365">ROUND(H593*F593,2)</f>
        <v>22.8</v>
      </c>
      <c r="J593" s="64">
        <f>J508</f>
        <v>21.15</v>
      </c>
      <c r="K593" s="362">
        <v>21.15</v>
      </c>
      <c r="L593" s="362">
        <f t="shared" si="331"/>
        <v>17.977499999999999</v>
      </c>
      <c r="M593" s="64"/>
      <c r="N593" s="65"/>
      <c r="AY593" s="221"/>
      <c r="AZ593" s="481"/>
      <c r="BA593" s="481"/>
      <c r="BB593" s="481"/>
      <c r="BC593" s="481"/>
      <c r="BD593" s="163">
        <f t="shared" si="350"/>
        <v>20.03</v>
      </c>
      <c r="BE593" s="163">
        <f t="shared" si="349"/>
        <v>25.4</v>
      </c>
      <c r="BF593" s="163">
        <f t="shared" ref="BF593:BF602" si="366">ROUND(BE593*F593,2)</f>
        <v>25.4</v>
      </c>
    </row>
    <row r="594" spans="1:58" s="62" customFormat="1" ht="45">
      <c r="A594" s="143" t="s">
        <v>2286</v>
      </c>
      <c r="B594" s="144">
        <f>B519</f>
        <v>8362</v>
      </c>
      <c r="C594" s="145" t="s">
        <v>222</v>
      </c>
      <c r="D594" s="25" t="s">
        <v>44</v>
      </c>
      <c r="E594" s="25" t="s">
        <v>17</v>
      </c>
      <c r="F594" s="26">
        <v>1</v>
      </c>
      <c r="G594" s="26">
        <f t="shared" si="330"/>
        <v>16.3965</v>
      </c>
      <c r="H594" s="26">
        <f t="shared" si="364"/>
        <v>20.79</v>
      </c>
      <c r="I594" s="26">
        <f t="shared" si="365"/>
        <v>20.79</v>
      </c>
      <c r="J594" s="64">
        <f>J519</f>
        <v>16.399999999999999</v>
      </c>
      <c r="K594" s="362">
        <v>19.29</v>
      </c>
      <c r="L594" s="362">
        <f t="shared" si="331"/>
        <v>16.3965</v>
      </c>
      <c r="M594" s="64"/>
      <c r="N594" s="65"/>
      <c r="AY594" s="221"/>
      <c r="AZ594" s="481"/>
      <c r="BA594" s="481"/>
      <c r="BB594" s="481"/>
      <c r="BC594" s="481"/>
      <c r="BD594" s="163">
        <f t="shared" si="350"/>
        <v>18.27</v>
      </c>
      <c r="BE594" s="163">
        <f t="shared" si="349"/>
        <v>23.17</v>
      </c>
      <c r="BF594" s="163">
        <f t="shared" si="366"/>
        <v>23.17</v>
      </c>
    </row>
    <row r="595" spans="1:58" s="62" customFormat="1" ht="30">
      <c r="A595" s="143" t="s">
        <v>2287</v>
      </c>
      <c r="B595" s="24">
        <v>98304</v>
      </c>
      <c r="C595" s="145" t="s">
        <v>2506</v>
      </c>
      <c r="D595" s="25" t="s">
        <v>12</v>
      </c>
      <c r="E595" s="25" t="s">
        <v>17</v>
      </c>
      <c r="F595" s="26">
        <v>1</v>
      </c>
      <c r="G595" s="26">
        <f t="shared" si="330"/>
        <v>732.14750000000004</v>
      </c>
      <c r="H595" s="26">
        <f t="shared" si="364"/>
        <v>928.44</v>
      </c>
      <c r="I595" s="26">
        <f t="shared" ref="I595:I597" si="367">ROUND(H595*F595,2)</f>
        <v>928.44</v>
      </c>
      <c r="J595" s="64" t="e">
        <f>IF(B595&lt;&gt;0,VLOOKUP(B595,#REF!,4,FALSE),"")</f>
        <v>#REF!</v>
      </c>
      <c r="K595" s="362" t="s">
        <v>3169</v>
      </c>
      <c r="L595" s="362">
        <f t="shared" si="331"/>
        <v>732.14750000000004</v>
      </c>
      <c r="M595" s="64"/>
      <c r="N595" s="65" t="e">
        <f>IF(B595&lt;&gt;0,VLOOKUP(B595,#REF!,2,FALSE),"")</f>
        <v>#REF!</v>
      </c>
      <c r="AY595" s="221"/>
      <c r="AZ595" s="481"/>
      <c r="BA595" s="481"/>
      <c r="BB595" s="481"/>
      <c r="BC595" s="481"/>
      <c r="BD595" s="163">
        <f t="shared" si="350"/>
        <v>815.62</v>
      </c>
      <c r="BE595" s="163">
        <f t="shared" si="349"/>
        <v>1034.29</v>
      </c>
      <c r="BF595" s="163">
        <f t="shared" si="366"/>
        <v>1034.29</v>
      </c>
    </row>
    <row r="596" spans="1:58" s="62" customFormat="1" ht="30">
      <c r="A596" s="143" t="s">
        <v>2288</v>
      </c>
      <c r="B596" s="144">
        <v>755</v>
      </c>
      <c r="C596" s="145" t="s">
        <v>223</v>
      </c>
      <c r="D596" s="25" t="s">
        <v>44</v>
      </c>
      <c r="E596" s="25" t="s">
        <v>17</v>
      </c>
      <c r="F596" s="26">
        <v>1</v>
      </c>
      <c r="G596" s="26">
        <f t="shared" si="330"/>
        <v>674.55150000000003</v>
      </c>
      <c r="H596" s="26">
        <f t="shared" si="364"/>
        <v>855.4</v>
      </c>
      <c r="I596" s="26">
        <f t="shared" si="367"/>
        <v>855.4</v>
      </c>
      <c r="J596" s="64">
        <f>'COMPOSIÇÃO DE CUSTOS'!G2004</f>
        <v>674.55</v>
      </c>
      <c r="K596" s="362">
        <v>793.59</v>
      </c>
      <c r="L596" s="362">
        <f t="shared" si="331"/>
        <v>674.55150000000003</v>
      </c>
      <c r="M596" s="64"/>
      <c r="N596" s="65"/>
      <c r="AY596" s="221"/>
      <c r="AZ596" s="481"/>
      <c r="BA596" s="481"/>
      <c r="BB596" s="481"/>
      <c r="BC596" s="481"/>
      <c r="BD596" s="163">
        <f t="shared" si="350"/>
        <v>751.46</v>
      </c>
      <c r="BE596" s="163">
        <f t="shared" si="349"/>
        <v>952.93</v>
      </c>
      <c r="BF596" s="163">
        <f t="shared" si="366"/>
        <v>952.93</v>
      </c>
    </row>
    <row r="597" spans="1:58" s="62" customFormat="1" ht="45">
      <c r="A597" s="143" t="s">
        <v>2289</v>
      </c>
      <c r="B597" s="141" t="s">
        <v>2495</v>
      </c>
      <c r="C597" s="145" t="s">
        <v>2019</v>
      </c>
      <c r="D597" s="25" t="s">
        <v>1915</v>
      </c>
      <c r="E597" s="25" t="s">
        <v>17</v>
      </c>
      <c r="F597" s="26">
        <v>2</v>
      </c>
      <c r="G597" s="26">
        <f t="shared" si="330"/>
        <v>3039.1324999999997</v>
      </c>
      <c r="H597" s="26">
        <f t="shared" si="364"/>
        <v>3853.92</v>
      </c>
      <c r="I597" s="26">
        <f t="shared" si="367"/>
        <v>7707.84</v>
      </c>
      <c r="J597" s="64">
        <f>'COMPOSIÇÃO DE CUSTOS'!G2229</f>
        <v>3039.14</v>
      </c>
      <c r="K597" s="362">
        <v>3575.45</v>
      </c>
      <c r="L597" s="362">
        <f t="shared" si="331"/>
        <v>6078.2649999999994</v>
      </c>
      <c r="M597" s="64"/>
      <c r="N597" s="65"/>
      <c r="AY597" s="221"/>
      <c r="AZ597" s="481"/>
      <c r="BA597" s="481"/>
      <c r="BB597" s="481"/>
      <c r="BC597" s="481"/>
      <c r="BD597" s="163">
        <f t="shared" si="350"/>
        <v>3385.62</v>
      </c>
      <c r="BE597" s="163">
        <f t="shared" si="349"/>
        <v>4293.3</v>
      </c>
      <c r="BF597" s="163">
        <f t="shared" si="366"/>
        <v>8586.6</v>
      </c>
    </row>
    <row r="598" spans="1:58" s="62" customFormat="1" ht="30">
      <c r="A598" s="143" t="s">
        <v>2290</v>
      </c>
      <c r="B598" s="144">
        <v>758</v>
      </c>
      <c r="C598" s="145" t="s">
        <v>234</v>
      </c>
      <c r="D598" s="25" t="s">
        <v>44</v>
      </c>
      <c r="E598" s="25" t="s">
        <v>17</v>
      </c>
      <c r="F598" s="26">
        <v>24</v>
      </c>
      <c r="G598" s="26">
        <f t="shared" si="330"/>
        <v>4.4540000000000006</v>
      </c>
      <c r="H598" s="26">
        <f t="shared" si="364"/>
        <v>5.65</v>
      </c>
      <c r="I598" s="26">
        <f t="shared" ref="I598" si="368">ROUND(H598*F598,2)</f>
        <v>135.6</v>
      </c>
      <c r="J598" s="64">
        <f>'COMPOSIÇÃO DE CUSTOS'!G1974</f>
        <v>4.45</v>
      </c>
      <c r="K598" s="362">
        <v>5.24</v>
      </c>
      <c r="L598" s="362">
        <f t="shared" si="331"/>
        <v>106.89600000000002</v>
      </c>
      <c r="M598" s="64"/>
      <c r="N598" s="65"/>
      <c r="AY598" s="221"/>
      <c r="AZ598" s="481"/>
      <c r="BA598" s="481"/>
      <c r="BB598" s="481"/>
      <c r="BC598" s="481"/>
      <c r="BD598" s="163">
        <f t="shared" si="350"/>
        <v>4.96</v>
      </c>
      <c r="BE598" s="163">
        <f t="shared" si="349"/>
        <v>6.29</v>
      </c>
      <c r="BF598" s="163">
        <f t="shared" si="366"/>
        <v>150.96</v>
      </c>
    </row>
    <row r="599" spans="1:58" s="62" customFormat="1" ht="57.75" customHeight="1">
      <c r="A599" s="143" t="s">
        <v>2291</v>
      </c>
      <c r="B599" s="146">
        <v>100563</v>
      </c>
      <c r="C599" s="147" t="s">
        <v>2507</v>
      </c>
      <c r="D599" s="25" t="s">
        <v>12</v>
      </c>
      <c r="E599" s="25" t="s">
        <v>17</v>
      </c>
      <c r="F599" s="26">
        <v>1</v>
      </c>
      <c r="G599" s="26">
        <f t="shared" si="330"/>
        <v>331.80600000000004</v>
      </c>
      <c r="H599" s="26">
        <f t="shared" si="364"/>
        <v>420.76</v>
      </c>
      <c r="I599" s="26">
        <f t="shared" ref="I599" si="369">ROUND(H599*F599,2)</f>
        <v>420.76</v>
      </c>
      <c r="J599" s="64" t="e">
        <f>IF(B599&lt;&gt;0,VLOOKUP(B599,#REF!,4,FALSE),"")</f>
        <v>#REF!</v>
      </c>
      <c r="K599" s="362" t="s">
        <v>3268</v>
      </c>
      <c r="L599" s="362">
        <f t="shared" si="331"/>
        <v>331.80600000000004</v>
      </c>
      <c r="M599" s="64"/>
      <c r="N599" s="65" t="e">
        <f>IF(B599&lt;&gt;0,VLOOKUP(B599,#REF!,2,FALSE),"")</f>
        <v>#REF!</v>
      </c>
      <c r="AY599" s="221"/>
      <c r="AZ599" s="481"/>
      <c r="BA599" s="481"/>
      <c r="BB599" s="481"/>
      <c r="BC599" s="481"/>
      <c r="BD599" s="163">
        <f t="shared" si="350"/>
        <v>369.63</v>
      </c>
      <c r="BE599" s="163">
        <f t="shared" si="349"/>
        <v>468.73</v>
      </c>
      <c r="BF599" s="163">
        <f t="shared" si="366"/>
        <v>468.73</v>
      </c>
    </row>
    <row r="600" spans="1:58" s="62" customFormat="1" ht="29.25" customHeight="1">
      <c r="A600" s="143" t="s">
        <v>2382</v>
      </c>
      <c r="B600" s="148">
        <v>11420</v>
      </c>
      <c r="C600" s="149" t="s">
        <v>1972</v>
      </c>
      <c r="D600" s="25" t="s">
        <v>44</v>
      </c>
      <c r="E600" s="25" t="s">
        <v>17</v>
      </c>
      <c r="F600" s="26">
        <v>40</v>
      </c>
      <c r="G600" s="26">
        <f t="shared" ref="G600:G662" si="370">K600-(K600*$K$15)</f>
        <v>11.662000000000001</v>
      </c>
      <c r="H600" s="26">
        <f t="shared" si="364"/>
        <v>14.79</v>
      </c>
      <c r="I600" s="26">
        <f t="shared" ref="I600:I602" si="371">ROUND(H600*F600,2)</f>
        <v>591.6</v>
      </c>
      <c r="J600" s="64">
        <f>'COMPOSIÇÃO DE CUSTOS'!G2017</f>
        <v>11.66</v>
      </c>
      <c r="K600" s="362">
        <v>13.72</v>
      </c>
      <c r="L600" s="362">
        <f t="shared" ref="L600:L663" si="372">F600*G600</f>
        <v>466.48</v>
      </c>
      <c r="M600" s="64"/>
      <c r="N600" s="65"/>
      <c r="AY600" s="221"/>
      <c r="AZ600" s="481"/>
      <c r="BA600" s="481"/>
      <c r="BB600" s="481"/>
      <c r="BC600" s="481"/>
      <c r="BD600" s="163">
        <f t="shared" si="350"/>
        <v>12.99</v>
      </c>
      <c r="BE600" s="163">
        <f t="shared" si="349"/>
        <v>16.47</v>
      </c>
      <c r="BF600" s="163">
        <f t="shared" si="366"/>
        <v>658.8</v>
      </c>
    </row>
    <row r="601" spans="1:58" s="62" customFormat="1" ht="24.75" customHeight="1">
      <c r="A601" s="143" t="s">
        <v>2460</v>
      </c>
      <c r="B601" s="148" t="s">
        <v>2491</v>
      </c>
      <c r="C601" s="149" t="s">
        <v>2492</v>
      </c>
      <c r="D601" s="25" t="s">
        <v>1915</v>
      </c>
      <c r="E601" s="25" t="s">
        <v>17</v>
      </c>
      <c r="F601" s="26">
        <v>2</v>
      </c>
      <c r="G601" s="26">
        <f t="shared" si="370"/>
        <v>971.08249999999998</v>
      </c>
      <c r="H601" s="26">
        <f t="shared" si="364"/>
        <v>1231.43</v>
      </c>
      <c r="I601" s="26">
        <f t="shared" si="371"/>
        <v>2462.86</v>
      </c>
      <c r="J601" s="64">
        <f>'COMPOSIÇÃO DE CUSTOS'!G1811</f>
        <v>971.08</v>
      </c>
      <c r="K601" s="362">
        <v>1142.45</v>
      </c>
      <c r="L601" s="362">
        <f t="shared" si="372"/>
        <v>1942.165</v>
      </c>
      <c r="M601" s="64"/>
      <c r="N601" s="65"/>
      <c r="AY601" s="221"/>
      <c r="AZ601" s="481"/>
      <c r="BA601" s="481"/>
      <c r="BB601" s="481"/>
      <c r="BC601" s="481"/>
      <c r="BD601" s="163">
        <f t="shared" si="350"/>
        <v>1081.79</v>
      </c>
      <c r="BE601" s="163">
        <f t="shared" si="349"/>
        <v>1371.82</v>
      </c>
      <c r="BF601" s="163">
        <f t="shared" si="366"/>
        <v>2743.64</v>
      </c>
    </row>
    <row r="602" spans="1:58" s="62" customFormat="1" ht="25.5" customHeight="1">
      <c r="A602" s="143" t="s">
        <v>2461</v>
      </c>
      <c r="B602" s="148">
        <v>9218</v>
      </c>
      <c r="C602" s="149" t="s">
        <v>2037</v>
      </c>
      <c r="D602" s="25" t="s">
        <v>44</v>
      </c>
      <c r="E602" s="25" t="s">
        <v>17</v>
      </c>
      <c r="F602" s="26">
        <v>1</v>
      </c>
      <c r="G602" s="26">
        <f t="shared" si="370"/>
        <v>1893.8765000000001</v>
      </c>
      <c r="H602" s="26">
        <f t="shared" si="364"/>
        <v>2401.62</v>
      </c>
      <c r="I602" s="26">
        <f t="shared" si="371"/>
        <v>2401.62</v>
      </c>
      <c r="J602" s="64">
        <f>'COMPOSIÇÃO DE CUSTOS'!G2251</f>
        <v>1893.88</v>
      </c>
      <c r="K602" s="362">
        <v>2228.09</v>
      </c>
      <c r="L602" s="362">
        <f t="shared" si="372"/>
        <v>1893.8765000000001</v>
      </c>
      <c r="M602" s="64"/>
      <c r="N602" s="65"/>
      <c r="AY602" s="221"/>
      <c r="AZ602" s="481"/>
      <c r="BA602" s="481"/>
      <c r="BB602" s="481"/>
      <c r="BC602" s="481"/>
      <c r="BD602" s="163">
        <f t="shared" si="350"/>
        <v>2109.79</v>
      </c>
      <c r="BE602" s="163">
        <f t="shared" si="349"/>
        <v>2675.42</v>
      </c>
      <c r="BF602" s="163">
        <f t="shared" si="366"/>
        <v>2675.42</v>
      </c>
    </row>
    <row r="603" spans="1:58" s="62" customFormat="1" ht="15" customHeight="1">
      <c r="A603" s="150" t="s">
        <v>1079</v>
      </c>
      <c r="B603" s="150"/>
      <c r="C603" s="150" t="s">
        <v>224</v>
      </c>
      <c r="D603" s="151"/>
      <c r="E603" s="357"/>
      <c r="F603" s="357"/>
      <c r="G603" s="26"/>
      <c r="H603" s="357"/>
      <c r="I603" s="96"/>
      <c r="J603" s="65"/>
      <c r="K603" s="362"/>
      <c r="L603" s="362">
        <f t="shared" si="372"/>
        <v>0</v>
      </c>
      <c r="M603" s="65"/>
      <c r="N603" s="65"/>
      <c r="AY603" s="221"/>
      <c r="AZ603" s="481"/>
      <c r="BA603" s="481"/>
      <c r="BB603" s="481"/>
      <c r="BC603" s="481"/>
      <c r="BD603" s="163"/>
      <c r="BE603" s="163"/>
      <c r="BF603" s="163"/>
    </row>
    <row r="604" spans="1:58" s="62" customFormat="1" ht="45">
      <c r="A604" s="149" t="s">
        <v>1080</v>
      </c>
      <c r="B604" s="148">
        <v>91863</v>
      </c>
      <c r="C604" s="149" t="s">
        <v>1692</v>
      </c>
      <c r="D604" s="152" t="s">
        <v>12</v>
      </c>
      <c r="E604" s="25" t="s">
        <v>52</v>
      </c>
      <c r="F604" s="26">
        <v>119</v>
      </c>
      <c r="G604" s="26">
        <f t="shared" si="370"/>
        <v>6.8849999999999998</v>
      </c>
      <c r="H604" s="26">
        <f t="shared" ref="H604:H610" si="373">ROUND(G604*(1+$J$14),2)</f>
        <v>8.73</v>
      </c>
      <c r="I604" s="26">
        <f t="shared" ref="I604:I609" si="374">ROUND(H604*F604,2)</f>
        <v>1038.8699999999999</v>
      </c>
      <c r="J604" s="64" t="e">
        <f>IF(B604&lt;&gt;0,VLOOKUP(B604,#REF!,4,FALSE),"")</f>
        <v>#REF!</v>
      </c>
      <c r="K604" s="362" t="s">
        <v>1886</v>
      </c>
      <c r="L604" s="362">
        <f t="shared" si="372"/>
        <v>819.31499999999994</v>
      </c>
      <c r="M604" s="64"/>
      <c r="N604" s="65" t="e">
        <f>IF(B604&lt;&gt;0,VLOOKUP(B604,#REF!,2,FALSE),"")</f>
        <v>#REF!</v>
      </c>
      <c r="AY604" s="221"/>
      <c r="AZ604" s="481"/>
      <c r="BA604" s="481"/>
      <c r="BB604" s="481"/>
      <c r="BC604" s="481"/>
      <c r="BD604" s="163">
        <f t="shared" si="350"/>
        <v>7.67</v>
      </c>
      <c r="BE604" s="163">
        <f t="shared" si="349"/>
        <v>9.73</v>
      </c>
      <c r="BF604" s="163">
        <f t="shared" ref="BF604:BF610" si="375">ROUND(BE604*F604,2)</f>
        <v>1157.8699999999999</v>
      </c>
    </row>
    <row r="605" spans="1:58" s="62" customFormat="1" ht="60">
      <c r="A605" s="153" t="s">
        <v>1081</v>
      </c>
      <c r="B605" s="154">
        <v>91890</v>
      </c>
      <c r="C605" s="153" t="s">
        <v>1693</v>
      </c>
      <c r="D605" s="25" t="s">
        <v>12</v>
      </c>
      <c r="E605" s="25" t="s">
        <v>17</v>
      </c>
      <c r="F605" s="26">
        <v>8</v>
      </c>
      <c r="G605" s="26">
        <f t="shared" si="370"/>
        <v>6.375</v>
      </c>
      <c r="H605" s="26">
        <f t="shared" si="373"/>
        <v>8.08</v>
      </c>
      <c r="I605" s="26">
        <f t="shared" si="374"/>
        <v>64.64</v>
      </c>
      <c r="J605" s="64" t="e">
        <f>IF(B605&lt;&gt;0,VLOOKUP(B605,#REF!,4,FALSE),"")</f>
        <v>#REF!</v>
      </c>
      <c r="K605" s="362" t="s">
        <v>3225</v>
      </c>
      <c r="L605" s="362">
        <f t="shared" si="372"/>
        <v>51</v>
      </c>
      <c r="M605" s="64"/>
      <c r="N605" s="65" t="e">
        <f>IF(B605&lt;&gt;0,VLOOKUP(B605,#REF!,2,FALSE),"")</f>
        <v>#REF!</v>
      </c>
      <c r="AY605" s="221"/>
      <c r="AZ605" s="481"/>
      <c r="BA605" s="481"/>
      <c r="BB605" s="481"/>
      <c r="BC605" s="481"/>
      <c r="BD605" s="163">
        <f t="shared" si="350"/>
        <v>7.1</v>
      </c>
      <c r="BE605" s="163">
        <f t="shared" si="349"/>
        <v>9</v>
      </c>
      <c r="BF605" s="163">
        <f t="shared" si="375"/>
        <v>72</v>
      </c>
    </row>
    <row r="606" spans="1:58" s="62" customFormat="1" ht="45">
      <c r="A606" s="23" t="s">
        <v>1082</v>
      </c>
      <c r="B606" s="24">
        <v>91875</v>
      </c>
      <c r="C606" s="23" t="s">
        <v>1694</v>
      </c>
      <c r="D606" s="25" t="s">
        <v>12</v>
      </c>
      <c r="E606" s="25" t="s">
        <v>17</v>
      </c>
      <c r="F606" s="26">
        <v>56</v>
      </c>
      <c r="G606" s="26">
        <f t="shared" si="370"/>
        <v>3.7654999999999998</v>
      </c>
      <c r="H606" s="26">
        <f t="shared" si="373"/>
        <v>4.78</v>
      </c>
      <c r="I606" s="26">
        <f t="shared" si="374"/>
        <v>267.68</v>
      </c>
      <c r="J606" s="64" t="e">
        <f>IF(B606&lt;&gt;0,VLOOKUP(B606,#REF!,4,FALSE),"")</f>
        <v>#REF!</v>
      </c>
      <c r="K606" s="362" t="s">
        <v>1865</v>
      </c>
      <c r="L606" s="362">
        <f t="shared" si="372"/>
        <v>210.86799999999999</v>
      </c>
      <c r="M606" s="64"/>
      <c r="N606" s="65" t="e">
        <f>IF(B606&lt;&gt;0,VLOOKUP(B606,#REF!,2,FALSE),"")</f>
        <v>#REF!</v>
      </c>
      <c r="AY606" s="221"/>
      <c r="AZ606" s="481"/>
      <c r="BA606" s="481"/>
      <c r="BB606" s="481"/>
      <c r="BC606" s="481"/>
      <c r="BD606" s="163">
        <f t="shared" si="350"/>
        <v>4.1900000000000004</v>
      </c>
      <c r="BE606" s="163">
        <f t="shared" si="349"/>
        <v>5.31</v>
      </c>
      <c r="BF606" s="163">
        <f t="shared" si="375"/>
        <v>297.36</v>
      </c>
    </row>
    <row r="607" spans="1:58" s="62" customFormat="1" ht="45">
      <c r="A607" s="23" t="s">
        <v>1083</v>
      </c>
      <c r="B607" s="24">
        <v>91871</v>
      </c>
      <c r="C607" s="23" t="s">
        <v>1695</v>
      </c>
      <c r="D607" s="25" t="s">
        <v>12</v>
      </c>
      <c r="E607" s="25" t="s">
        <v>52</v>
      </c>
      <c r="F607" s="26">
        <v>47</v>
      </c>
      <c r="G607" s="26">
        <f t="shared" si="370"/>
        <v>7.3949999999999996</v>
      </c>
      <c r="H607" s="26">
        <f t="shared" si="373"/>
        <v>9.3800000000000008</v>
      </c>
      <c r="I607" s="26">
        <f t="shared" si="374"/>
        <v>440.86</v>
      </c>
      <c r="J607" s="64" t="e">
        <f>IF(B607&lt;&gt;0,VLOOKUP(B607,#REF!,4,FALSE),"")</f>
        <v>#REF!</v>
      </c>
      <c r="K607" s="362" t="s">
        <v>2648</v>
      </c>
      <c r="L607" s="362">
        <f t="shared" si="372"/>
        <v>347.565</v>
      </c>
      <c r="M607" s="64"/>
      <c r="N607" s="65" t="e">
        <f>IF(B607&lt;&gt;0,VLOOKUP(B607,#REF!,2,FALSE),"")</f>
        <v>#REF!</v>
      </c>
      <c r="AY607" s="221"/>
      <c r="AZ607" s="481"/>
      <c r="BA607" s="481"/>
      <c r="BB607" s="481"/>
      <c r="BC607" s="481"/>
      <c r="BD607" s="163">
        <f t="shared" si="350"/>
        <v>8.24</v>
      </c>
      <c r="BE607" s="163">
        <f t="shared" si="349"/>
        <v>10.45</v>
      </c>
      <c r="BF607" s="163">
        <f t="shared" si="375"/>
        <v>491.15</v>
      </c>
    </row>
    <row r="608" spans="1:58" s="62" customFormat="1" ht="60">
      <c r="A608" s="23" t="s">
        <v>1084</v>
      </c>
      <c r="B608" s="24">
        <v>91914</v>
      </c>
      <c r="C608" s="23" t="s">
        <v>1696</v>
      </c>
      <c r="D608" s="25" t="s">
        <v>12</v>
      </c>
      <c r="E608" s="25" t="s">
        <v>17</v>
      </c>
      <c r="F608" s="26">
        <v>28</v>
      </c>
      <c r="G608" s="26">
        <f t="shared" si="370"/>
        <v>8.5084999999999997</v>
      </c>
      <c r="H608" s="26">
        <f t="shared" si="373"/>
        <v>10.79</v>
      </c>
      <c r="I608" s="26">
        <f t="shared" si="374"/>
        <v>302.12</v>
      </c>
      <c r="J608" s="64" t="e">
        <f>IF(B608&lt;&gt;0,VLOOKUP(B608,#REF!,4,FALSE),"")</f>
        <v>#REF!</v>
      </c>
      <c r="K608" s="362" t="s">
        <v>1908</v>
      </c>
      <c r="L608" s="362">
        <f t="shared" si="372"/>
        <v>238.238</v>
      </c>
      <c r="M608" s="64"/>
      <c r="N608" s="65" t="e">
        <f>IF(B608&lt;&gt;0,VLOOKUP(B608,#REF!,2,FALSE),"")</f>
        <v>#REF!</v>
      </c>
      <c r="AY608" s="221"/>
      <c r="AZ608" s="481"/>
      <c r="BA608" s="481"/>
      <c r="BB608" s="481"/>
      <c r="BC608" s="481"/>
      <c r="BD608" s="163">
        <f t="shared" si="350"/>
        <v>9.48</v>
      </c>
      <c r="BE608" s="163">
        <f t="shared" si="349"/>
        <v>12.02</v>
      </c>
      <c r="BF608" s="163">
        <f t="shared" si="375"/>
        <v>336.56</v>
      </c>
    </row>
    <row r="609" spans="1:59" s="62" customFormat="1" ht="45">
      <c r="A609" s="23" t="s">
        <v>1085</v>
      </c>
      <c r="B609" s="24">
        <v>91884</v>
      </c>
      <c r="C609" s="23" t="s">
        <v>1697</v>
      </c>
      <c r="D609" s="25" t="s">
        <v>12</v>
      </c>
      <c r="E609" s="25" t="s">
        <v>17</v>
      </c>
      <c r="F609" s="26">
        <v>72</v>
      </c>
      <c r="G609" s="26">
        <f t="shared" si="370"/>
        <v>5.1849999999999996</v>
      </c>
      <c r="H609" s="26">
        <f t="shared" si="373"/>
        <v>6.58</v>
      </c>
      <c r="I609" s="26">
        <f t="shared" si="374"/>
        <v>473.76</v>
      </c>
      <c r="J609" s="64" t="e">
        <f>IF(B609&lt;&gt;0,VLOOKUP(B609,#REF!,4,FALSE),"")</f>
        <v>#REF!</v>
      </c>
      <c r="K609" s="362" t="s">
        <v>3141</v>
      </c>
      <c r="L609" s="362">
        <f t="shared" si="372"/>
        <v>373.32</v>
      </c>
      <c r="M609" s="64"/>
      <c r="N609" s="65" t="e">
        <f>IF(B609&lt;&gt;0,VLOOKUP(B609,#REF!,2,FALSE),"")</f>
        <v>#REF!</v>
      </c>
      <c r="AY609" s="221"/>
      <c r="AZ609" s="481"/>
      <c r="BA609" s="481"/>
      <c r="BB609" s="481"/>
      <c r="BC609" s="481"/>
      <c r="BD609" s="163">
        <f t="shared" si="350"/>
        <v>5.78</v>
      </c>
      <c r="BE609" s="163">
        <f t="shared" si="349"/>
        <v>7.33</v>
      </c>
      <c r="BF609" s="163">
        <f t="shared" si="375"/>
        <v>527.76</v>
      </c>
    </row>
    <row r="610" spans="1:59" s="62" customFormat="1" ht="30">
      <c r="A610" s="23" t="s">
        <v>1086</v>
      </c>
      <c r="B610" s="24">
        <v>723</v>
      </c>
      <c r="C610" s="23" t="s">
        <v>235</v>
      </c>
      <c r="D610" s="25" t="s">
        <v>44</v>
      </c>
      <c r="E610" s="25" t="s">
        <v>17</v>
      </c>
      <c r="F610" s="26">
        <v>26</v>
      </c>
      <c r="G610" s="26">
        <f t="shared" si="370"/>
        <v>3.4085000000000001</v>
      </c>
      <c r="H610" s="26">
        <f t="shared" si="373"/>
        <v>4.32</v>
      </c>
      <c r="I610" s="26">
        <f t="shared" ref="I610" si="376">ROUND(H610*F610,2)</f>
        <v>112.32</v>
      </c>
      <c r="J610" s="64">
        <f>'COMPOSIÇÃO DE CUSTOS'!G1307</f>
        <v>3.41</v>
      </c>
      <c r="K610" s="362">
        <v>4.01</v>
      </c>
      <c r="L610" s="362">
        <f t="shared" si="372"/>
        <v>88.621000000000009</v>
      </c>
      <c r="M610" s="64"/>
      <c r="N610" s="65"/>
      <c r="AY610" s="221"/>
      <c r="AZ610" s="481"/>
      <c r="BA610" s="481"/>
      <c r="BB610" s="481"/>
      <c r="BC610" s="481"/>
      <c r="BD610" s="163">
        <f t="shared" si="350"/>
        <v>3.8</v>
      </c>
      <c r="BE610" s="163">
        <f t="shared" si="349"/>
        <v>4.82</v>
      </c>
      <c r="BF610" s="163">
        <f t="shared" si="375"/>
        <v>125.32</v>
      </c>
    </row>
    <row r="611" spans="1:59" s="62" customFormat="1">
      <c r="A611" s="356" t="s">
        <v>1087</v>
      </c>
      <c r="B611" s="356"/>
      <c r="C611" s="356" t="s">
        <v>214</v>
      </c>
      <c r="D611" s="357"/>
      <c r="E611" s="357"/>
      <c r="F611" s="357"/>
      <c r="G611" s="26"/>
      <c r="H611" s="357"/>
      <c r="I611" s="96"/>
      <c r="J611" s="65"/>
      <c r="K611" s="362"/>
      <c r="L611" s="362">
        <f t="shared" si="372"/>
        <v>0</v>
      </c>
      <c r="M611" s="65"/>
      <c r="N611" s="65"/>
      <c r="AY611" s="221"/>
      <c r="AZ611" s="481"/>
      <c r="BA611" s="481"/>
      <c r="BB611" s="481"/>
      <c r="BC611" s="481"/>
      <c r="BD611" s="481"/>
      <c r="BE611" s="481"/>
      <c r="BF611" s="481"/>
    </row>
    <row r="612" spans="1:59" s="34" customFormat="1" ht="45">
      <c r="A612" s="471" t="s">
        <v>1088</v>
      </c>
      <c r="B612" s="475">
        <v>98297</v>
      </c>
      <c r="C612" s="471" t="s">
        <v>2505</v>
      </c>
      <c r="D612" s="472" t="s">
        <v>12</v>
      </c>
      <c r="E612" s="472" t="s">
        <v>52</v>
      </c>
      <c r="F612" s="473">
        <v>1235</v>
      </c>
      <c r="G612" s="473">
        <f t="shared" si="370"/>
        <v>1.7765</v>
      </c>
      <c r="H612" s="473">
        <f>ROUND(G612*(1+$J$14),2)</f>
        <v>2.25</v>
      </c>
      <c r="I612" s="473">
        <f t="shared" ref="I612" si="377">ROUND(H612*F612,2)</f>
        <v>2778.75</v>
      </c>
      <c r="J612" s="474" t="e">
        <f>IF(B612&lt;&gt;0,VLOOKUP(B612,#REF!,4,FALSE),"")</f>
        <v>#REF!</v>
      </c>
      <c r="K612" s="378" t="s">
        <v>2643</v>
      </c>
      <c r="L612" s="378">
        <f t="shared" si="372"/>
        <v>2193.9775</v>
      </c>
      <c r="M612" s="474"/>
      <c r="N612" s="47" t="e">
        <f>IF(B612&lt;&gt;0,VLOOKUP(B612,#REF!,2,FALSE),"")</f>
        <v>#REF!</v>
      </c>
      <c r="AY612" s="577"/>
      <c r="AZ612" s="502"/>
      <c r="BA612" s="502"/>
      <c r="BB612" s="502"/>
      <c r="BC612" s="502"/>
      <c r="BD612" s="523">
        <f>BG612</f>
        <v>3.74</v>
      </c>
      <c r="BE612" s="523">
        <f>ROUND(BD612*(1+$J$14),2)</f>
        <v>4.74</v>
      </c>
      <c r="BF612" s="523">
        <f>ROUND(BE612*F612,2)</f>
        <v>5853.9</v>
      </c>
      <c r="BG612" s="34">
        <f>'COMPOSIÇÃO AB'!G604</f>
        <v>3.74</v>
      </c>
    </row>
    <row r="613" spans="1:59" s="62" customFormat="1" ht="15" customHeight="1">
      <c r="A613" s="356" t="s">
        <v>1089</v>
      </c>
      <c r="B613" s="356"/>
      <c r="C613" s="356" t="s">
        <v>216</v>
      </c>
      <c r="D613" s="357"/>
      <c r="E613" s="357"/>
      <c r="F613" s="357"/>
      <c r="G613" s="26"/>
      <c r="H613" s="357"/>
      <c r="I613" s="96"/>
      <c r="J613" s="65"/>
      <c r="K613" s="362"/>
      <c r="L613" s="362">
        <f t="shared" si="372"/>
        <v>0</v>
      </c>
      <c r="M613" s="65"/>
      <c r="N613" s="65"/>
      <c r="AY613" s="221"/>
      <c r="AZ613" s="481"/>
      <c r="BA613" s="481"/>
      <c r="BB613" s="481"/>
      <c r="BC613" s="481"/>
      <c r="BD613" s="481"/>
      <c r="BE613" s="481"/>
      <c r="BF613" s="481"/>
    </row>
    <row r="614" spans="1:59" s="62" customFormat="1" ht="30">
      <c r="A614" s="23" t="s">
        <v>1090</v>
      </c>
      <c r="B614" s="25" t="s">
        <v>2285</v>
      </c>
      <c r="C614" s="23" t="s">
        <v>228</v>
      </c>
      <c r="D614" s="25" t="s">
        <v>70</v>
      </c>
      <c r="E614" s="25" t="s">
        <v>17</v>
      </c>
      <c r="F614" s="26">
        <v>3</v>
      </c>
      <c r="G614" s="26">
        <f t="shared" si="370"/>
        <v>43.978999999999999</v>
      </c>
      <c r="H614" s="26">
        <f>ROUND(G614*(1+$J$14),2)</f>
        <v>55.77</v>
      </c>
      <c r="I614" s="26">
        <f t="shared" ref="I614" si="378">ROUND(H614*F614,2)</f>
        <v>167.31</v>
      </c>
      <c r="J614" s="64">
        <f>'COMPOSIÇÃO DE CUSTOS'!G1314</f>
        <v>43.97</v>
      </c>
      <c r="K614" s="362">
        <v>51.74</v>
      </c>
      <c r="L614" s="362">
        <f t="shared" si="372"/>
        <v>131.93700000000001</v>
      </c>
      <c r="M614" s="64"/>
      <c r="N614" s="65"/>
      <c r="AY614" s="221"/>
      <c r="AZ614" s="481"/>
      <c r="BA614" s="481"/>
      <c r="BB614" s="481"/>
      <c r="BC614" s="481"/>
      <c r="BD614" s="163">
        <f t="shared" ref="BD614" si="379">ROUND(G614*$BH$19,2)</f>
        <v>48.99</v>
      </c>
      <c r="BE614" s="163">
        <f t="shared" ref="BE614" si="380">ROUND(BD614*(1+$J$14),2)</f>
        <v>62.12</v>
      </c>
      <c r="BF614" s="163">
        <f>ROUND(BE614*F614,2)</f>
        <v>186.36</v>
      </c>
    </row>
    <row r="615" spans="1:59" ht="25.5" customHeight="1">
      <c r="A615" s="23"/>
      <c r="B615" s="25"/>
      <c r="C615" s="23"/>
      <c r="D615" s="25"/>
      <c r="E615" s="25"/>
      <c r="F615" s="26"/>
      <c r="G615" s="26"/>
      <c r="H615" s="26"/>
      <c r="I615" s="26"/>
      <c r="J615" s="35"/>
      <c r="K615" s="375"/>
      <c r="L615" s="362">
        <f t="shared" si="372"/>
        <v>0</v>
      </c>
      <c r="M615" s="35"/>
      <c r="N615" s="35"/>
      <c r="AY615" s="21"/>
      <c r="AZ615" s="481"/>
      <c r="BA615" s="481"/>
      <c r="BB615" s="481"/>
      <c r="BC615" s="481"/>
      <c r="BD615" s="481"/>
      <c r="BE615" s="481"/>
      <c r="BF615" s="481"/>
    </row>
    <row r="616" spans="1:59" s="45" customFormat="1" ht="15" customHeight="1">
      <c r="A616" s="356" t="s">
        <v>1091</v>
      </c>
      <c r="B616" s="356"/>
      <c r="C616" s="356" t="s">
        <v>236</v>
      </c>
      <c r="D616" s="357"/>
      <c r="E616" s="357"/>
      <c r="F616" s="357"/>
      <c r="G616" s="26"/>
      <c r="H616" s="357"/>
      <c r="I616" s="96">
        <f>ROUND(SUM(I617:I618),2)</f>
        <v>88315.15</v>
      </c>
      <c r="J616" s="46"/>
      <c r="K616" s="364"/>
      <c r="L616" s="362">
        <f t="shared" si="372"/>
        <v>0</v>
      </c>
      <c r="M616" s="46"/>
      <c r="N616" s="46"/>
      <c r="AY616" s="56"/>
      <c r="AZ616" s="481"/>
      <c r="BA616" s="481"/>
      <c r="BB616" s="481"/>
      <c r="BC616" s="481"/>
      <c r="BD616" s="481"/>
      <c r="BE616" s="481"/>
      <c r="BF616" s="96">
        <f>ROUND(SUM(BF617:BF618),2)</f>
        <v>62906.89</v>
      </c>
    </row>
    <row r="617" spans="1:59" s="34" customFormat="1" ht="30">
      <c r="A617" s="803" t="s">
        <v>2207</v>
      </c>
      <c r="B617" s="475">
        <v>1843</v>
      </c>
      <c r="C617" s="471" t="s">
        <v>2428</v>
      </c>
      <c r="D617" s="472" t="s">
        <v>44</v>
      </c>
      <c r="E617" s="472" t="s">
        <v>17</v>
      </c>
      <c r="F617" s="473">
        <v>2</v>
      </c>
      <c r="G617" s="473">
        <f t="shared" si="370"/>
        <v>8421.6130000000012</v>
      </c>
      <c r="H617" s="473">
        <f>ROUND(G617*(1+$J$14),2)</f>
        <v>10679.45</v>
      </c>
      <c r="I617" s="473">
        <f t="shared" ref="I617:I618" si="381">ROUND(H617*F617,2)</f>
        <v>21358.9</v>
      </c>
      <c r="J617" s="474">
        <f>'COMPOSIÇÃO DE CUSTOS'!G2160</f>
        <v>8421.61</v>
      </c>
      <c r="K617" s="378">
        <v>9907.7800000000007</v>
      </c>
      <c r="L617" s="378">
        <f t="shared" si="372"/>
        <v>16843.226000000002</v>
      </c>
      <c r="M617" s="474"/>
      <c r="N617" s="47"/>
      <c r="AY617" s="577"/>
      <c r="AZ617" s="502"/>
      <c r="BA617" s="502"/>
      <c r="BB617" s="502"/>
      <c r="BC617" s="502"/>
      <c r="BD617" s="523">
        <f>BG617</f>
        <v>12353.6</v>
      </c>
      <c r="BE617" s="523">
        <f>ROUND(BD617*(1+$J$14),2)</f>
        <v>15665.6</v>
      </c>
      <c r="BF617" s="523">
        <f>ROUND(BE617*F617,2)</f>
        <v>31331.200000000001</v>
      </c>
      <c r="BG617" s="34">
        <f>'COMPOSIÇÃO AB'!G766</f>
        <v>12353.6</v>
      </c>
    </row>
    <row r="618" spans="1:59" s="34" customFormat="1" ht="75">
      <c r="A618" s="803" t="s">
        <v>2208</v>
      </c>
      <c r="B618" s="475">
        <v>11064</v>
      </c>
      <c r="C618" s="471" t="s">
        <v>2209</v>
      </c>
      <c r="D618" s="472" t="s">
        <v>44</v>
      </c>
      <c r="E618" s="472" t="s">
        <v>17</v>
      </c>
      <c r="F618" s="473">
        <v>3</v>
      </c>
      <c r="G618" s="473">
        <f t="shared" si="370"/>
        <v>17600.151000000002</v>
      </c>
      <c r="H618" s="473">
        <f>ROUND(G618*(1+$J$14),2)</f>
        <v>22318.75</v>
      </c>
      <c r="I618" s="473">
        <f t="shared" si="381"/>
        <v>66956.25</v>
      </c>
      <c r="J618" s="474">
        <f>'COMPOSIÇÃO DE CUSTOS'!G2165</f>
        <v>17600.150000000001</v>
      </c>
      <c r="K618" s="378">
        <v>20706.060000000001</v>
      </c>
      <c r="L618" s="378">
        <f t="shared" si="372"/>
        <v>52800.453000000009</v>
      </c>
      <c r="M618" s="474"/>
      <c r="N618" s="47"/>
      <c r="AY618" s="577"/>
      <c r="AZ618" s="502"/>
      <c r="BA618" s="502"/>
      <c r="BB618" s="502"/>
      <c r="BC618" s="502"/>
      <c r="BD618" s="523">
        <f>BG618</f>
        <v>8300</v>
      </c>
      <c r="BE618" s="523">
        <f>ROUND(BD618*(1+$J$14),2)</f>
        <v>10525.23</v>
      </c>
      <c r="BF618" s="523">
        <f>ROUND(BE618*F618,2)</f>
        <v>31575.69</v>
      </c>
      <c r="BG618" s="34">
        <f>'COMPOSIÇÃO AB'!G771</f>
        <v>8300</v>
      </c>
    </row>
    <row r="619" spans="1:59" s="27" customFormat="1" ht="25.5" customHeight="1">
      <c r="A619" s="41"/>
      <c r="B619" s="24"/>
      <c r="C619" s="23"/>
      <c r="D619" s="25"/>
      <c r="E619" s="25"/>
      <c r="F619" s="26"/>
      <c r="G619" s="26"/>
      <c r="H619" s="26"/>
      <c r="I619" s="26"/>
      <c r="J619" s="42"/>
      <c r="K619" s="365"/>
      <c r="L619" s="362">
        <f t="shared" si="372"/>
        <v>0</v>
      </c>
      <c r="M619" s="42"/>
      <c r="N619" s="42"/>
      <c r="AY619" s="552"/>
      <c r="AZ619" s="481"/>
      <c r="BA619" s="481"/>
      <c r="BB619" s="481"/>
      <c r="BC619" s="481"/>
      <c r="BD619" s="481"/>
      <c r="BE619" s="481"/>
      <c r="BF619" s="481"/>
    </row>
    <row r="620" spans="1:59" s="45" customFormat="1" ht="15" customHeight="1">
      <c r="A620" s="356" t="s">
        <v>1094</v>
      </c>
      <c r="B620" s="356"/>
      <c r="C620" s="356" t="s">
        <v>237</v>
      </c>
      <c r="D620" s="357"/>
      <c r="E620" s="357"/>
      <c r="F620" s="357"/>
      <c r="G620" s="26"/>
      <c r="H620" s="357"/>
      <c r="I620" s="96">
        <f>ROUND(SUM(I622:I658),2)</f>
        <v>71856.37</v>
      </c>
      <c r="J620" s="46"/>
      <c r="K620" s="364"/>
      <c r="L620" s="362">
        <f t="shared" si="372"/>
        <v>0</v>
      </c>
      <c r="M620" s="46"/>
      <c r="N620" s="46"/>
      <c r="AY620" s="56"/>
      <c r="AZ620" s="481"/>
      <c r="BA620" s="481"/>
      <c r="BB620" s="481"/>
      <c r="BC620" s="481"/>
      <c r="BD620" s="481"/>
      <c r="BE620" s="481"/>
      <c r="BF620" s="96">
        <f>ROUND(SUM(BF622:BF658),2)</f>
        <v>88689.55</v>
      </c>
    </row>
    <row r="621" spans="1:59" s="62" customFormat="1" ht="15" customHeight="1">
      <c r="A621" s="356" t="s">
        <v>1095</v>
      </c>
      <c r="B621" s="356"/>
      <c r="C621" s="356" t="s">
        <v>193</v>
      </c>
      <c r="D621" s="357"/>
      <c r="E621" s="357"/>
      <c r="F621" s="357"/>
      <c r="G621" s="26"/>
      <c r="H621" s="357"/>
      <c r="I621" s="96"/>
      <c r="J621" s="65"/>
      <c r="K621" s="362"/>
      <c r="L621" s="362">
        <f t="shared" si="372"/>
        <v>0</v>
      </c>
      <c r="M621" s="65"/>
      <c r="N621" s="65"/>
      <c r="AY621" s="221"/>
      <c r="AZ621" s="481"/>
      <c r="BA621" s="481"/>
      <c r="BB621" s="481"/>
      <c r="BC621" s="481"/>
      <c r="BD621" s="481"/>
      <c r="BE621" s="481"/>
      <c r="BF621" s="481"/>
    </row>
    <row r="622" spans="1:59" s="62" customFormat="1" ht="45">
      <c r="A622" s="23" t="s">
        <v>1096</v>
      </c>
      <c r="B622" s="24">
        <v>91863</v>
      </c>
      <c r="C622" s="23" t="s">
        <v>1692</v>
      </c>
      <c r="D622" s="25" t="s">
        <v>12</v>
      </c>
      <c r="E622" s="25" t="s">
        <v>52</v>
      </c>
      <c r="F622" s="26">
        <v>328</v>
      </c>
      <c r="G622" s="26">
        <f t="shared" si="370"/>
        <v>6.8849999999999998</v>
      </c>
      <c r="H622" s="26">
        <f t="shared" ref="H622:H640" si="382">ROUND(G622*(1+$J$14),2)</f>
        <v>8.73</v>
      </c>
      <c r="I622" s="26">
        <f t="shared" ref="I622:I627" si="383">ROUND(H622*F622,2)</f>
        <v>2863.44</v>
      </c>
      <c r="J622" s="64" t="e">
        <f>IF(B622&lt;&gt;0,VLOOKUP(B622,#REF!,4,FALSE),"")</f>
        <v>#REF!</v>
      </c>
      <c r="K622" s="362" t="s">
        <v>1886</v>
      </c>
      <c r="L622" s="362">
        <f t="shared" si="372"/>
        <v>2258.2799999999997</v>
      </c>
      <c r="M622" s="64"/>
      <c r="N622" s="65" t="e">
        <f>IF(B622&lt;&gt;0,VLOOKUP(B622,#REF!,2,FALSE),"")</f>
        <v>#REF!</v>
      </c>
      <c r="AY622" s="221"/>
      <c r="AZ622" s="481"/>
      <c r="BA622" s="481"/>
      <c r="BB622" s="481"/>
      <c r="BC622" s="481"/>
      <c r="BD622" s="163">
        <f t="shared" ref="BD622" si="384">ROUND(G622*$BH$19,2)</f>
        <v>7.67</v>
      </c>
      <c r="BE622" s="163">
        <f t="shared" ref="BE622:BE651" si="385">ROUND(BD622*(1+$J$14),2)</f>
        <v>9.73</v>
      </c>
      <c r="BF622" s="163">
        <f t="shared" ref="BF622:BF640" si="386">ROUND(BE622*F622,2)</f>
        <v>3191.44</v>
      </c>
    </row>
    <row r="623" spans="1:59" s="62" customFormat="1" ht="60">
      <c r="A623" s="23" t="s">
        <v>1097</v>
      </c>
      <c r="B623" s="24">
        <v>91890</v>
      </c>
      <c r="C623" s="23" t="s">
        <v>1693</v>
      </c>
      <c r="D623" s="25" t="s">
        <v>12</v>
      </c>
      <c r="E623" s="25" t="s">
        <v>17</v>
      </c>
      <c r="F623" s="26">
        <v>21</v>
      </c>
      <c r="G623" s="26">
        <f t="shared" si="370"/>
        <v>6.375</v>
      </c>
      <c r="H623" s="26">
        <f t="shared" si="382"/>
        <v>8.08</v>
      </c>
      <c r="I623" s="26">
        <f t="shared" si="383"/>
        <v>169.68</v>
      </c>
      <c r="J623" s="64" t="e">
        <f>IF(B623&lt;&gt;0,VLOOKUP(B623,#REF!,4,FALSE),"")</f>
        <v>#REF!</v>
      </c>
      <c r="K623" s="362" t="s">
        <v>3225</v>
      </c>
      <c r="L623" s="362">
        <f t="shared" si="372"/>
        <v>133.875</v>
      </c>
      <c r="M623" s="64"/>
      <c r="N623" s="65" t="e">
        <f>IF(B623&lt;&gt;0,VLOOKUP(B623,#REF!,2,FALSE),"")</f>
        <v>#REF!</v>
      </c>
      <c r="AY623" s="221"/>
      <c r="AZ623" s="481"/>
      <c r="BA623" s="481"/>
      <c r="BB623" s="481"/>
      <c r="BC623" s="481"/>
      <c r="BD623" s="163">
        <f t="shared" ref="BD623:BD651" si="387">ROUND(G623*$BH$19,2)</f>
        <v>7.1</v>
      </c>
      <c r="BE623" s="163">
        <f t="shared" si="385"/>
        <v>9</v>
      </c>
      <c r="BF623" s="163">
        <f t="shared" si="386"/>
        <v>189</v>
      </c>
    </row>
    <row r="624" spans="1:59" s="62" customFormat="1" ht="45">
      <c r="A624" s="23" t="s">
        <v>1098</v>
      </c>
      <c r="B624" s="24">
        <v>91875</v>
      </c>
      <c r="C624" s="23" t="s">
        <v>1694</v>
      </c>
      <c r="D624" s="25" t="s">
        <v>12</v>
      </c>
      <c r="E624" s="25" t="s">
        <v>17</v>
      </c>
      <c r="F624" s="26">
        <v>152</v>
      </c>
      <c r="G624" s="26">
        <f t="shared" si="370"/>
        <v>3.7654999999999998</v>
      </c>
      <c r="H624" s="26">
        <f t="shared" si="382"/>
        <v>4.78</v>
      </c>
      <c r="I624" s="26">
        <f t="shared" si="383"/>
        <v>726.56</v>
      </c>
      <c r="J624" s="64" t="e">
        <f>IF(B624&lt;&gt;0,VLOOKUP(B624,#REF!,4,FALSE),"")</f>
        <v>#REF!</v>
      </c>
      <c r="K624" s="362" t="s">
        <v>1865</v>
      </c>
      <c r="L624" s="362">
        <f t="shared" si="372"/>
        <v>572.35599999999999</v>
      </c>
      <c r="M624" s="64"/>
      <c r="N624" s="65" t="e">
        <f>IF(B624&lt;&gt;0,VLOOKUP(B624,#REF!,2,FALSE),"")</f>
        <v>#REF!</v>
      </c>
      <c r="AY624" s="221"/>
      <c r="AZ624" s="481"/>
      <c r="BA624" s="481"/>
      <c r="BB624" s="481"/>
      <c r="BC624" s="481"/>
      <c r="BD624" s="163">
        <f t="shared" si="387"/>
        <v>4.1900000000000004</v>
      </c>
      <c r="BE624" s="163">
        <f t="shared" si="385"/>
        <v>5.31</v>
      </c>
      <c r="BF624" s="163">
        <f t="shared" si="386"/>
        <v>807.12</v>
      </c>
    </row>
    <row r="625" spans="1:58" s="62" customFormat="1" ht="45">
      <c r="A625" s="23" t="s">
        <v>1099</v>
      </c>
      <c r="B625" s="24">
        <v>91871</v>
      </c>
      <c r="C625" s="23" t="s">
        <v>1695</v>
      </c>
      <c r="D625" s="25" t="s">
        <v>12</v>
      </c>
      <c r="E625" s="25" t="s">
        <v>52</v>
      </c>
      <c r="F625" s="26">
        <v>454</v>
      </c>
      <c r="G625" s="26">
        <f t="shared" si="370"/>
        <v>7.3949999999999996</v>
      </c>
      <c r="H625" s="26">
        <f t="shared" si="382"/>
        <v>9.3800000000000008</v>
      </c>
      <c r="I625" s="26">
        <f t="shared" si="383"/>
        <v>4258.5200000000004</v>
      </c>
      <c r="J625" s="64" t="e">
        <f>IF(B625&lt;&gt;0,VLOOKUP(B625,#REF!,4,FALSE),"")</f>
        <v>#REF!</v>
      </c>
      <c r="K625" s="362" t="s">
        <v>2648</v>
      </c>
      <c r="L625" s="362">
        <f t="shared" si="372"/>
        <v>3357.33</v>
      </c>
      <c r="M625" s="64"/>
      <c r="N625" s="65" t="e">
        <f>IF(B625&lt;&gt;0,VLOOKUP(B625,#REF!,2,FALSE),"")</f>
        <v>#REF!</v>
      </c>
      <c r="AY625" s="221"/>
      <c r="AZ625" s="481"/>
      <c r="BA625" s="481"/>
      <c r="BB625" s="481"/>
      <c r="BC625" s="481"/>
      <c r="BD625" s="163">
        <f t="shared" si="387"/>
        <v>8.24</v>
      </c>
      <c r="BE625" s="163">
        <f t="shared" si="385"/>
        <v>10.45</v>
      </c>
      <c r="BF625" s="163">
        <f t="shared" si="386"/>
        <v>4744.3</v>
      </c>
    </row>
    <row r="626" spans="1:58" s="62" customFormat="1" ht="60">
      <c r="A626" s="23" t="s">
        <v>1100</v>
      </c>
      <c r="B626" s="24">
        <v>91914</v>
      </c>
      <c r="C626" s="23" t="s">
        <v>1696</v>
      </c>
      <c r="D626" s="25" t="s">
        <v>12</v>
      </c>
      <c r="E626" s="25" t="s">
        <v>17</v>
      </c>
      <c r="F626" s="26">
        <v>68</v>
      </c>
      <c r="G626" s="26">
        <f t="shared" si="370"/>
        <v>8.5084999999999997</v>
      </c>
      <c r="H626" s="26">
        <f t="shared" si="382"/>
        <v>10.79</v>
      </c>
      <c r="I626" s="26">
        <f t="shared" si="383"/>
        <v>733.72</v>
      </c>
      <c r="J626" s="64" t="e">
        <f>IF(B626&lt;&gt;0,VLOOKUP(B626,#REF!,4,FALSE),"")</f>
        <v>#REF!</v>
      </c>
      <c r="K626" s="362" t="s">
        <v>1908</v>
      </c>
      <c r="L626" s="362">
        <f t="shared" si="372"/>
        <v>578.57799999999997</v>
      </c>
      <c r="M626" s="64"/>
      <c r="N626" s="65" t="e">
        <f>IF(B626&lt;&gt;0,VLOOKUP(B626,#REF!,2,FALSE),"")</f>
        <v>#REF!</v>
      </c>
      <c r="AY626" s="221"/>
      <c r="AZ626" s="481"/>
      <c r="BA626" s="481"/>
      <c r="BB626" s="481"/>
      <c r="BC626" s="481"/>
      <c r="BD626" s="163">
        <f t="shared" si="387"/>
        <v>9.48</v>
      </c>
      <c r="BE626" s="163">
        <f t="shared" si="385"/>
        <v>12.02</v>
      </c>
      <c r="BF626" s="163">
        <f t="shared" si="386"/>
        <v>817.36</v>
      </c>
    </row>
    <row r="627" spans="1:58" s="62" customFormat="1" ht="45">
      <c r="A627" s="23" t="s">
        <v>1101</v>
      </c>
      <c r="B627" s="24">
        <v>91884</v>
      </c>
      <c r="C627" s="23" t="s">
        <v>1697</v>
      </c>
      <c r="D627" s="25" t="s">
        <v>12</v>
      </c>
      <c r="E627" s="25" t="s">
        <v>17</v>
      </c>
      <c r="F627" s="26">
        <v>288</v>
      </c>
      <c r="G627" s="26">
        <f t="shared" si="370"/>
        <v>5.1849999999999996</v>
      </c>
      <c r="H627" s="26">
        <f t="shared" si="382"/>
        <v>6.58</v>
      </c>
      <c r="I627" s="26">
        <f t="shared" si="383"/>
        <v>1895.04</v>
      </c>
      <c r="J627" s="64" t="e">
        <f>IF(B627&lt;&gt;0,VLOOKUP(B627,#REF!,4,FALSE),"")</f>
        <v>#REF!</v>
      </c>
      <c r="K627" s="362" t="s">
        <v>3141</v>
      </c>
      <c r="L627" s="362">
        <f t="shared" si="372"/>
        <v>1493.28</v>
      </c>
      <c r="M627" s="64"/>
      <c r="N627" s="65" t="e">
        <f>IF(B627&lt;&gt;0,VLOOKUP(B627,#REF!,2,FALSE),"")</f>
        <v>#REF!</v>
      </c>
      <c r="AY627" s="221"/>
      <c r="AZ627" s="481"/>
      <c r="BA627" s="481"/>
      <c r="BB627" s="481"/>
      <c r="BC627" s="481"/>
      <c r="BD627" s="163">
        <f t="shared" si="387"/>
        <v>5.78</v>
      </c>
      <c r="BE627" s="163">
        <f t="shared" si="385"/>
        <v>7.33</v>
      </c>
      <c r="BF627" s="163">
        <f t="shared" si="386"/>
        <v>2111.04</v>
      </c>
    </row>
    <row r="628" spans="1:58" s="62" customFormat="1" ht="30">
      <c r="A628" s="23" t="s">
        <v>1102</v>
      </c>
      <c r="B628" s="24">
        <v>723</v>
      </c>
      <c r="C628" s="23" t="s">
        <v>235</v>
      </c>
      <c r="D628" s="25" t="s">
        <v>44</v>
      </c>
      <c r="E628" s="25" t="s">
        <v>17</v>
      </c>
      <c r="F628" s="26">
        <v>65</v>
      </c>
      <c r="G628" s="26">
        <f t="shared" si="370"/>
        <v>3.4085000000000001</v>
      </c>
      <c r="H628" s="26">
        <f t="shared" si="382"/>
        <v>4.32</v>
      </c>
      <c r="I628" s="26">
        <f t="shared" ref="I628" si="388">ROUND(H628*F628,2)</f>
        <v>280.8</v>
      </c>
      <c r="J628" s="64">
        <f>'COMPOSIÇÃO DE CUSTOS'!G1307</f>
        <v>3.41</v>
      </c>
      <c r="K628" s="362">
        <v>4.01</v>
      </c>
      <c r="L628" s="362">
        <f t="shared" si="372"/>
        <v>221.55250000000001</v>
      </c>
      <c r="M628" s="64"/>
      <c r="N628" s="65"/>
      <c r="AY628" s="221"/>
      <c r="AZ628" s="481"/>
      <c r="BA628" s="481"/>
      <c r="BB628" s="481"/>
      <c r="BC628" s="481"/>
      <c r="BD628" s="163">
        <f t="shared" si="387"/>
        <v>3.8</v>
      </c>
      <c r="BE628" s="163">
        <f t="shared" si="385"/>
        <v>4.82</v>
      </c>
      <c r="BF628" s="163">
        <f t="shared" si="386"/>
        <v>313.3</v>
      </c>
    </row>
    <row r="629" spans="1:58" s="62" customFormat="1" ht="38.25" customHeight="1">
      <c r="A629" s="23" t="s">
        <v>1103</v>
      </c>
      <c r="B629" s="24">
        <v>91864</v>
      </c>
      <c r="C629" s="23" t="s">
        <v>194</v>
      </c>
      <c r="D629" s="25" t="s">
        <v>12</v>
      </c>
      <c r="E629" s="25" t="s">
        <v>52</v>
      </c>
      <c r="F629" s="26">
        <v>19</v>
      </c>
      <c r="G629" s="26">
        <f t="shared" si="370"/>
        <v>9.1204999999999998</v>
      </c>
      <c r="H629" s="26">
        <f t="shared" si="382"/>
        <v>11.57</v>
      </c>
      <c r="I629" s="26">
        <f t="shared" ref="I629:I630" si="389">ROUND(H629*F629,2)</f>
        <v>219.83</v>
      </c>
      <c r="J629" s="64" t="e">
        <f>IF(B629&lt;&gt;0,VLOOKUP(B629,#REF!,4,FALSE),"")</f>
        <v>#REF!</v>
      </c>
      <c r="K629" s="362" t="s">
        <v>1837</v>
      </c>
      <c r="L629" s="362">
        <f t="shared" si="372"/>
        <v>173.2895</v>
      </c>
      <c r="M629" s="64"/>
      <c r="N629" s="65" t="e">
        <f>IF(B629&lt;&gt;0,VLOOKUP(B629,#REF!,2,FALSE),"")</f>
        <v>#REF!</v>
      </c>
      <c r="AY629" s="221"/>
      <c r="AZ629" s="481"/>
      <c r="BA629" s="481"/>
      <c r="BB629" s="481"/>
      <c r="BC629" s="481"/>
      <c r="BD629" s="163">
        <f t="shared" si="387"/>
        <v>10.16</v>
      </c>
      <c r="BE629" s="163">
        <f t="shared" si="385"/>
        <v>12.88</v>
      </c>
      <c r="BF629" s="163">
        <f t="shared" si="386"/>
        <v>244.72</v>
      </c>
    </row>
    <row r="630" spans="1:58" s="62" customFormat="1" ht="32.25" customHeight="1">
      <c r="A630" s="23" t="s">
        <v>1104</v>
      </c>
      <c r="B630" s="24">
        <v>91876</v>
      </c>
      <c r="C630" s="23" t="s">
        <v>195</v>
      </c>
      <c r="D630" s="25" t="s">
        <v>12</v>
      </c>
      <c r="E630" s="25" t="s">
        <v>17</v>
      </c>
      <c r="F630" s="26">
        <v>6</v>
      </c>
      <c r="G630" s="26">
        <f t="shared" si="370"/>
        <v>4.9980000000000002</v>
      </c>
      <c r="H630" s="26">
        <f t="shared" si="382"/>
        <v>6.34</v>
      </c>
      <c r="I630" s="26">
        <f t="shared" si="389"/>
        <v>38.04</v>
      </c>
      <c r="J630" s="64" t="e">
        <f>IF(B630&lt;&gt;0,VLOOKUP(B630,#REF!,4,FALSE),"")</f>
        <v>#REF!</v>
      </c>
      <c r="K630" s="362" t="s">
        <v>3194</v>
      </c>
      <c r="L630" s="362">
        <f t="shared" si="372"/>
        <v>29.988</v>
      </c>
      <c r="M630" s="64"/>
      <c r="N630" s="65" t="e">
        <f>IF(B630&lt;&gt;0,VLOOKUP(B630,#REF!,2,FALSE),"")</f>
        <v>#REF!</v>
      </c>
      <c r="AY630" s="221"/>
      <c r="AZ630" s="481"/>
      <c r="BA630" s="481"/>
      <c r="BB630" s="481"/>
      <c r="BC630" s="481"/>
      <c r="BD630" s="163">
        <f t="shared" si="387"/>
        <v>5.57</v>
      </c>
      <c r="BE630" s="163">
        <f t="shared" si="385"/>
        <v>7.06</v>
      </c>
      <c r="BF630" s="163">
        <f t="shared" si="386"/>
        <v>42.36</v>
      </c>
    </row>
    <row r="631" spans="1:58" s="62" customFormat="1" ht="30">
      <c r="A631" s="23" t="s">
        <v>1105</v>
      </c>
      <c r="B631" s="24">
        <v>63988</v>
      </c>
      <c r="C631" s="23" t="s">
        <v>2242</v>
      </c>
      <c r="D631" s="25" t="s">
        <v>1915</v>
      </c>
      <c r="E631" s="25" t="s">
        <v>17</v>
      </c>
      <c r="F631" s="26">
        <v>2</v>
      </c>
      <c r="G631" s="26">
        <f t="shared" si="370"/>
        <v>82.212000000000003</v>
      </c>
      <c r="H631" s="26">
        <f t="shared" si="382"/>
        <v>104.25</v>
      </c>
      <c r="I631" s="26">
        <f t="shared" ref="I631:I632" si="390">ROUND(H631*F631,2)</f>
        <v>208.5</v>
      </c>
      <c r="J631" s="64">
        <f>'COMPOSIÇÃO DE CUSTOS'!G1123</f>
        <v>82.21</v>
      </c>
      <c r="K631" s="362">
        <v>96.72</v>
      </c>
      <c r="L631" s="362">
        <f t="shared" si="372"/>
        <v>164.42400000000001</v>
      </c>
      <c r="M631" s="64"/>
      <c r="N631" s="65"/>
      <c r="AY631" s="221"/>
      <c r="AZ631" s="481"/>
      <c r="BA631" s="481"/>
      <c r="BB631" s="481"/>
      <c r="BC631" s="481"/>
      <c r="BD631" s="163">
        <f t="shared" si="387"/>
        <v>91.58</v>
      </c>
      <c r="BE631" s="163">
        <f t="shared" si="385"/>
        <v>116.13</v>
      </c>
      <c r="BF631" s="163">
        <f t="shared" si="386"/>
        <v>232.26</v>
      </c>
    </row>
    <row r="632" spans="1:58" s="62" customFormat="1" ht="30">
      <c r="A632" s="23" t="s">
        <v>1106</v>
      </c>
      <c r="B632" s="25" t="s">
        <v>2240</v>
      </c>
      <c r="C632" s="23" t="s">
        <v>2293</v>
      </c>
      <c r="D632" s="25" t="s">
        <v>1915</v>
      </c>
      <c r="E632" s="25" t="s">
        <v>17</v>
      </c>
      <c r="F632" s="26">
        <v>2</v>
      </c>
      <c r="G632" s="26">
        <f t="shared" si="370"/>
        <v>73.5505</v>
      </c>
      <c r="H632" s="26">
        <f t="shared" si="382"/>
        <v>93.27</v>
      </c>
      <c r="I632" s="26">
        <f t="shared" si="390"/>
        <v>186.54</v>
      </c>
      <c r="J632" s="64">
        <f>'COMPOSIÇÃO DE CUSTOS'!G1130</f>
        <v>73.55</v>
      </c>
      <c r="K632" s="362">
        <v>86.53</v>
      </c>
      <c r="L632" s="362">
        <f t="shared" si="372"/>
        <v>147.101</v>
      </c>
      <c r="M632" s="64"/>
      <c r="N632" s="65"/>
      <c r="AY632" s="221"/>
      <c r="AZ632" s="481"/>
      <c r="BA632" s="481"/>
      <c r="BB632" s="481"/>
      <c r="BC632" s="481"/>
      <c r="BD632" s="163">
        <f t="shared" si="387"/>
        <v>81.94</v>
      </c>
      <c r="BE632" s="163">
        <f t="shared" si="385"/>
        <v>103.91</v>
      </c>
      <c r="BF632" s="163">
        <f t="shared" si="386"/>
        <v>207.82</v>
      </c>
    </row>
    <row r="633" spans="1:58" s="62" customFormat="1" ht="30">
      <c r="A633" s="23" t="s">
        <v>1107</v>
      </c>
      <c r="B633" s="24">
        <v>8112</v>
      </c>
      <c r="C633" s="23" t="str">
        <f>'PLANILHA ORÇA - CORREGEDORIA'!C554</f>
        <v>TÊ HORIZONTAL 400 X 50 MM COM BASE LISA PERFURADA PARA ELETROCALHA METÁLICA</v>
      </c>
      <c r="D633" s="25" t="str">
        <f>'PLANILHA ORÇA - CORREGEDORIA'!D554</f>
        <v>ORSE</v>
      </c>
      <c r="E633" s="25" t="s">
        <v>17</v>
      </c>
      <c r="F633" s="26">
        <v>2</v>
      </c>
      <c r="G633" s="26">
        <f t="shared" si="370"/>
        <v>141.4145</v>
      </c>
      <c r="H633" s="26">
        <f t="shared" si="382"/>
        <v>179.33</v>
      </c>
      <c r="I633" s="26">
        <f t="shared" ref="I633:I634" si="391">ROUND(H633*F633,2)</f>
        <v>358.66</v>
      </c>
      <c r="J633" s="64">
        <f>'PLANILHA ORÇA - CORREGEDORIA'!J554</f>
        <v>141.41</v>
      </c>
      <c r="K633" s="362">
        <v>166.37</v>
      </c>
      <c r="L633" s="362">
        <f t="shared" si="372"/>
        <v>282.82900000000001</v>
      </c>
      <c r="M633" s="64"/>
      <c r="N633" s="65"/>
      <c r="AY633" s="221"/>
      <c r="AZ633" s="481"/>
      <c r="BA633" s="481"/>
      <c r="BB633" s="481"/>
      <c r="BC633" s="481"/>
      <c r="BD633" s="163">
        <f t="shared" si="387"/>
        <v>157.54</v>
      </c>
      <c r="BE633" s="163">
        <f t="shared" si="385"/>
        <v>199.78</v>
      </c>
      <c r="BF633" s="163">
        <f t="shared" si="386"/>
        <v>399.56</v>
      </c>
    </row>
    <row r="634" spans="1:58" s="62" customFormat="1" ht="30">
      <c r="A634" s="23" t="s">
        <v>1108</v>
      </c>
      <c r="B634" s="24">
        <v>4109</v>
      </c>
      <c r="C634" s="23" t="str">
        <f>'PLANILHA ORÇA - CORREGEDORIA'!C555</f>
        <v xml:space="preserve">FLANGE DE LIGAÇÃO 400X50MM PARA ELETROCALHA METÁLICA </v>
      </c>
      <c r="D634" s="25" t="str">
        <f>'PLANILHA ORÇA - CORREGEDORIA'!D555</f>
        <v>ORSE</v>
      </c>
      <c r="E634" s="25" t="s">
        <v>17</v>
      </c>
      <c r="F634" s="26">
        <v>2</v>
      </c>
      <c r="G634" s="26">
        <f t="shared" si="370"/>
        <v>26.749499999999998</v>
      </c>
      <c r="H634" s="26">
        <f t="shared" si="382"/>
        <v>33.92</v>
      </c>
      <c r="I634" s="26">
        <f t="shared" si="391"/>
        <v>67.84</v>
      </c>
      <c r="J634" s="64">
        <f>'PLANILHA ORÇA - CORREGEDORIA'!J555</f>
        <v>26.75</v>
      </c>
      <c r="K634" s="362">
        <v>31.47</v>
      </c>
      <c r="L634" s="362">
        <f t="shared" si="372"/>
        <v>53.498999999999995</v>
      </c>
      <c r="M634" s="64"/>
      <c r="N634" s="65"/>
      <c r="AY634" s="221"/>
      <c r="AZ634" s="481"/>
      <c r="BA634" s="481"/>
      <c r="BB634" s="481"/>
      <c r="BC634" s="481"/>
      <c r="BD634" s="163">
        <f t="shared" si="387"/>
        <v>29.8</v>
      </c>
      <c r="BE634" s="163">
        <f t="shared" si="385"/>
        <v>37.79</v>
      </c>
      <c r="BF634" s="163">
        <f t="shared" si="386"/>
        <v>75.58</v>
      </c>
    </row>
    <row r="635" spans="1:58" s="62" customFormat="1" ht="30">
      <c r="A635" s="23" t="s">
        <v>1109</v>
      </c>
      <c r="B635" s="24">
        <v>748</v>
      </c>
      <c r="C635" s="23" t="s">
        <v>201</v>
      </c>
      <c r="D635" s="25" t="s">
        <v>44</v>
      </c>
      <c r="E635" s="25" t="s">
        <v>17</v>
      </c>
      <c r="F635" s="26">
        <v>22</v>
      </c>
      <c r="G635" s="26">
        <f t="shared" si="370"/>
        <v>70.473500000000001</v>
      </c>
      <c r="H635" s="26">
        <f t="shared" si="382"/>
        <v>89.37</v>
      </c>
      <c r="I635" s="26">
        <f t="shared" ref="I635" si="392">ROUND(H635*F635,2)</f>
        <v>1966.14</v>
      </c>
      <c r="J635" s="64">
        <f>'COMPOSIÇÃO DE CUSTOS'!G1053</f>
        <v>70.47</v>
      </c>
      <c r="K635" s="362">
        <v>82.91</v>
      </c>
      <c r="L635" s="362">
        <f t="shared" si="372"/>
        <v>1550.4169999999999</v>
      </c>
      <c r="M635" s="64"/>
      <c r="N635" s="65"/>
      <c r="AY635" s="221"/>
      <c r="AZ635" s="481"/>
      <c r="BA635" s="481"/>
      <c r="BB635" s="481"/>
      <c r="BC635" s="481"/>
      <c r="BD635" s="163">
        <f t="shared" si="387"/>
        <v>78.510000000000005</v>
      </c>
      <c r="BE635" s="163">
        <f t="shared" si="385"/>
        <v>99.56</v>
      </c>
      <c r="BF635" s="163">
        <f t="shared" si="386"/>
        <v>2190.3200000000002</v>
      </c>
    </row>
    <row r="636" spans="1:58" s="62" customFormat="1" ht="30">
      <c r="A636" s="23" t="s">
        <v>1110</v>
      </c>
      <c r="B636" s="24">
        <v>4533</v>
      </c>
      <c r="C636" s="23" t="s">
        <v>203</v>
      </c>
      <c r="D636" s="25" t="s">
        <v>44</v>
      </c>
      <c r="E636" s="25" t="s">
        <v>17</v>
      </c>
      <c r="F636" s="26">
        <v>1</v>
      </c>
      <c r="G636" s="26">
        <f t="shared" si="370"/>
        <v>114.5205</v>
      </c>
      <c r="H636" s="26">
        <f t="shared" si="382"/>
        <v>145.22</v>
      </c>
      <c r="I636" s="26">
        <f t="shared" ref="I636:I637" si="393">ROUND(H636*F636,2)</f>
        <v>145.22</v>
      </c>
      <c r="J636" s="64">
        <f>'COMPOSIÇÃO DE CUSTOS'!G1088</f>
        <v>114.52</v>
      </c>
      <c r="K636" s="362">
        <v>134.72999999999999</v>
      </c>
      <c r="L636" s="362">
        <f t="shared" si="372"/>
        <v>114.5205</v>
      </c>
      <c r="M636" s="64"/>
      <c r="N636" s="65"/>
      <c r="AY636" s="221"/>
      <c r="AZ636" s="481"/>
      <c r="BA636" s="481"/>
      <c r="BB636" s="481"/>
      <c r="BC636" s="481"/>
      <c r="BD636" s="163">
        <f t="shared" si="387"/>
        <v>127.58</v>
      </c>
      <c r="BE636" s="163">
        <f t="shared" si="385"/>
        <v>161.78</v>
      </c>
      <c r="BF636" s="163">
        <f t="shared" si="386"/>
        <v>161.78</v>
      </c>
    </row>
    <row r="637" spans="1:58" s="62" customFormat="1" ht="30">
      <c r="A637" s="23" t="s">
        <v>1111</v>
      </c>
      <c r="B637" s="24">
        <v>10849</v>
      </c>
      <c r="C637" s="23" t="s">
        <v>2292</v>
      </c>
      <c r="D637" s="25" t="s">
        <v>44</v>
      </c>
      <c r="E637" s="25" t="s">
        <v>17</v>
      </c>
      <c r="F637" s="26">
        <v>1</v>
      </c>
      <c r="G637" s="26">
        <f t="shared" si="370"/>
        <v>42.814499999999995</v>
      </c>
      <c r="H637" s="26">
        <f t="shared" si="382"/>
        <v>54.29</v>
      </c>
      <c r="I637" s="26">
        <f t="shared" si="393"/>
        <v>54.29</v>
      </c>
      <c r="J637" s="64">
        <f>'COMPOSIÇÃO DE CUSTOS'!G1095</f>
        <v>42.81</v>
      </c>
      <c r="K637" s="362">
        <v>50.37</v>
      </c>
      <c r="L637" s="362">
        <f t="shared" si="372"/>
        <v>42.814499999999995</v>
      </c>
      <c r="M637" s="64"/>
      <c r="N637" s="65"/>
      <c r="AY637" s="221"/>
      <c r="AZ637" s="481"/>
      <c r="BA637" s="481"/>
      <c r="BB637" s="481"/>
      <c r="BC637" s="481"/>
      <c r="BD637" s="163">
        <f t="shared" si="387"/>
        <v>47.7</v>
      </c>
      <c r="BE637" s="163">
        <f t="shared" si="385"/>
        <v>60.49</v>
      </c>
      <c r="BF637" s="163">
        <f t="shared" si="386"/>
        <v>60.49</v>
      </c>
    </row>
    <row r="638" spans="1:58" s="62" customFormat="1" ht="30">
      <c r="A638" s="23" t="s">
        <v>1112</v>
      </c>
      <c r="B638" s="24">
        <v>7143</v>
      </c>
      <c r="C638" s="23" t="s">
        <v>1753</v>
      </c>
      <c r="D638" s="25" t="s">
        <v>44</v>
      </c>
      <c r="E638" s="25" t="s">
        <v>17</v>
      </c>
      <c r="F638" s="26">
        <v>1</v>
      </c>
      <c r="G638" s="26">
        <f t="shared" si="370"/>
        <v>65.764499999999998</v>
      </c>
      <c r="H638" s="26">
        <f t="shared" si="382"/>
        <v>83.4</v>
      </c>
      <c r="I638" s="26">
        <f t="shared" ref="I638:I639" si="394">ROUND(H638*F638,2)</f>
        <v>83.4</v>
      </c>
      <c r="J638" s="64">
        <f>'COMPOSIÇÃO DE CUSTOS'!G1109</f>
        <v>65.760000000000005</v>
      </c>
      <c r="K638" s="362">
        <v>77.37</v>
      </c>
      <c r="L638" s="362">
        <f t="shared" si="372"/>
        <v>65.764499999999998</v>
      </c>
      <c r="M638" s="64"/>
      <c r="N638" s="65"/>
      <c r="AY638" s="221"/>
      <c r="AZ638" s="481"/>
      <c r="BA638" s="481"/>
      <c r="BB638" s="481"/>
      <c r="BC638" s="481"/>
      <c r="BD638" s="163">
        <f t="shared" si="387"/>
        <v>73.260000000000005</v>
      </c>
      <c r="BE638" s="163">
        <f t="shared" si="385"/>
        <v>92.9</v>
      </c>
      <c r="BF638" s="163">
        <f t="shared" si="386"/>
        <v>92.9</v>
      </c>
    </row>
    <row r="639" spans="1:58" s="62" customFormat="1" ht="30">
      <c r="A639" s="23" t="s">
        <v>1113</v>
      </c>
      <c r="B639" s="24">
        <v>12924</v>
      </c>
      <c r="C639" s="23" t="s">
        <v>1746</v>
      </c>
      <c r="D639" s="25" t="s">
        <v>44</v>
      </c>
      <c r="E639" s="25" t="s">
        <v>17</v>
      </c>
      <c r="F639" s="26">
        <v>2</v>
      </c>
      <c r="G639" s="26">
        <f t="shared" si="370"/>
        <v>11.279499999999999</v>
      </c>
      <c r="H639" s="26">
        <f t="shared" si="382"/>
        <v>14.3</v>
      </c>
      <c r="I639" s="26">
        <f t="shared" si="394"/>
        <v>28.6</v>
      </c>
      <c r="J639" s="64">
        <f>'COMPOSIÇÃO DE CUSTOS'!G1116</f>
        <v>11.28</v>
      </c>
      <c r="K639" s="362">
        <v>13.27</v>
      </c>
      <c r="L639" s="362">
        <f t="shared" si="372"/>
        <v>22.558999999999997</v>
      </c>
      <c r="M639" s="64"/>
      <c r="N639" s="65"/>
      <c r="AY639" s="221"/>
      <c r="AZ639" s="481"/>
      <c r="BA639" s="481"/>
      <c r="BB639" s="481"/>
      <c r="BC639" s="481"/>
      <c r="BD639" s="163">
        <f t="shared" si="387"/>
        <v>12.57</v>
      </c>
      <c r="BE639" s="163">
        <f t="shared" si="385"/>
        <v>15.94</v>
      </c>
      <c r="BF639" s="163">
        <f t="shared" si="386"/>
        <v>31.88</v>
      </c>
    </row>
    <row r="640" spans="1:58" s="62" customFormat="1" ht="30">
      <c r="A640" s="23" t="s">
        <v>1114</v>
      </c>
      <c r="B640" s="24">
        <v>762</v>
      </c>
      <c r="C640" s="23" t="s">
        <v>1749</v>
      </c>
      <c r="D640" s="25" t="s">
        <v>44</v>
      </c>
      <c r="E640" s="25" t="s">
        <v>17</v>
      </c>
      <c r="F640" s="26">
        <v>66</v>
      </c>
      <c r="G640" s="26">
        <f t="shared" si="370"/>
        <v>57.230499999999999</v>
      </c>
      <c r="H640" s="26">
        <f t="shared" si="382"/>
        <v>72.569999999999993</v>
      </c>
      <c r="I640" s="26">
        <f t="shared" ref="I640" si="395">ROUND(H640*F640,2)</f>
        <v>4789.62</v>
      </c>
      <c r="J640" s="64">
        <f>'COMPOSIÇÃO DE CUSTOS'!G1265</f>
        <v>57.23</v>
      </c>
      <c r="K640" s="362">
        <v>67.33</v>
      </c>
      <c r="L640" s="362">
        <f t="shared" si="372"/>
        <v>3777.2129999999997</v>
      </c>
      <c r="M640" s="64"/>
      <c r="N640" s="65"/>
      <c r="AY640" s="221"/>
      <c r="AZ640" s="481"/>
      <c r="BA640" s="481"/>
      <c r="BB640" s="481"/>
      <c r="BC640" s="481"/>
      <c r="BD640" s="163">
        <f t="shared" si="387"/>
        <v>63.76</v>
      </c>
      <c r="BE640" s="163">
        <f t="shared" si="385"/>
        <v>80.849999999999994</v>
      </c>
      <c r="BF640" s="163">
        <f t="shared" si="386"/>
        <v>5336.1</v>
      </c>
    </row>
    <row r="641" spans="1:59" s="62" customFormat="1" ht="15" customHeight="1">
      <c r="A641" s="356" t="s">
        <v>1115</v>
      </c>
      <c r="B641" s="356"/>
      <c r="C641" s="356" t="s">
        <v>239</v>
      </c>
      <c r="D641" s="357"/>
      <c r="E641" s="357"/>
      <c r="F641" s="357"/>
      <c r="G641" s="26"/>
      <c r="H641" s="357"/>
      <c r="I641" s="96"/>
      <c r="J641" s="64"/>
      <c r="K641" s="362"/>
      <c r="L641" s="362">
        <f t="shared" si="372"/>
        <v>0</v>
      </c>
      <c r="M641" s="64"/>
      <c r="N641" s="65"/>
      <c r="AY641" s="221"/>
      <c r="AZ641" s="481"/>
      <c r="BA641" s="481"/>
      <c r="BB641" s="481"/>
      <c r="BC641" s="481"/>
      <c r="BD641" s="163"/>
      <c r="BE641" s="163"/>
      <c r="BF641" s="163"/>
    </row>
    <row r="642" spans="1:59" s="62" customFormat="1" ht="30">
      <c r="A642" s="23" t="s">
        <v>1116</v>
      </c>
      <c r="B642" s="24">
        <f>B579</f>
        <v>7384</v>
      </c>
      <c r="C642" s="23" t="s">
        <v>229</v>
      </c>
      <c r="D642" s="25" t="s">
        <v>44</v>
      </c>
      <c r="E642" s="25" t="s">
        <v>52</v>
      </c>
      <c r="F642" s="26">
        <v>28</v>
      </c>
      <c r="G642" s="26">
        <f t="shared" si="370"/>
        <v>19.244</v>
      </c>
      <c r="H642" s="26">
        <f>ROUND(G642*(1+$J$14),2)</f>
        <v>24.4</v>
      </c>
      <c r="I642" s="26">
        <f t="shared" ref="I642:I646" si="396">ROUND(H642*F642,2)</f>
        <v>683.2</v>
      </c>
      <c r="J642" s="64">
        <f>J579</f>
        <v>19.25</v>
      </c>
      <c r="K642" s="362">
        <v>22.64</v>
      </c>
      <c r="L642" s="362">
        <f t="shared" si="372"/>
        <v>538.83199999999999</v>
      </c>
      <c r="M642" s="64"/>
      <c r="N642" s="65"/>
      <c r="AY642" s="221"/>
      <c r="AZ642" s="481"/>
      <c r="BA642" s="481"/>
      <c r="BB642" s="481"/>
      <c r="BC642" s="481"/>
      <c r="BD642" s="163">
        <f t="shared" si="387"/>
        <v>21.44</v>
      </c>
      <c r="BE642" s="163">
        <f t="shared" si="385"/>
        <v>27.19</v>
      </c>
      <c r="BF642" s="163">
        <f>ROUND(BE642*F642,2)</f>
        <v>761.32</v>
      </c>
    </row>
    <row r="643" spans="1:59" s="62" customFormat="1" ht="30">
      <c r="A643" s="23" t="s">
        <v>1117</v>
      </c>
      <c r="B643" s="24">
        <f>B580</f>
        <v>7879</v>
      </c>
      <c r="C643" s="23" t="s">
        <v>1764</v>
      </c>
      <c r="D643" s="25" t="str">
        <f>D580</f>
        <v>ORSE</v>
      </c>
      <c r="E643" s="25" t="s">
        <v>17</v>
      </c>
      <c r="F643" s="26">
        <v>44</v>
      </c>
      <c r="G643" s="26">
        <f t="shared" si="370"/>
        <v>9.4945000000000004</v>
      </c>
      <c r="H643" s="26">
        <f>ROUND(G643*(1+$J$14),2)</f>
        <v>12.04</v>
      </c>
      <c r="I643" s="26">
        <f t="shared" si="396"/>
        <v>529.76</v>
      </c>
      <c r="J643" s="64">
        <f>J580</f>
        <v>9.49</v>
      </c>
      <c r="K643" s="362">
        <v>11.17</v>
      </c>
      <c r="L643" s="362">
        <f t="shared" si="372"/>
        <v>417.75800000000004</v>
      </c>
      <c r="M643" s="64"/>
      <c r="N643" s="65"/>
      <c r="AY643" s="221"/>
      <c r="AZ643" s="481"/>
      <c r="BA643" s="481"/>
      <c r="BB643" s="481"/>
      <c r="BC643" s="481"/>
      <c r="BD643" s="163">
        <f t="shared" si="387"/>
        <v>10.58</v>
      </c>
      <c r="BE643" s="163">
        <f t="shared" si="385"/>
        <v>13.42</v>
      </c>
      <c r="BF643" s="163">
        <f>ROUND(BE643*F643,2)</f>
        <v>590.48</v>
      </c>
    </row>
    <row r="644" spans="1:59" s="62" customFormat="1" ht="30">
      <c r="A644" s="23" t="s">
        <v>1118</v>
      </c>
      <c r="B644" s="24">
        <f>B581</f>
        <v>12573</v>
      </c>
      <c r="C644" s="23" t="s">
        <v>1760</v>
      </c>
      <c r="D644" s="25" t="str">
        <f>D581</f>
        <v>ORSE</v>
      </c>
      <c r="E644" s="25" t="s">
        <v>17</v>
      </c>
      <c r="F644" s="26">
        <v>44</v>
      </c>
      <c r="G644" s="26">
        <f t="shared" si="370"/>
        <v>9.5794999999999995</v>
      </c>
      <c r="H644" s="26">
        <f>ROUND(G644*(1+$J$14),2)</f>
        <v>12.15</v>
      </c>
      <c r="I644" s="26">
        <f t="shared" si="396"/>
        <v>534.6</v>
      </c>
      <c r="J644" s="64">
        <f>J581</f>
        <v>9.58</v>
      </c>
      <c r="K644" s="362">
        <v>11.27</v>
      </c>
      <c r="L644" s="362">
        <f t="shared" si="372"/>
        <v>421.49799999999999</v>
      </c>
      <c r="M644" s="64"/>
      <c r="N644" s="65"/>
      <c r="AY644" s="221"/>
      <c r="AZ644" s="481"/>
      <c r="BA644" s="481"/>
      <c r="BB644" s="481"/>
      <c r="BC644" s="481"/>
      <c r="BD644" s="163">
        <f t="shared" si="387"/>
        <v>10.67</v>
      </c>
      <c r="BE644" s="163">
        <f t="shared" si="385"/>
        <v>13.53</v>
      </c>
      <c r="BF644" s="163">
        <f>ROUND(BE644*F644,2)</f>
        <v>595.32000000000005</v>
      </c>
    </row>
    <row r="645" spans="1:59" s="62" customFormat="1" ht="30">
      <c r="A645" s="23" t="s">
        <v>1119</v>
      </c>
      <c r="B645" s="24">
        <f>B582</f>
        <v>12976</v>
      </c>
      <c r="C645" s="23" t="s">
        <v>211</v>
      </c>
      <c r="D645" s="25" t="str">
        <f>D582</f>
        <v>ORSE</v>
      </c>
      <c r="E645" s="25" t="s">
        <v>17</v>
      </c>
      <c r="F645" s="26">
        <v>2</v>
      </c>
      <c r="G645" s="26">
        <f t="shared" si="370"/>
        <v>11.662000000000001</v>
      </c>
      <c r="H645" s="26">
        <f>ROUND(G645*(1+$J$14),2)</f>
        <v>14.79</v>
      </c>
      <c r="I645" s="26">
        <f t="shared" si="396"/>
        <v>29.58</v>
      </c>
      <c r="J645" s="64">
        <f>J582</f>
        <v>11.66</v>
      </c>
      <c r="K645" s="362">
        <v>13.72</v>
      </c>
      <c r="L645" s="362">
        <f t="shared" si="372"/>
        <v>23.324000000000002</v>
      </c>
      <c r="M645" s="64"/>
      <c r="N645" s="65"/>
      <c r="AY645" s="221"/>
      <c r="AZ645" s="481"/>
      <c r="BA645" s="481"/>
      <c r="BB645" s="481"/>
      <c r="BC645" s="481"/>
      <c r="BD645" s="163">
        <f t="shared" si="387"/>
        <v>12.99</v>
      </c>
      <c r="BE645" s="163">
        <f t="shared" si="385"/>
        <v>16.47</v>
      </c>
      <c r="BF645" s="163">
        <f>ROUND(BE645*F645,2)</f>
        <v>32.94</v>
      </c>
    </row>
    <row r="646" spans="1:59" s="62" customFormat="1" ht="30">
      <c r="A646" s="23" t="s">
        <v>1120</v>
      </c>
      <c r="B646" s="24">
        <f>B583</f>
        <v>12977</v>
      </c>
      <c r="C646" s="42" t="str">
        <f>C583</f>
        <v>SUPORTE VERTICAL 400 X 50 MM PARA FIXAÇÃO DE ELETROCALHA METÁLICA</v>
      </c>
      <c r="D646" s="25" t="str">
        <f>D583</f>
        <v>ORSE</v>
      </c>
      <c r="E646" s="25" t="s">
        <v>17</v>
      </c>
      <c r="F646" s="26">
        <v>3</v>
      </c>
      <c r="G646" s="26">
        <f t="shared" si="370"/>
        <v>13.5745</v>
      </c>
      <c r="H646" s="26">
        <f>ROUND(G646*(1+$J$14),2)</f>
        <v>17.21</v>
      </c>
      <c r="I646" s="26">
        <f t="shared" si="396"/>
        <v>51.63</v>
      </c>
      <c r="J646" s="64">
        <f>J583</f>
        <v>13.57</v>
      </c>
      <c r="K646" s="362">
        <v>15.97</v>
      </c>
      <c r="L646" s="362">
        <f t="shared" si="372"/>
        <v>40.723500000000001</v>
      </c>
      <c r="M646" s="64"/>
      <c r="N646" s="65"/>
      <c r="AY646" s="221"/>
      <c r="AZ646" s="481"/>
      <c r="BA646" s="481"/>
      <c r="BB646" s="481"/>
      <c r="BC646" s="481"/>
      <c r="BD646" s="163">
        <f t="shared" si="387"/>
        <v>15.12</v>
      </c>
      <c r="BE646" s="163">
        <f t="shared" si="385"/>
        <v>19.170000000000002</v>
      </c>
      <c r="BF646" s="163">
        <f>ROUND(BE646*F646,2)</f>
        <v>57.51</v>
      </c>
    </row>
    <row r="647" spans="1:59" ht="15" customHeight="1">
      <c r="A647" s="356" t="s">
        <v>1121</v>
      </c>
      <c r="B647" s="356"/>
      <c r="C647" s="356" t="s">
        <v>240</v>
      </c>
      <c r="D647" s="357"/>
      <c r="E647" s="357"/>
      <c r="F647" s="357"/>
      <c r="G647" s="26"/>
      <c r="H647" s="357"/>
      <c r="I647" s="96"/>
      <c r="J647" s="35"/>
      <c r="K647" s="375"/>
      <c r="L647" s="362">
        <f t="shared" si="372"/>
        <v>0</v>
      </c>
      <c r="M647" s="35"/>
      <c r="N647" s="35"/>
      <c r="AY647" s="21"/>
      <c r="AZ647" s="481"/>
      <c r="BA647" s="481"/>
      <c r="BB647" s="481"/>
      <c r="BC647" s="481"/>
      <c r="BD647" s="163"/>
      <c r="BE647" s="163"/>
      <c r="BF647" s="163"/>
    </row>
    <row r="648" spans="1:59" ht="45">
      <c r="A648" s="23" t="s">
        <v>1122</v>
      </c>
      <c r="B648" s="24">
        <v>92008</v>
      </c>
      <c r="C648" s="23" t="s">
        <v>1711</v>
      </c>
      <c r="D648" s="25" t="s">
        <v>12</v>
      </c>
      <c r="E648" s="25" t="s">
        <v>17</v>
      </c>
      <c r="F648" s="26">
        <v>172</v>
      </c>
      <c r="G648" s="26">
        <f t="shared" si="370"/>
        <v>29.6905</v>
      </c>
      <c r="H648" s="26">
        <f>ROUND(G648*(1+$J$14),2)</f>
        <v>37.65</v>
      </c>
      <c r="I648" s="26">
        <f t="shared" ref="I648:I650" si="397">ROUND(H648*F648,2)</f>
        <v>6475.8</v>
      </c>
      <c r="J648" s="36" t="e">
        <f>IF(B648&lt;&gt;0,VLOOKUP(B648,#REF!,4,FALSE),"")</f>
        <v>#REF!</v>
      </c>
      <c r="K648" s="374" t="s">
        <v>3166</v>
      </c>
      <c r="L648" s="362">
        <f t="shared" si="372"/>
        <v>5106.7659999999996</v>
      </c>
      <c r="M648" s="36"/>
      <c r="N648" s="37" t="e">
        <f>IF(B648&lt;&gt;0,VLOOKUP(B648,#REF!,2,FALSE),"")</f>
        <v>#REF!</v>
      </c>
      <c r="AY648" s="21"/>
      <c r="AZ648" s="481"/>
      <c r="BA648" s="481"/>
      <c r="BB648" s="481"/>
      <c r="BC648" s="481"/>
      <c r="BD648" s="163">
        <f t="shared" si="387"/>
        <v>33.08</v>
      </c>
      <c r="BE648" s="163">
        <f t="shared" si="385"/>
        <v>41.95</v>
      </c>
      <c r="BF648" s="163">
        <f>ROUND(BE648*F648,2)</f>
        <v>7215.4</v>
      </c>
    </row>
    <row r="649" spans="1:59" ht="45">
      <c r="A649" s="23" t="s">
        <v>1123</v>
      </c>
      <c r="B649" s="24">
        <v>91992</v>
      </c>
      <c r="C649" s="23" t="s">
        <v>1712</v>
      </c>
      <c r="D649" s="25" t="s">
        <v>12</v>
      </c>
      <c r="E649" s="25" t="s">
        <v>17</v>
      </c>
      <c r="F649" s="26">
        <v>4</v>
      </c>
      <c r="G649" s="26">
        <f t="shared" si="370"/>
        <v>25.533999999999999</v>
      </c>
      <c r="H649" s="26">
        <f>ROUND(G649*(1+$J$14),2)</f>
        <v>32.380000000000003</v>
      </c>
      <c r="I649" s="26">
        <f t="shared" si="397"/>
        <v>129.52000000000001</v>
      </c>
      <c r="J649" s="36" t="e">
        <f>IF(B649&lt;&gt;0,VLOOKUP(B649,#REF!,4,FALSE),"")</f>
        <v>#REF!</v>
      </c>
      <c r="K649" s="374" t="s">
        <v>3164</v>
      </c>
      <c r="L649" s="362">
        <f t="shared" si="372"/>
        <v>102.136</v>
      </c>
      <c r="M649" s="36"/>
      <c r="N649" s="37" t="e">
        <f>IF(B649&lt;&gt;0,VLOOKUP(B649,#REF!,2,FALSE),"")</f>
        <v>#REF!</v>
      </c>
      <c r="AY649" s="21"/>
      <c r="AZ649" s="481"/>
      <c r="BA649" s="481"/>
      <c r="BB649" s="481"/>
      <c r="BC649" s="481"/>
      <c r="BD649" s="163">
        <f t="shared" si="387"/>
        <v>28.45</v>
      </c>
      <c r="BE649" s="163">
        <f t="shared" si="385"/>
        <v>36.08</v>
      </c>
      <c r="BF649" s="163">
        <f>ROUND(BE649*F649,2)</f>
        <v>144.32</v>
      </c>
    </row>
    <row r="650" spans="1:59" s="62" customFormat="1" ht="30">
      <c r="A650" s="23" t="s">
        <v>2307</v>
      </c>
      <c r="B650" s="24">
        <v>780</v>
      </c>
      <c r="C650" s="23" t="s">
        <v>1938</v>
      </c>
      <c r="D650" s="25" t="s">
        <v>44</v>
      </c>
      <c r="E650" s="25" t="s">
        <v>17</v>
      </c>
      <c r="F650" s="26">
        <v>17</v>
      </c>
      <c r="G650" s="26">
        <f t="shared" si="370"/>
        <v>57.239000000000004</v>
      </c>
      <c r="H650" s="26">
        <f>ROUND(G650*(1+$J$14),2)</f>
        <v>72.58</v>
      </c>
      <c r="I650" s="26">
        <f t="shared" si="397"/>
        <v>1233.8599999999999</v>
      </c>
      <c r="J650" s="64">
        <f>'COMPOSIÇÃO DE CUSTOS'!G1903</f>
        <v>57.23</v>
      </c>
      <c r="K650" s="362">
        <v>67.34</v>
      </c>
      <c r="L650" s="362">
        <f t="shared" si="372"/>
        <v>973.0630000000001</v>
      </c>
      <c r="M650" s="64"/>
      <c r="N650" s="65"/>
      <c r="AY650" s="221"/>
      <c r="AZ650" s="481"/>
      <c r="BA650" s="481"/>
      <c r="BB650" s="481"/>
      <c r="BC650" s="481"/>
      <c r="BD650" s="163">
        <f t="shared" si="387"/>
        <v>63.76</v>
      </c>
      <c r="BE650" s="163">
        <f t="shared" si="385"/>
        <v>80.849999999999994</v>
      </c>
      <c r="BF650" s="163">
        <f>ROUND(BE650*F650,2)</f>
        <v>1374.45</v>
      </c>
    </row>
    <row r="651" spans="1:59" s="62" customFormat="1" ht="30">
      <c r="A651" s="23" t="s">
        <v>2308</v>
      </c>
      <c r="B651" s="24">
        <v>12397</v>
      </c>
      <c r="C651" s="23" t="s">
        <v>1974</v>
      </c>
      <c r="D651" s="25" t="s">
        <v>44</v>
      </c>
      <c r="E651" s="25" t="s">
        <v>17</v>
      </c>
      <c r="F651" s="26">
        <v>17</v>
      </c>
      <c r="G651" s="26">
        <f t="shared" si="370"/>
        <v>49.291499999999999</v>
      </c>
      <c r="H651" s="26">
        <f>ROUND(G651*(1+$J$14),2)</f>
        <v>62.51</v>
      </c>
      <c r="I651" s="26">
        <f t="shared" ref="I651" si="398">ROUND(H651*F651,2)</f>
        <v>1062.67</v>
      </c>
      <c r="J651" s="64">
        <f>'COMPOSIÇÃO DE CUSTOS'!G2025</f>
        <v>49.28</v>
      </c>
      <c r="K651" s="362">
        <v>57.99</v>
      </c>
      <c r="L651" s="362">
        <f t="shared" si="372"/>
        <v>837.95550000000003</v>
      </c>
      <c r="M651" s="64"/>
      <c r="N651" s="65"/>
      <c r="AY651" s="221"/>
      <c r="AZ651" s="481"/>
      <c r="BA651" s="481"/>
      <c r="BB651" s="481"/>
      <c r="BC651" s="481"/>
      <c r="BD651" s="163">
        <f t="shared" si="387"/>
        <v>54.91</v>
      </c>
      <c r="BE651" s="163">
        <f t="shared" si="385"/>
        <v>69.63</v>
      </c>
      <c r="BF651" s="163">
        <f>ROUND(BE651*F651,2)</f>
        <v>1183.71</v>
      </c>
    </row>
    <row r="652" spans="1:59" s="62" customFormat="1">
      <c r="A652" s="356" t="s">
        <v>1124</v>
      </c>
      <c r="B652" s="356"/>
      <c r="C652" s="356" t="s">
        <v>214</v>
      </c>
      <c r="D652" s="357"/>
      <c r="E652" s="357"/>
      <c r="F652" s="357"/>
      <c r="G652" s="26"/>
      <c r="H652" s="357"/>
      <c r="I652" s="96"/>
      <c r="J652" s="65"/>
      <c r="K652" s="362"/>
      <c r="L652" s="362">
        <f t="shared" si="372"/>
        <v>0</v>
      </c>
      <c r="M652" s="65"/>
      <c r="N652" s="65"/>
      <c r="AY652" s="221"/>
      <c r="AZ652" s="481"/>
      <c r="BA652" s="481"/>
      <c r="BB652" s="481"/>
      <c r="BC652" s="481"/>
      <c r="BD652" s="481"/>
      <c r="BE652" s="481"/>
      <c r="BF652" s="481"/>
    </row>
    <row r="653" spans="1:59" s="34" customFormat="1" ht="45">
      <c r="A653" s="471" t="s">
        <v>1125</v>
      </c>
      <c r="B653" s="475">
        <v>91926</v>
      </c>
      <c r="C653" s="471" t="s">
        <v>1713</v>
      </c>
      <c r="D653" s="472" t="s">
        <v>12</v>
      </c>
      <c r="E653" s="472" t="s">
        <v>52</v>
      </c>
      <c r="F653" s="473">
        <v>2737</v>
      </c>
      <c r="G653" s="473">
        <f t="shared" si="370"/>
        <v>3.0684999999999998</v>
      </c>
      <c r="H653" s="473">
        <f>ROUND(G653*(1+$J$14),2)</f>
        <v>3.89</v>
      </c>
      <c r="I653" s="473">
        <f t="shared" ref="I653:I654" si="399">ROUND(H653*F653,2)</f>
        <v>10646.93</v>
      </c>
      <c r="J653" s="474" t="e">
        <f>IF(B653&lt;&gt;0,VLOOKUP(B653,#REF!,4,FALSE),"")</f>
        <v>#REF!</v>
      </c>
      <c r="K653" s="378" t="s">
        <v>3107</v>
      </c>
      <c r="L653" s="378">
        <f t="shared" si="372"/>
        <v>8398.4844999999987</v>
      </c>
      <c r="M653" s="474"/>
      <c r="N653" s="47" t="e">
        <f>IF(B653&lt;&gt;0,VLOOKUP(B653,#REF!,2,FALSE),"")</f>
        <v>#REF!</v>
      </c>
      <c r="AY653" s="577"/>
      <c r="AZ653" s="502"/>
      <c r="BA653" s="502"/>
      <c r="BB653" s="502"/>
      <c r="BC653" s="502"/>
      <c r="BD653" s="523">
        <f>BG653</f>
        <v>4.33</v>
      </c>
      <c r="BE653" s="523">
        <f>ROUND(BD653*(1+$J$14),2)</f>
        <v>5.49</v>
      </c>
      <c r="BF653" s="523">
        <f>ROUND(BE653*F653,2)</f>
        <v>15026.13</v>
      </c>
      <c r="BG653" s="47">
        <f>'COMPOSIÇÃO AB'!G517</f>
        <v>4.33</v>
      </c>
    </row>
    <row r="654" spans="1:59" s="34" customFormat="1" ht="45">
      <c r="A654" s="471" t="s">
        <v>1126</v>
      </c>
      <c r="B654" s="475">
        <v>91928</v>
      </c>
      <c r="C654" s="471" t="s">
        <v>1904</v>
      </c>
      <c r="D654" s="472" t="s">
        <v>12</v>
      </c>
      <c r="E654" s="472" t="s">
        <v>52</v>
      </c>
      <c r="F654" s="473">
        <v>4450</v>
      </c>
      <c r="G654" s="473">
        <f t="shared" si="370"/>
        <v>5.117</v>
      </c>
      <c r="H654" s="473">
        <f>ROUND(G654*(1+$J$14),2)</f>
        <v>6.49</v>
      </c>
      <c r="I654" s="473">
        <f t="shared" si="399"/>
        <v>28880.5</v>
      </c>
      <c r="J654" s="474" t="e">
        <f>IF(B654&lt;&gt;0,VLOOKUP(B654,#REF!,4,FALSE),"")</f>
        <v>#REF!</v>
      </c>
      <c r="K654" s="378" t="s">
        <v>1864</v>
      </c>
      <c r="L654" s="378">
        <f t="shared" si="372"/>
        <v>22770.65</v>
      </c>
      <c r="M654" s="474"/>
      <c r="N654" s="47" t="e">
        <f>IF(B654&lt;&gt;0,VLOOKUP(B654,#REF!,2,FALSE),"")</f>
        <v>#REF!</v>
      </c>
      <c r="AY654" s="577"/>
      <c r="AZ654" s="502"/>
      <c r="BA654" s="502"/>
      <c r="BB654" s="502"/>
      <c r="BC654" s="502"/>
      <c r="BD654" s="523">
        <f>BG654</f>
        <v>6.67</v>
      </c>
      <c r="BE654" s="523">
        <f>ROUND(BD654*(1+$J$14),2)</f>
        <v>8.4600000000000009</v>
      </c>
      <c r="BF654" s="523">
        <f>ROUND(BE654*F654,2)</f>
        <v>37647</v>
      </c>
      <c r="BG654" s="34">
        <f>'COMPOSIÇÃO AB'!G525</f>
        <v>6.67</v>
      </c>
    </row>
    <row r="655" spans="1:59" s="62" customFormat="1" ht="15" customHeight="1">
      <c r="A655" s="356" t="s">
        <v>1127</v>
      </c>
      <c r="B655" s="356"/>
      <c r="C655" s="356" t="s">
        <v>216</v>
      </c>
      <c r="D655" s="357"/>
      <c r="E655" s="357"/>
      <c r="F655" s="357"/>
      <c r="G655" s="26"/>
      <c r="H655" s="357"/>
      <c r="I655" s="96"/>
      <c r="J655" s="65"/>
      <c r="K655" s="362"/>
      <c r="L655" s="362">
        <f t="shared" si="372"/>
        <v>0</v>
      </c>
      <c r="M655" s="65"/>
      <c r="N655" s="65"/>
      <c r="AY655" s="221"/>
      <c r="AZ655" s="481"/>
      <c r="BA655" s="481"/>
      <c r="BB655" s="481"/>
      <c r="BC655" s="481"/>
      <c r="BD655" s="481"/>
      <c r="BE655" s="481"/>
      <c r="BF655" s="481"/>
    </row>
    <row r="656" spans="1:59" s="62" customFormat="1" ht="30">
      <c r="A656" s="23" t="s">
        <v>1128</v>
      </c>
      <c r="B656" s="25" t="s">
        <v>2285</v>
      </c>
      <c r="C656" s="23" t="s">
        <v>228</v>
      </c>
      <c r="D656" s="25" t="s">
        <v>70</v>
      </c>
      <c r="E656" s="25" t="s">
        <v>17</v>
      </c>
      <c r="F656" s="26">
        <v>20</v>
      </c>
      <c r="G656" s="26">
        <f t="shared" si="370"/>
        <v>43.978999999999999</v>
      </c>
      <c r="H656" s="26">
        <f>ROUND(G656*(1+$J$14),2)</f>
        <v>55.77</v>
      </c>
      <c r="I656" s="26">
        <f t="shared" ref="I656" si="400">ROUND(H656*F656,2)</f>
        <v>1115.4000000000001</v>
      </c>
      <c r="J656" s="64">
        <f>'COMPOSIÇÃO DE CUSTOS'!G1314</f>
        <v>43.97</v>
      </c>
      <c r="K656" s="362">
        <v>51.74</v>
      </c>
      <c r="L656" s="362">
        <f t="shared" si="372"/>
        <v>879.57999999999993</v>
      </c>
      <c r="M656" s="64"/>
      <c r="N656" s="65"/>
      <c r="AY656" s="221"/>
      <c r="AZ656" s="481"/>
      <c r="BA656" s="481"/>
      <c r="BB656" s="481"/>
      <c r="BC656" s="481"/>
      <c r="BD656" s="163">
        <f t="shared" ref="BD656:BD658" si="401">ROUND(G656*$BH$19,2)</f>
        <v>48.99</v>
      </c>
      <c r="BE656" s="163">
        <f t="shared" ref="BE656:BE658" si="402">ROUND(BD656*(1+$J$14),2)</f>
        <v>62.12</v>
      </c>
      <c r="BF656" s="163">
        <f>ROUND(BE656*F656,2)</f>
        <v>1242.4000000000001</v>
      </c>
    </row>
    <row r="657" spans="1:59" ht="45">
      <c r="A657" s="23" t="s">
        <v>1129</v>
      </c>
      <c r="B657" s="24">
        <v>91939</v>
      </c>
      <c r="C657" s="23" t="s">
        <v>1715</v>
      </c>
      <c r="D657" s="25" t="s">
        <v>12</v>
      </c>
      <c r="E657" s="25" t="s">
        <v>17</v>
      </c>
      <c r="F657" s="26">
        <v>4</v>
      </c>
      <c r="G657" s="26">
        <f t="shared" si="370"/>
        <v>16.234999999999999</v>
      </c>
      <c r="H657" s="26">
        <f>ROUND(G657*(1+$J$14),2)</f>
        <v>20.59</v>
      </c>
      <c r="I657" s="26">
        <f t="shared" ref="I657:I658" si="403">ROUND(H657*F657,2)</f>
        <v>82.36</v>
      </c>
      <c r="J657" s="36" t="e">
        <f>IF(B657&lt;&gt;0,VLOOKUP(B657,#REF!,4,FALSE),"")</f>
        <v>#REF!</v>
      </c>
      <c r="K657" s="374" t="s">
        <v>3236</v>
      </c>
      <c r="L657" s="362">
        <f t="shared" si="372"/>
        <v>64.94</v>
      </c>
      <c r="M657" s="36"/>
      <c r="N657" s="37" t="e">
        <f>IF(B657&lt;&gt;0,VLOOKUP(B657,#REF!,2,FALSE),"")</f>
        <v>#REF!</v>
      </c>
      <c r="AY657" s="21"/>
      <c r="AZ657" s="481"/>
      <c r="BA657" s="481"/>
      <c r="BB657" s="481"/>
      <c r="BC657" s="481"/>
      <c r="BD657" s="163">
        <f t="shared" si="401"/>
        <v>18.09</v>
      </c>
      <c r="BE657" s="163">
        <f t="shared" si="402"/>
        <v>22.94</v>
      </c>
      <c r="BF657" s="163">
        <f>ROUND(BE657*F657,2)</f>
        <v>91.76</v>
      </c>
    </row>
    <row r="658" spans="1:59" ht="45">
      <c r="A658" s="23" t="s">
        <v>1130</v>
      </c>
      <c r="B658" s="24">
        <v>91941</v>
      </c>
      <c r="C658" s="23" t="s">
        <v>1716</v>
      </c>
      <c r="D658" s="25" t="s">
        <v>12</v>
      </c>
      <c r="E658" s="25" t="s">
        <v>17</v>
      </c>
      <c r="F658" s="26">
        <v>172</v>
      </c>
      <c r="G658" s="26">
        <f t="shared" si="370"/>
        <v>6.0775000000000006</v>
      </c>
      <c r="H658" s="26">
        <f>ROUND(G658*(1+$J$14),2)</f>
        <v>7.71</v>
      </c>
      <c r="I658" s="26">
        <f t="shared" si="403"/>
        <v>1326.12</v>
      </c>
      <c r="J658" s="36" t="e">
        <f>IF(B658&lt;&gt;0,VLOOKUP(B658,#REF!,4,FALSE),"")</f>
        <v>#REF!</v>
      </c>
      <c r="K658" s="374" t="s">
        <v>3128</v>
      </c>
      <c r="L658" s="362">
        <f t="shared" si="372"/>
        <v>1045.3300000000002</v>
      </c>
      <c r="M658" s="36"/>
      <c r="N658" s="37" t="e">
        <f>IF(B658&lt;&gt;0,VLOOKUP(B658,#REF!,2,FALSE),"")</f>
        <v>#REF!</v>
      </c>
      <c r="AY658" s="21"/>
      <c r="AZ658" s="481"/>
      <c r="BA658" s="481"/>
      <c r="BB658" s="481"/>
      <c r="BC658" s="481"/>
      <c r="BD658" s="163">
        <f t="shared" si="401"/>
        <v>6.77</v>
      </c>
      <c r="BE658" s="163">
        <f t="shared" si="402"/>
        <v>8.59</v>
      </c>
      <c r="BF658" s="163">
        <f>ROUND(BE658*F658,2)</f>
        <v>1477.48</v>
      </c>
    </row>
    <row r="659" spans="1:59" s="27" customFormat="1" ht="27" customHeight="1">
      <c r="A659" s="23"/>
      <c r="B659" s="24"/>
      <c r="C659" s="23"/>
      <c r="D659" s="25"/>
      <c r="E659" s="25"/>
      <c r="F659" s="26"/>
      <c r="G659" s="26"/>
      <c r="H659" s="26"/>
      <c r="I659" s="26"/>
      <c r="J659" s="43"/>
      <c r="K659" s="365"/>
      <c r="L659" s="362">
        <f t="shared" si="372"/>
        <v>0</v>
      </c>
      <c r="M659" s="43"/>
      <c r="N659" s="42"/>
      <c r="AY659" s="552"/>
      <c r="AZ659" s="481"/>
      <c r="BA659" s="481"/>
      <c r="BB659" s="481"/>
      <c r="BC659" s="481"/>
      <c r="BD659" s="481"/>
      <c r="BE659" s="481"/>
      <c r="BF659" s="481"/>
    </row>
    <row r="660" spans="1:59" s="45" customFormat="1" ht="15" customHeight="1">
      <c r="A660" s="356" t="s">
        <v>1131</v>
      </c>
      <c r="B660" s="356"/>
      <c r="C660" s="356" t="s">
        <v>241</v>
      </c>
      <c r="D660" s="357"/>
      <c r="E660" s="357"/>
      <c r="F660" s="357"/>
      <c r="G660" s="26"/>
      <c r="H660" s="357"/>
      <c r="I660" s="96">
        <f>ROUND(SUM(I662:I682),2)</f>
        <v>196411.29</v>
      </c>
      <c r="J660" s="46"/>
      <c r="K660" s="364"/>
      <c r="L660" s="362">
        <f t="shared" si="372"/>
        <v>0</v>
      </c>
      <c r="M660" s="46"/>
      <c r="N660" s="46"/>
      <c r="AY660" s="56"/>
      <c r="AZ660" s="481"/>
      <c r="BA660" s="481"/>
      <c r="BB660" s="481"/>
      <c r="BC660" s="481"/>
      <c r="BD660" s="481"/>
      <c r="BE660" s="481"/>
      <c r="BF660" s="96">
        <f>ROUND(SUM(BF662:BF682),2)</f>
        <v>282593.43</v>
      </c>
    </row>
    <row r="661" spans="1:59" s="62" customFormat="1" ht="15" customHeight="1">
      <c r="A661" s="356" t="s">
        <v>1132</v>
      </c>
      <c r="B661" s="356"/>
      <c r="C661" s="356" t="s">
        <v>242</v>
      </c>
      <c r="D661" s="357"/>
      <c r="E661" s="357"/>
      <c r="F661" s="357"/>
      <c r="G661" s="26"/>
      <c r="H661" s="357"/>
      <c r="I661" s="96"/>
      <c r="J661" s="65"/>
      <c r="K661" s="362"/>
      <c r="L661" s="362">
        <f t="shared" si="372"/>
        <v>0</v>
      </c>
      <c r="M661" s="65"/>
      <c r="N661" s="65"/>
      <c r="AY661" s="221"/>
      <c r="AZ661" s="481"/>
      <c r="BA661" s="481"/>
      <c r="BB661" s="481"/>
      <c r="BC661" s="481"/>
      <c r="BD661" s="481"/>
      <c r="BE661" s="481"/>
      <c r="BF661" s="481"/>
    </row>
    <row r="662" spans="1:59" s="34" customFormat="1" ht="45">
      <c r="A662" s="471" t="s">
        <v>1133</v>
      </c>
      <c r="B662" s="472" t="s">
        <v>2407</v>
      </c>
      <c r="C662" s="471" t="s">
        <v>243</v>
      </c>
      <c r="D662" s="472" t="s">
        <v>1915</v>
      </c>
      <c r="E662" s="472" t="s">
        <v>17</v>
      </c>
      <c r="F662" s="473">
        <v>1</v>
      </c>
      <c r="G662" s="473">
        <f t="shared" si="370"/>
        <v>140118.14800000002</v>
      </c>
      <c r="H662" s="473">
        <f>ROUND(G662*(1+$J$14),2)</f>
        <v>177683.82</v>
      </c>
      <c r="I662" s="473">
        <f t="shared" ref="I662" si="404">ROUND(H662*F662,2)</f>
        <v>177683.82</v>
      </c>
      <c r="J662" s="474">
        <f>'COMPOSIÇÃO DE CUSTOS'!H1349</f>
        <v>140118.14800000002</v>
      </c>
      <c r="K662" s="378">
        <v>164844.88</v>
      </c>
      <c r="L662" s="378">
        <f t="shared" si="372"/>
        <v>140118.14800000002</v>
      </c>
      <c r="M662" s="474"/>
      <c r="N662" s="47"/>
      <c r="AY662" s="577"/>
      <c r="AZ662" s="502"/>
      <c r="BA662" s="502"/>
      <c r="BB662" s="502"/>
      <c r="BC662" s="502"/>
      <c r="BD662" s="523">
        <f>BG662</f>
        <v>203892.08</v>
      </c>
      <c r="BE662" s="523">
        <f>ROUND(BD662*(1+$J$14),2)</f>
        <v>258555.55</v>
      </c>
      <c r="BF662" s="523">
        <f>ROUND(BE662*F662,2)</f>
        <v>258555.55</v>
      </c>
      <c r="BG662" s="34">
        <f>'COMPOSIÇÃO AB'!G622</f>
        <v>203892.08</v>
      </c>
    </row>
    <row r="663" spans="1:59" s="62" customFormat="1" ht="15" customHeight="1">
      <c r="A663" s="356" t="s">
        <v>1134</v>
      </c>
      <c r="B663" s="356"/>
      <c r="C663" s="356" t="s">
        <v>224</v>
      </c>
      <c r="D663" s="357"/>
      <c r="E663" s="357"/>
      <c r="F663" s="357"/>
      <c r="G663" s="26"/>
      <c r="H663" s="357"/>
      <c r="I663" s="96"/>
      <c r="J663" s="65"/>
      <c r="K663" s="362"/>
      <c r="L663" s="362">
        <f t="shared" si="372"/>
        <v>0</v>
      </c>
      <c r="M663" s="65"/>
      <c r="N663" s="65"/>
      <c r="AY663" s="221"/>
      <c r="AZ663" s="481"/>
      <c r="BA663" s="481"/>
      <c r="BB663" s="481"/>
      <c r="BC663" s="481"/>
      <c r="BD663" s="481"/>
      <c r="BE663" s="481"/>
      <c r="BF663" s="481"/>
    </row>
    <row r="664" spans="1:59" s="62" customFormat="1" ht="30">
      <c r="A664" s="23" t="s">
        <v>1135</v>
      </c>
      <c r="B664" s="25" t="s">
        <v>2311</v>
      </c>
      <c r="C664" s="23" t="s">
        <v>244</v>
      </c>
      <c r="D664" s="25" t="s">
        <v>70</v>
      </c>
      <c r="E664" s="25" t="s">
        <v>52</v>
      </c>
      <c r="F664" s="26">
        <v>263</v>
      </c>
      <c r="G664" s="26">
        <f t="shared" ref="G664:G727" si="405">K664-(K664*$K$15)</f>
        <v>17.425000000000001</v>
      </c>
      <c r="H664" s="26">
        <f t="shared" ref="H664:H670" si="406">ROUND(G664*(1+$J$14),2)</f>
        <v>22.1</v>
      </c>
      <c r="I664" s="26">
        <f t="shared" ref="I664:I665" si="407">ROUND(H664*F664,2)</f>
        <v>5812.3</v>
      </c>
      <c r="J664" s="64">
        <f>'COMPOSIÇÃO DE CUSTOS'!G1357</f>
        <v>19.059999999999999</v>
      </c>
      <c r="K664" s="362">
        <v>20.5</v>
      </c>
      <c r="L664" s="362">
        <f t="shared" ref="L664:L727" si="408">F664*G664</f>
        <v>4582.7750000000005</v>
      </c>
      <c r="M664" s="64"/>
      <c r="N664" s="65"/>
      <c r="AY664" s="221"/>
      <c r="AZ664" s="481"/>
      <c r="BA664" s="481"/>
      <c r="BB664" s="481"/>
      <c r="BC664" s="481"/>
      <c r="BD664" s="163">
        <f t="shared" ref="BD664" si="409">ROUND(G664*$BH$19,2)</f>
        <v>19.41</v>
      </c>
      <c r="BE664" s="163">
        <f t="shared" ref="BE664:BE670" si="410">ROUND(BD664*(1+$J$14),2)</f>
        <v>24.61</v>
      </c>
      <c r="BF664" s="163">
        <f t="shared" ref="BF664:BF670" si="411">ROUND(BE664*F664,2)</f>
        <v>6472.43</v>
      </c>
    </row>
    <row r="665" spans="1:59" s="62" customFormat="1" ht="30">
      <c r="A665" s="23" t="s">
        <v>1136</v>
      </c>
      <c r="B665" s="25" t="s">
        <v>2312</v>
      </c>
      <c r="C665" s="23" t="s">
        <v>245</v>
      </c>
      <c r="D665" s="25" t="s">
        <v>70</v>
      </c>
      <c r="E665" s="25" t="s">
        <v>52</v>
      </c>
      <c r="F665" s="26">
        <v>13</v>
      </c>
      <c r="G665" s="26">
        <f t="shared" si="405"/>
        <v>21.5305</v>
      </c>
      <c r="H665" s="26">
        <f t="shared" si="406"/>
        <v>27.3</v>
      </c>
      <c r="I665" s="26">
        <f t="shared" si="407"/>
        <v>354.9</v>
      </c>
      <c r="J665" s="64">
        <f>'COMPOSIÇÃO DE CUSTOS'!G1364</f>
        <v>23.41</v>
      </c>
      <c r="K665" s="362">
        <v>25.33</v>
      </c>
      <c r="L665" s="362">
        <f t="shared" si="408"/>
        <v>279.8965</v>
      </c>
      <c r="M665" s="64"/>
      <c r="N665" s="65"/>
      <c r="AY665" s="221"/>
      <c r="AZ665" s="481"/>
      <c r="BA665" s="481"/>
      <c r="BB665" s="481"/>
      <c r="BC665" s="481"/>
      <c r="BD665" s="163">
        <f t="shared" ref="BD665:BD670" si="412">ROUND(G665*$BH$19,2)</f>
        <v>23.99</v>
      </c>
      <c r="BE665" s="163">
        <f t="shared" si="410"/>
        <v>30.42</v>
      </c>
      <c r="BF665" s="163">
        <f t="shared" si="411"/>
        <v>395.46</v>
      </c>
    </row>
    <row r="666" spans="1:59" s="62" customFormat="1" ht="30">
      <c r="A666" s="23" t="s">
        <v>1137</v>
      </c>
      <c r="B666" s="24">
        <v>749</v>
      </c>
      <c r="C666" s="23" t="s">
        <v>198</v>
      </c>
      <c r="D666" s="25" t="s">
        <v>44</v>
      </c>
      <c r="E666" s="25" t="s">
        <v>17</v>
      </c>
      <c r="F666" s="26">
        <v>2</v>
      </c>
      <c r="G666" s="26">
        <f t="shared" si="405"/>
        <v>55.385999999999996</v>
      </c>
      <c r="H666" s="26">
        <f t="shared" si="406"/>
        <v>70.23</v>
      </c>
      <c r="I666" s="26">
        <f t="shared" ref="I666:I667" si="413">ROUND(H666*F666,2)</f>
        <v>140.46</v>
      </c>
      <c r="J666" s="64">
        <f>'COMPOSIÇÃO DE CUSTOS'!G1032</f>
        <v>55.39</v>
      </c>
      <c r="K666" s="362">
        <v>65.16</v>
      </c>
      <c r="L666" s="362">
        <f t="shared" si="408"/>
        <v>110.77199999999999</v>
      </c>
      <c r="M666" s="64"/>
      <c r="N666" s="65"/>
      <c r="AY666" s="221"/>
      <c r="AZ666" s="481"/>
      <c r="BA666" s="481"/>
      <c r="BB666" s="481"/>
      <c r="BC666" s="481"/>
      <c r="BD666" s="163">
        <f t="shared" si="412"/>
        <v>61.7</v>
      </c>
      <c r="BE666" s="163">
        <f t="shared" si="410"/>
        <v>78.239999999999995</v>
      </c>
      <c r="BF666" s="163">
        <f t="shared" si="411"/>
        <v>156.47999999999999</v>
      </c>
    </row>
    <row r="667" spans="1:59" s="62" customFormat="1" ht="30">
      <c r="A667" s="23" t="s">
        <v>1138</v>
      </c>
      <c r="B667" s="24">
        <v>11286</v>
      </c>
      <c r="C667" s="23" t="s">
        <v>199</v>
      </c>
      <c r="D667" s="25" t="s">
        <v>44</v>
      </c>
      <c r="E667" s="25" t="s">
        <v>17</v>
      </c>
      <c r="F667" s="26">
        <v>2</v>
      </c>
      <c r="G667" s="26">
        <f t="shared" si="405"/>
        <v>63.231499999999997</v>
      </c>
      <c r="H667" s="26">
        <f t="shared" si="406"/>
        <v>80.180000000000007</v>
      </c>
      <c r="I667" s="26">
        <f t="shared" si="413"/>
        <v>160.36000000000001</v>
      </c>
      <c r="J667" s="64">
        <f>'COMPOSIÇÃO DE CUSTOS'!G1039</f>
        <v>63.23</v>
      </c>
      <c r="K667" s="362">
        <v>74.39</v>
      </c>
      <c r="L667" s="362">
        <f t="shared" si="408"/>
        <v>126.46299999999999</v>
      </c>
      <c r="M667" s="64"/>
      <c r="N667" s="65"/>
      <c r="AY667" s="221"/>
      <c r="AZ667" s="481"/>
      <c r="BA667" s="481"/>
      <c r="BB667" s="481"/>
      <c r="BC667" s="481"/>
      <c r="BD667" s="163">
        <f t="shared" si="412"/>
        <v>70.44</v>
      </c>
      <c r="BE667" s="163">
        <f t="shared" si="410"/>
        <v>89.32</v>
      </c>
      <c r="BF667" s="163">
        <f t="shared" si="411"/>
        <v>178.64</v>
      </c>
    </row>
    <row r="668" spans="1:59" s="62" customFormat="1">
      <c r="A668" s="23" t="s">
        <v>1139</v>
      </c>
      <c r="B668" s="24">
        <v>9426</v>
      </c>
      <c r="C668" s="23" t="s">
        <v>246</v>
      </c>
      <c r="D668" s="25" t="s">
        <v>44</v>
      </c>
      <c r="E668" s="25" t="s">
        <v>17</v>
      </c>
      <c r="F668" s="26">
        <v>1</v>
      </c>
      <c r="G668" s="26">
        <f t="shared" si="405"/>
        <v>24.667000000000002</v>
      </c>
      <c r="H668" s="26">
        <f t="shared" si="406"/>
        <v>31.28</v>
      </c>
      <c r="I668" s="26">
        <f t="shared" ref="I668" si="414">ROUND(H668*F668,2)</f>
        <v>31.28</v>
      </c>
      <c r="J668" s="64">
        <f>'COMPOSIÇÃO DE CUSTOS'!G1371</f>
        <v>24.66</v>
      </c>
      <c r="K668" s="362">
        <v>29.02</v>
      </c>
      <c r="L668" s="362">
        <f t="shared" si="408"/>
        <v>24.667000000000002</v>
      </c>
      <c r="M668" s="64"/>
      <c r="N668" s="65"/>
      <c r="AY668" s="221"/>
      <c r="AZ668" s="481"/>
      <c r="BA668" s="481"/>
      <c r="BB668" s="481"/>
      <c r="BC668" s="481"/>
      <c r="BD668" s="163">
        <f t="shared" si="412"/>
        <v>27.48</v>
      </c>
      <c r="BE668" s="163">
        <f t="shared" si="410"/>
        <v>34.85</v>
      </c>
      <c r="BF668" s="163">
        <f t="shared" si="411"/>
        <v>34.85</v>
      </c>
    </row>
    <row r="669" spans="1:59" s="62" customFormat="1" ht="30">
      <c r="A669" s="23" t="s">
        <v>1140</v>
      </c>
      <c r="B669" s="24">
        <v>11522</v>
      </c>
      <c r="C669" s="23" t="s">
        <v>200</v>
      </c>
      <c r="D669" s="25" t="s">
        <v>44</v>
      </c>
      <c r="E669" s="25" t="s">
        <v>17</v>
      </c>
      <c r="F669" s="26">
        <v>3</v>
      </c>
      <c r="G669" s="26">
        <f t="shared" si="405"/>
        <v>28.814999999999998</v>
      </c>
      <c r="H669" s="26">
        <f t="shared" si="406"/>
        <v>36.54</v>
      </c>
      <c r="I669" s="26">
        <f t="shared" ref="I669" si="415">ROUND(H669*F669,2)</f>
        <v>109.62</v>
      </c>
      <c r="J669" s="64">
        <f>'COMPOSIÇÃO DE CUSTOS'!G1046</f>
        <v>28.81</v>
      </c>
      <c r="K669" s="362">
        <v>33.9</v>
      </c>
      <c r="L669" s="362">
        <f t="shared" si="408"/>
        <v>86.444999999999993</v>
      </c>
      <c r="M669" s="64"/>
      <c r="N669" s="65"/>
      <c r="AY669" s="221"/>
      <c r="AZ669" s="481"/>
      <c r="BA669" s="481"/>
      <c r="BB669" s="481"/>
      <c r="BC669" s="481"/>
      <c r="BD669" s="163">
        <f t="shared" si="412"/>
        <v>32.1</v>
      </c>
      <c r="BE669" s="163">
        <f t="shared" si="410"/>
        <v>40.71</v>
      </c>
      <c r="BF669" s="163">
        <f t="shared" si="411"/>
        <v>122.13</v>
      </c>
    </row>
    <row r="670" spans="1:59" s="62" customFormat="1" ht="30">
      <c r="A670" s="23" t="s">
        <v>1141</v>
      </c>
      <c r="B670" s="24">
        <v>6913</v>
      </c>
      <c r="C670" s="23" t="s">
        <v>2315</v>
      </c>
      <c r="D670" s="25" t="s">
        <v>44</v>
      </c>
      <c r="E670" s="25" t="s">
        <v>17</v>
      </c>
      <c r="F670" s="26">
        <v>3</v>
      </c>
      <c r="G670" s="26">
        <f t="shared" si="405"/>
        <v>12.1295</v>
      </c>
      <c r="H670" s="26">
        <f t="shared" si="406"/>
        <v>15.38</v>
      </c>
      <c r="I670" s="26">
        <f t="shared" ref="I670" si="416">ROUND(H670*F670,2)</f>
        <v>46.14</v>
      </c>
      <c r="J670" s="64">
        <f>'COMPOSIÇÃO DE CUSTOS'!G1378</f>
        <v>12.13</v>
      </c>
      <c r="K670" s="362">
        <v>14.27</v>
      </c>
      <c r="L670" s="362">
        <f t="shared" si="408"/>
        <v>36.388500000000001</v>
      </c>
      <c r="M670" s="64"/>
      <c r="N670" s="65"/>
      <c r="AY670" s="221"/>
      <c r="AZ670" s="481"/>
      <c r="BA670" s="481"/>
      <c r="BB670" s="481"/>
      <c r="BC670" s="481"/>
      <c r="BD670" s="163">
        <f t="shared" si="412"/>
        <v>13.51</v>
      </c>
      <c r="BE670" s="163">
        <f t="shared" si="410"/>
        <v>17.13</v>
      </c>
      <c r="BF670" s="163">
        <f t="shared" si="411"/>
        <v>51.39</v>
      </c>
    </row>
    <row r="671" spans="1:59" s="62" customFormat="1">
      <c r="A671" s="356" t="s">
        <v>1142</v>
      </c>
      <c r="B671" s="356"/>
      <c r="C671" s="356" t="s">
        <v>214</v>
      </c>
      <c r="D671" s="357"/>
      <c r="E671" s="357"/>
      <c r="F671" s="357"/>
      <c r="G671" s="26"/>
      <c r="H671" s="357"/>
      <c r="I671" s="96"/>
      <c r="J671" s="65"/>
      <c r="K671" s="362"/>
      <c r="L671" s="362">
        <f t="shared" si="408"/>
        <v>0</v>
      </c>
      <c r="M671" s="65"/>
      <c r="N671" s="65"/>
      <c r="AY671" s="221"/>
      <c r="AZ671" s="481"/>
      <c r="BA671" s="481"/>
      <c r="BB671" s="481"/>
      <c r="BC671" s="481"/>
      <c r="BD671" s="481"/>
      <c r="BE671" s="481"/>
      <c r="BF671" s="481"/>
    </row>
    <row r="672" spans="1:59" s="34" customFormat="1" ht="45">
      <c r="A672" s="471" t="s">
        <v>1143</v>
      </c>
      <c r="B672" s="475">
        <v>91929</v>
      </c>
      <c r="C672" s="471" t="s">
        <v>1714</v>
      </c>
      <c r="D672" s="472" t="s">
        <v>12</v>
      </c>
      <c r="E672" s="472" t="s">
        <v>52</v>
      </c>
      <c r="F672" s="473">
        <v>1458</v>
      </c>
      <c r="G672" s="473">
        <f t="shared" si="405"/>
        <v>5.8819999999999997</v>
      </c>
      <c r="H672" s="473">
        <f>ROUND(G672*(1+$J$14),2)</f>
        <v>7.46</v>
      </c>
      <c r="I672" s="473">
        <f t="shared" ref="I672" si="417">ROUND(H672*F672,2)</f>
        <v>10876.68</v>
      </c>
      <c r="J672" s="474" t="e">
        <f>IF(B672&lt;&gt;0,VLOOKUP(B672,#REF!,4,FALSE),"")</f>
        <v>#REF!</v>
      </c>
      <c r="K672" s="378" t="s">
        <v>1860</v>
      </c>
      <c r="L672" s="378">
        <f t="shared" si="408"/>
        <v>8575.9560000000001</v>
      </c>
      <c r="M672" s="474"/>
      <c r="N672" s="47" t="e">
        <f>IF(B672&lt;&gt;0,VLOOKUP(B672,#REF!,2,FALSE),"")</f>
        <v>#REF!</v>
      </c>
      <c r="AY672" s="577"/>
      <c r="AZ672" s="502"/>
      <c r="BA672" s="502"/>
      <c r="BB672" s="502"/>
      <c r="BC672" s="502"/>
      <c r="BD672" s="523">
        <f>BG672</f>
        <v>8.27</v>
      </c>
      <c r="BE672" s="523">
        <f>ROUND(BD672*(1+$J$14),2)</f>
        <v>10.49</v>
      </c>
      <c r="BF672" s="523">
        <f>ROUND(BE672*F672,2)</f>
        <v>15294.42</v>
      </c>
      <c r="BG672" s="34">
        <f>'COMPOSIÇÃO AB'!G533</f>
        <v>8.27</v>
      </c>
    </row>
    <row r="673" spans="1:59" s="62" customFormat="1" ht="15" customHeight="1">
      <c r="A673" s="356" t="s">
        <v>1144</v>
      </c>
      <c r="B673" s="356"/>
      <c r="C673" s="356" t="s">
        <v>216</v>
      </c>
      <c r="D673" s="357"/>
      <c r="E673" s="357"/>
      <c r="F673" s="357"/>
      <c r="G673" s="26"/>
      <c r="H673" s="357"/>
      <c r="I673" s="96"/>
      <c r="J673" s="65"/>
      <c r="K673" s="362"/>
      <c r="L673" s="362">
        <f t="shared" si="408"/>
        <v>0</v>
      </c>
      <c r="M673" s="65"/>
      <c r="N673" s="65"/>
      <c r="AY673" s="221"/>
      <c r="AZ673" s="481"/>
      <c r="BA673" s="481"/>
      <c r="BB673" s="481"/>
      <c r="BC673" s="481"/>
      <c r="BD673" s="481"/>
      <c r="BE673" s="481"/>
      <c r="BF673" s="481"/>
    </row>
    <row r="674" spans="1:59" s="62" customFormat="1" ht="45">
      <c r="A674" s="23" t="s">
        <v>1145</v>
      </c>
      <c r="B674" s="24">
        <v>95795</v>
      </c>
      <c r="C674" s="23" t="s">
        <v>1707</v>
      </c>
      <c r="D674" s="25" t="s">
        <v>12</v>
      </c>
      <c r="E674" s="25" t="s">
        <v>17</v>
      </c>
      <c r="F674" s="26">
        <v>8</v>
      </c>
      <c r="G674" s="26">
        <f t="shared" si="405"/>
        <v>21.488</v>
      </c>
      <c r="H674" s="26">
        <f t="shared" ref="H674:H679" si="418">ROUND(G674*(1+$J$14),2)</f>
        <v>27.25</v>
      </c>
      <c r="I674" s="26">
        <f t="shared" ref="I674:I679" si="419">ROUND(H674*F674,2)</f>
        <v>218</v>
      </c>
      <c r="J674" s="64" t="e">
        <f>IF(B674&lt;&gt;0,VLOOKUP(B674,#REF!,4,FALSE),"")</f>
        <v>#REF!</v>
      </c>
      <c r="K674" s="362" t="s">
        <v>3238</v>
      </c>
      <c r="L674" s="362">
        <f t="shared" si="408"/>
        <v>171.904</v>
      </c>
      <c r="M674" s="64"/>
      <c r="N674" s="65" t="e">
        <f>IF(B674&lt;&gt;0,VLOOKUP(B674,#REF!,2,FALSE),"")</f>
        <v>#REF!</v>
      </c>
      <c r="AY674" s="221"/>
      <c r="AZ674" s="481"/>
      <c r="BA674" s="481"/>
      <c r="BB674" s="481"/>
      <c r="BC674" s="481"/>
      <c r="BD674" s="163">
        <f t="shared" ref="BD674" si="420">ROUND(G674*$BH$19,2)</f>
        <v>23.94</v>
      </c>
      <c r="BE674" s="163">
        <f t="shared" ref="BE674:BE682" si="421">ROUND(BD674*(1+$J$14),2)</f>
        <v>30.36</v>
      </c>
      <c r="BF674" s="163">
        <f t="shared" ref="BF674:BF679" si="422">ROUND(BE674*F674,2)</f>
        <v>242.88</v>
      </c>
    </row>
    <row r="675" spans="1:59" s="62" customFormat="1" ht="45">
      <c r="A675" s="23" t="s">
        <v>1146</v>
      </c>
      <c r="B675" s="24">
        <v>95787</v>
      </c>
      <c r="C675" s="23" t="s">
        <v>1708</v>
      </c>
      <c r="D675" s="25" t="s">
        <v>12</v>
      </c>
      <c r="E675" s="25" t="s">
        <v>17</v>
      </c>
      <c r="F675" s="26">
        <v>17</v>
      </c>
      <c r="G675" s="26">
        <f t="shared" si="405"/>
        <v>18.614999999999998</v>
      </c>
      <c r="H675" s="26">
        <f t="shared" si="418"/>
        <v>23.61</v>
      </c>
      <c r="I675" s="26">
        <f t="shared" si="419"/>
        <v>401.37</v>
      </c>
      <c r="J675" s="64" t="e">
        <f>IF(B675&lt;&gt;0,VLOOKUP(B675,#REF!,4,FALSE),"")</f>
        <v>#REF!</v>
      </c>
      <c r="K675" s="362" t="s">
        <v>1888</v>
      </c>
      <c r="L675" s="362">
        <f t="shared" si="408"/>
        <v>316.45499999999998</v>
      </c>
      <c r="M675" s="64"/>
      <c r="N675" s="65" t="e">
        <f>IF(B675&lt;&gt;0,VLOOKUP(B675,#REF!,2,FALSE),"")</f>
        <v>#REF!</v>
      </c>
      <c r="AY675" s="221"/>
      <c r="AZ675" s="481"/>
      <c r="BA675" s="481"/>
      <c r="BB675" s="481"/>
      <c r="BC675" s="481"/>
      <c r="BD675" s="163">
        <f t="shared" ref="BD675:BD682" si="423">ROUND(G675*$BH$19,2)</f>
        <v>20.74</v>
      </c>
      <c r="BE675" s="163">
        <f t="shared" si="421"/>
        <v>26.3</v>
      </c>
      <c r="BF675" s="163">
        <f t="shared" si="422"/>
        <v>447.1</v>
      </c>
    </row>
    <row r="676" spans="1:59" s="62" customFormat="1" ht="45">
      <c r="A676" s="23" t="s">
        <v>1147</v>
      </c>
      <c r="B676" s="24">
        <v>95779</v>
      </c>
      <c r="C676" s="23" t="s">
        <v>1710</v>
      </c>
      <c r="D676" s="25" t="s">
        <v>12</v>
      </c>
      <c r="E676" s="25" t="s">
        <v>17</v>
      </c>
      <c r="F676" s="26">
        <v>7</v>
      </c>
      <c r="G676" s="26">
        <f t="shared" si="405"/>
        <v>17.442</v>
      </c>
      <c r="H676" s="26">
        <f t="shared" si="418"/>
        <v>22.12</v>
      </c>
      <c r="I676" s="26">
        <f t="shared" si="419"/>
        <v>154.84</v>
      </c>
      <c r="J676" s="64" t="e">
        <f>IF(B676&lt;&gt;0,VLOOKUP(B676,#REF!,4,FALSE),"")</f>
        <v>#REF!</v>
      </c>
      <c r="K676" s="362" t="s">
        <v>1900</v>
      </c>
      <c r="L676" s="362">
        <f t="shared" si="408"/>
        <v>122.09399999999999</v>
      </c>
      <c r="M676" s="64"/>
      <c r="N676" s="65" t="e">
        <f>IF(B676&lt;&gt;0,VLOOKUP(B676,#REF!,2,FALSE),"")</f>
        <v>#REF!</v>
      </c>
      <c r="AY676" s="221"/>
      <c r="AZ676" s="481"/>
      <c r="BA676" s="481"/>
      <c r="BB676" s="481"/>
      <c r="BC676" s="481"/>
      <c r="BD676" s="163">
        <f t="shared" si="423"/>
        <v>19.43</v>
      </c>
      <c r="BE676" s="163">
        <f t="shared" si="421"/>
        <v>24.64</v>
      </c>
      <c r="BF676" s="163">
        <f t="shared" si="422"/>
        <v>172.48</v>
      </c>
    </row>
    <row r="677" spans="1:59" s="62" customFormat="1" ht="45">
      <c r="A677" s="23" t="s">
        <v>1148</v>
      </c>
      <c r="B677" s="24">
        <v>95801</v>
      </c>
      <c r="C677" s="23" t="s">
        <v>1717</v>
      </c>
      <c r="D677" s="25" t="s">
        <v>12</v>
      </c>
      <c r="E677" s="25" t="s">
        <v>17</v>
      </c>
      <c r="F677" s="26">
        <v>2</v>
      </c>
      <c r="G677" s="26">
        <f t="shared" si="405"/>
        <v>26.137499999999999</v>
      </c>
      <c r="H677" s="26">
        <f t="shared" si="418"/>
        <v>33.14</v>
      </c>
      <c r="I677" s="26">
        <f t="shared" si="419"/>
        <v>66.28</v>
      </c>
      <c r="J677" s="64" t="e">
        <f>IF(B677&lt;&gt;0,VLOOKUP(B677,#REF!,4,FALSE),"")</f>
        <v>#REF!</v>
      </c>
      <c r="K677" s="362" t="s">
        <v>3030</v>
      </c>
      <c r="L677" s="362">
        <f t="shared" si="408"/>
        <v>52.274999999999999</v>
      </c>
      <c r="M677" s="64"/>
      <c r="N677" s="65" t="e">
        <f>IF(B677&lt;&gt;0,VLOOKUP(B677,#REF!,2,FALSE),"")</f>
        <v>#REF!</v>
      </c>
      <c r="AY677" s="221"/>
      <c r="AZ677" s="481"/>
      <c r="BA677" s="481"/>
      <c r="BB677" s="481"/>
      <c r="BC677" s="481"/>
      <c r="BD677" s="163">
        <f t="shared" si="423"/>
        <v>29.12</v>
      </c>
      <c r="BE677" s="163">
        <f t="shared" si="421"/>
        <v>36.93</v>
      </c>
      <c r="BF677" s="163">
        <f t="shared" si="422"/>
        <v>73.86</v>
      </c>
    </row>
    <row r="678" spans="1:59" s="62" customFormat="1" ht="45">
      <c r="A678" s="23" t="s">
        <v>1149</v>
      </c>
      <c r="B678" s="24">
        <v>95778</v>
      </c>
      <c r="C678" s="23" t="s">
        <v>1709</v>
      </c>
      <c r="D678" s="25" t="s">
        <v>12</v>
      </c>
      <c r="E678" s="25" t="s">
        <v>17</v>
      </c>
      <c r="F678" s="26">
        <v>5</v>
      </c>
      <c r="G678" s="26">
        <f t="shared" si="405"/>
        <v>19.3035</v>
      </c>
      <c r="H678" s="26">
        <f t="shared" si="418"/>
        <v>24.48</v>
      </c>
      <c r="I678" s="26">
        <f t="shared" si="419"/>
        <v>122.4</v>
      </c>
      <c r="J678" s="64" t="e">
        <f>IF(B678&lt;&gt;0,VLOOKUP(B678,#REF!,4,FALSE),"")</f>
        <v>#REF!</v>
      </c>
      <c r="K678" s="362" t="s">
        <v>3137</v>
      </c>
      <c r="L678" s="362">
        <f t="shared" si="408"/>
        <v>96.517499999999998</v>
      </c>
      <c r="M678" s="64"/>
      <c r="N678" s="65" t="e">
        <f>IF(B678&lt;&gt;0,VLOOKUP(B678,#REF!,2,FALSE),"")</f>
        <v>#REF!</v>
      </c>
      <c r="AY678" s="221"/>
      <c r="AZ678" s="481"/>
      <c r="BA678" s="481"/>
      <c r="BB678" s="481"/>
      <c r="BC678" s="481"/>
      <c r="BD678" s="163">
        <f t="shared" si="423"/>
        <v>21.5</v>
      </c>
      <c r="BE678" s="163">
        <f t="shared" si="421"/>
        <v>27.26</v>
      </c>
      <c r="BF678" s="163">
        <f t="shared" si="422"/>
        <v>136.30000000000001</v>
      </c>
    </row>
    <row r="679" spans="1:59" s="62" customFormat="1" ht="45">
      <c r="A679" s="23" t="s">
        <v>1150</v>
      </c>
      <c r="B679" s="24">
        <v>95796</v>
      </c>
      <c r="C679" s="23" t="s">
        <v>1691</v>
      </c>
      <c r="D679" s="25" t="s">
        <v>12</v>
      </c>
      <c r="E679" s="25" t="s">
        <v>17</v>
      </c>
      <c r="F679" s="26">
        <v>4</v>
      </c>
      <c r="G679" s="26">
        <f t="shared" si="405"/>
        <v>28.092499999999998</v>
      </c>
      <c r="H679" s="26">
        <f t="shared" si="418"/>
        <v>35.619999999999997</v>
      </c>
      <c r="I679" s="26">
        <f t="shared" si="419"/>
        <v>142.47999999999999</v>
      </c>
      <c r="J679" s="64" t="e">
        <f>IF(B679&lt;&gt;0,VLOOKUP(B679,#REF!,4,FALSE),"")</f>
        <v>#REF!</v>
      </c>
      <c r="K679" s="362" t="s">
        <v>3187</v>
      </c>
      <c r="L679" s="362">
        <f t="shared" si="408"/>
        <v>112.36999999999999</v>
      </c>
      <c r="M679" s="64"/>
      <c r="N679" s="65" t="e">
        <f>IF(B679&lt;&gt;0,VLOOKUP(B679,#REF!,2,FALSE),"")</f>
        <v>#REF!</v>
      </c>
      <c r="AY679" s="221"/>
      <c r="AZ679" s="481"/>
      <c r="BA679" s="481"/>
      <c r="BB679" s="481"/>
      <c r="BC679" s="481"/>
      <c r="BD679" s="163">
        <f t="shared" si="423"/>
        <v>31.3</v>
      </c>
      <c r="BE679" s="163">
        <f t="shared" si="421"/>
        <v>39.69</v>
      </c>
      <c r="BF679" s="163">
        <f t="shared" si="422"/>
        <v>158.76</v>
      </c>
    </row>
    <row r="680" spans="1:59" s="62" customFormat="1" ht="15" customHeight="1">
      <c r="A680" s="356" t="s">
        <v>1151</v>
      </c>
      <c r="B680" s="356"/>
      <c r="C680" s="356" t="s">
        <v>209</v>
      </c>
      <c r="D680" s="357"/>
      <c r="E680" s="357"/>
      <c r="F680" s="357"/>
      <c r="G680" s="26"/>
      <c r="H680" s="357"/>
      <c r="I680" s="96"/>
      <c r="J680" s="65"/>
      <c r="K680" s="362"/>
      <c r="L680" s="362">
        <f t="shared" si="408"/>
        <v>0</v>
      </c>
      <c r="M680" s="65"/>
      <c r="N680" s="65"/>
      <c r="AY680" s="221"/>
      <c r="AZ680" s="481"/>
      <c r="BA680" s="481"/>
      <c r="BB680" s="481"/>
      <c r="BC680" s="481"/>
      <c r="BD680" s="163"/>
      <c r="BE680" s="163"/>
      <c r="BF680" s="163"/>
    </row>
    <row r="681" spans="1:59" s="62" customFormat="1" ht="30">
      <c r="A681" s="23" t="s">
        <v>1152</v>
      </c>
      <c r="B681" s="24">
        <v>8697</v>
      </c>
      <c r="C681" s="23" t="s">
        <v>1762</v>
      </c>
      <c r="D681" s="25" t="s">
        <v>44</v>
      </c>
      <c r="E681" s="25" t="s">
        <v>17</v>
      </c>
      <c r="F681" s="26">
        <v>4</v>
      </c>
      <c r="G681" s="26">
        <f t="shared" si="405"/>
        <v>8.1940000000000008</v>
      </c>
      <c r="H681" s="26">
        <f>ROUND(G681*(1+$J$14),2)</f>
        <v>10.39</v>
      </c>
      <c r="I681" s="26">
        <f t="shared" ref="I681" si="424">ROUND(H681*F681,2)</f>
        <v>41.56</v>
      </c>
      <c r="J681" s="64">
        <f>'COMPOSIÇÃO DE CUSTOS'!G1202</f>
        <v>8.19</v>
      </c>
      <c r="K681" s="362">
        <v>9.64</v>
      </c>
      <c r="L681" s="362">
        <f t="shared" si="408"/>
        <v>32.776000000000003</v>
      </c>
      <c r="M681" s="64"/>
      <c r="N681" s="65"/>
      <c r="AY681" s="221"/>
      <c r="AZ681" s="481"/>
      <c r="BA681" s="481"/>
      <c r="BB681" s="481"/>
      <c r="BC681" s="481"/>
      <c r="BD681" s="163">
        <f t="shared" si="423"/>
        <v>9.1300000000000008</v>
      </c>
      <c r="BE681" s="163">
        <f t="shared" si="421"/>
        <v>11.58</v>
      </c>
      <c r="BF681" s="163">
        <f>ROUND(BE681*F681,2)</f>
        <v>46.32</v>
      </c>
    </row>
    <row r="682" spans="1:59" s="62" customFormat="1" ht="30">
      <c r="A682" s="23" t="s">
        <v>1153</v>
      </c>
      <c r="B682" s="24">
        <v>7384</v>
      </c>
      <c r="C682" s="23" t="s">
        <v>229</v>
      </c>
      <c r="D682" s="25" t="s">
        <v>44</v>
      </c>
      <c r="E682" s="25" t="s">
        <v>52</v>
      </c>
      <c r="F682" s="26">
        <v>2</v>
      </c>
      <c r="G682" s="26">
        <f t="shared" si="405"/>
        <v>19.244</v>
      </c>
      <c r="H682" s="26">
        <f>ROUND(G682*(1+$J$14),2)</f>
        <v>24.4</v>
      </c>
      <c r="I682" s="26">
        <f t="shared" ref="I682" si="425">ROUND(H682*F682,2)</f>
        <v>48.8</v>
      </c>
      <c r="J682" s="64">
        <f>J642</f>
        <v>19.25</v>
      </c>
      <c r="K682" s="362">
        <v>22.64</v>
      </c>
      <c r="L682" s="362">
        <f t="shared" si="408"/>
        <v>38.488</v>
      </c>
      <c r="M682" s="64"/>
      <c r="N682" s="65"/>
      <c r="AY682" s="221"/>
      <c r="AZ682" s="481"/>
      <c r="BA682" s="481"/>
      <c r="BB682" s="481"/>
      <c r="BC682" s="481"/>
      <c r="BD682" s="163">
        <f t="shared" si="423"/>
        <v>21.44</v>
      </c>
      <c r="BE682" s="163">
        <f t="shared" si="421"/>
        <v>27.19</v>
      </c>
      <c r="BF682" s="163">
        <f>ROUND(BE682*F682,2)</f>
        <v>54.38</v>
      </c>
    </row>
    <row r="683" spans="1:59" ht="26.25" customHeight="1">
      <c r="A683" s="23"/>
      <c r="B683" s="25"/>
      <c r="C683" s="23"/>
      <c r="D683" s="25"/>
      <c r="E683" s="25"/>
      <c r="F683" s="26"/>
      <c r="G683" s="26"/>
      <c r="H683" s="26"/>
      <c r="I683" s="155"/>
      <c r="J683" s="35"/>
      <c r="K683" s="375"/>
      <c r="L683" s="362">
        <f t="shared" si="408"/>
        <v>0</v>
      </c>
      <c r="M683" s="35"/>
      <c r="N683" s="35"/>
      <c r="AY683" s="21"/>
      <c r="AZ683" s="481"/>
      <c r="BA683" s="481"/>
      <c r="BB683" s="481"/>
      <c r="BC683" s="481"/>
      <c r="BD683" s="481"/>
      <c r="BE683" s="481"/>
      <c r="BF683" s="481"/>
    </row>
    <row r="684" spans="1:59" s="45" customFormat="1" ht="15" customHeight="1">
      <c r="A684" s="356" t="s">
        <v>1154</v>
      </c>
      <c r="B684" s="356"/>
      <c r="C684" s="356" t="s">
        <v>247</v>
      </c>
      <c r="D684" s="357"/>
      <c r="E684" s="357"/>
      <c r="F684" s="357"/>
      <c r="G684" s="26"/>
      <c r="H684" s="156"/>
      <c r="I684" s="355">
        <f>ROUND(SUM(I686:I743),2)</f>
        <v>223040.44</v>
      </c>
      <c r="J684" s="51"/>
      <c r="K684" s="51"/>
      <c r="L684" s="362">
        <f t="shared" si="408"/>
        <v>0</v>
      </c>
      <c r="M684" s="51"/>
      <c r="N684" s="52"/>
      <c r="AY684" s="56"/>
      <c r="AZ684" s="481"/>
      <c r="BA684" s="481"/>
      <c r="BB684" s="481"/>
      <c r="BC684" s="481"/>
      <c r="BD684" s="481"/>
      <c r="BE684" s="481"/>
      <c r="BF684" s="547">
        <f>ROUND(SUM(BF686:BF743),2)</f>
        <v>233829.73</v>
      </c>
    </row>
    <row r="685" spans="1:59" s="62" customFormat="1" ht="15" customHeight="1">
      <c r="A685" s="356" t="s">
        <v>1155</v>
      </c>
      <c r="B685" s="356"/>
      <c r="C685" s="356" t="s">
        <v>248</v>
      </c>
      <c r="D685" s="357"/>
      <c r="E685" s="357"/>
      <c r="F685" s="357"/>
      <c r="G685" s="26"/>
      <c r="H685" s="156"/>
      <c r="I685" s="355"/>
      <c r="J685" s="67"/>
      <c r="K685" s="385"/>
      <c r="L685" s="362">
        <f t="shared" si="408"/>
        <v>0</v>
      </c>
      <c r="M685" s="67"/>
      <c r="N685" s="65"/>
      <c r="AY685" s="221"/>
      <c r="AZ685" s="481"/>
      <c r="BA685" s="481"/>
      <c r="BB685" s="481"/>
      <c r="BC685" s="481"/>
      <c r="BD685" s="481"/>
      <c r="BE685" s="481"/>
      <c r="BF685" s="481"/>
    </row>
    <row r="686" spans="1:59" s="62" customFormat="1" ht="49.5" customHeight="1">
      <c r="A686" s="23" t="s">
        <v>1156</v>
      </c>
      <c r="B686" s="24">
        <v>97585</v>
      </c>
      <c r="C686" s="23" t="s">
        <v>2508</v>
      </c>
      <c r="D686" s="25" t="s">
        <v>12</v>
      </c>
      <c r="E686" s="25" t="s">
        <v>17</v>
      </c>
      <c r="F686" s="26">
        <v>6</v>
      </c>
      <c r="G686" s="26">
        <f t="shared" si="405"/>
        <v>59.16</v>
      </c>
      <c r="H686" s="157">
        <f t="shared" ref="H686:H692" si="426">ROUND(G686*(1+$J$14),2)</f>
        <v>75.02</v>
      </c>
      <c r="I686" s="158">
        <f t="shared" ref="I686" si="427">ROUND(H686*F686,2)</f>
        <v>450.12</v>
      </c>
      <c r="J686" s="66" t="e">
        <f>IF(B686&lt;&gt;0,VLOOKUP(B686,#REF!,4,FALSE),"")</f>
        <v>#REF!</v>
      </c>
      <c r="K686" s="385" t="s">
        <v>3257</v>
      </c>
      <c r="L686" s="362">
        <f t="shared" si="408"/>
        <v>354.96</v>
      </c>
      <c r="M686" s="66"/>
      <c r="N686" s="65" t="e">
        <f>IF(B686&lt;&gt;0,VLOOKUP(B686,#REF!,2,FALSE),"")</f>
        <v>#REF!</v>
      </c>
      <c r="AY686" s="221"/>
      <c r="AZ686" s="481"/>
      <c r="BA686" s="481"/>
      <c r="BB686" s="481"/>
      <c r="BC686" s="481"/>
      <c r="BD686" s="163">
        <f t="shared" ref="BD686" si="428">ROUND(G686*$BH$19,2)</f>
        <v>65.900000000000006</v>
      </c>
      <c r="BE686" s="163">
        <f t="shared" ref="BE686" si="429">ROUND(BD686*(1+$J$14),2)</f>
        <v>83.57</v>
      </c>
      <c r="BF686" s="163">
        <f t="shared" ref="BF686:BF692" si="430">ROUND(BE686*F686,2)</f>
        <v>501.42</v>
      </c>
    </row>
    <row r="687" spans="1:59" s="34" customFormat="1" ht="30">
      <c r="A687" s="471" t="s">
        <v>1157</v>
      </c>
      <c r="B687" s="475">
        <v>539</v>
      </c>
      <c r="C687" s="471" t="s">
        <v>1931</v>
      </c>
      <c r="D687" s="472" t="s">
        <v>44</v>
      </c>
      <c r="E687" s="472" t="s">
        <v>17</v>
      </c>
      <c r="F687" s="473">
        <v>203</v>
      </c>
      <c r="G687" s="473">
        <f t="shared" si="405"/>
        <v>189.26949999999999</v>
      </c>
      <c r="H687" s="473">
        <f t="shared" si="426"/>
        <v>240.01</v>
      </c>
      <c r="I687" s="573">
        <f t="shared" ref="I687" si="431">ROUND(H687*F687,2)</f>
        <v>48722.03</v>
      </c>
      <c r="J687" s="474">
        <f>'COMPOSIÇÃO DE CUSTOS'!G1886</f>
        <v>189.27</v>
      </c>
      <c r="K687" s="378">
        <v>222.67</v>
      </c>
      <c r="L687" s="378">
        <f t="shared" si="408"/>
        <v>38421.708500000001</v>
      </c>
      <c r="M687" s="474"/>
      <c r="N687" s="47"/>
      <c r="AY687" s="577"/>
      <c r="AZ687" s="502"/>
      <c r="BA687" s="502"/>
      <c r="BB687" s="502"/>
      <c r="BC687" s="502"/>
      <c r="BD687" s="523">
        <f>BG687</f>
        <v>250.63</v>
      </c>
      <c r="BE687" s="523">
        <f>ROUND(BD687*(1+$J$14),2)</f>
        <v>317.82</v>
      </c>
      <c r="BF687" s="523">
        <f t="shared" si="430"/>
        <v>64517.46</v>
      </c>
      <c r="BG687" s="34">
        <f>'COMPOSIÇÃO AB'!G741</f>
        <v>250.63</v>
      </c>
    </row>
    <row r="688" spans="1:59" s="62" customFormat="1" ht="30">
      <c r="A688" s="23" t="s">
        <v>1158</v>
      </c>
      <c r="B688" s="24">
        <v>38770</v>
      </c>
      <c r="C688" s="23" t="s">
        <v>2029</v>
      </c>
      <c r="D688" s="25" t="s">
        <v>1915</v>
      </c>
      <c r="E688" s="25" t="s">
        <v>17</v>
      </c>
      <c r="F688" s="26">
        <v>28</v>
      </c>
      <c r="G688" s="26">
        <f t="shared" si="405"/>
        <v>75.267499999999998</v>
      </c>
      <c r="H688" s="26">
        <f t="shared" si="426"/>
        <v>95.45</v>
      </c>
      <c r="I688" s="26">
        <f t="shared" ref="I688:I689" si="432">ROUND(H688*F688,2)</f>
        <v>2672.6</v>
      </c>
      <c r="J688" s="64">
        <f>'COMPOSIÇÃO DE CUSTOS'!G2207</f>
        <v>75.25</v>
      </c>
      <c r="K688" s="362">
        <v>88.55</v>
      </c>
      <c r="L688" s="362">
        <f t="shared" si="408"/>
        <v>2107.4899999999998</v>
      </c>
      <c r="M688" s="64"/>
      <c r="N688" s="65"/>
      <c r="AY688" s="221"/>
      <c r="AZ688" s="481"/>
      <c r="BA688" s="481"/>
      <c r="BB688" s="481"/>
      <c r="BC688" s="481"/>
      <c r="BD688" s="163">
        <f t="shared" ref="BD688:BD689" si="433">ROUND(G688*$BH$19,2)</f>
        <v>83.85</v>
      </c>
      <c r="BE688" s="163">
        <f t="shared" ref="BE688:BE689" si="434">ROUND(BD688*(1+$J$14),2)</f>
        <v>106.33</v>
      </c>
      <c r="BF688" s="163">
        <f t="shared" si="430"/>
        <v>2977.24</v>
      </c>
    </row>
    <row r="689" spans="1:59" s="62" customFormat="1" ht="30">
      <c r="A689" s="23" t="s">
        <v>1159</v>
      </c>
      <c r="B689" s="24">
        <v>11130</v>
      </c>
      <c r="C689" s="23" t="s">
        <v>249</v>
      </c>
      <c r="D689" s="25" t="s">
        <v>44</v>
      </c>
      <c r="E689" s="25" t="s">
        <v>17</v>
      </c>
      <c r="F689" s="26">
        <v>20</v>
      </c>
      <c r="G689" s="26">
        <f t="shared" si="405"/>
        <v>78.540000000000006</v>
      </c>
      <c r="H689" s="26">
        <f t="shared" si="426"/>
        <v>99.6</v>
      </c>
      <c r="I689" s="26">
        <f t="shared" si="432"/>
        <v>1992</v>
      </c>
      <c r="J689" s="64">
        <f>'COMPOSIÇÃO DE CUSTOS'!G1385</f>
        <v>78.540000000000006</v>
      </c>
      <c r="K689" s="362">
        <v>92.4</v>
      </c>
      <c r="L689" s="362">
        <f t="shared" si="408"/>
        <v>1570.8000000000002</v>
      </c>
      <c r="M689" s="64"/>
      <c r="N689" s="65"/>
      <c r="AY689" s="221"/>
      <c r="AZ689" s="481"/>
      <c r="BA689" s="481"/>
      <c r="BB689" s="481"/>
      <c r="BC689" s="481"/>
      <c r="BD689" s="163">
        <f t="shared" si="433"/>
        <v>87.49</v>
      </c>
      <c r="BE689" s="163">
        <f t="shared" si="434"/>
        <v>110.95</v>
      </c>
      <c r="BF689" s="163">
        <f t="shared" si="430"/>
        <v>2219</v>
      </c>
    </row>
    <row r="690" spans="1:59" s="34" customFormat="1" ht="60">
      <c r="A690" s="471" t="s">
        <v>2546</v>
      </c>
      <c r="B690" s="475">
        <v>10481</v>
      </c>
      <c r="C690" s="471" t="s">
        <v>2561</v>
      </c>
      <c r="D690" s="472" t="s">
        <v>44</v>
      </c>
      <c r="E690" s="472" t="s">
        <v>17</v>
      </c>
      <c r="F690" s="473">
        <v>8</v>
      </c>
      <c r="G690" s="473">
        <f t="shared" si="405"/>
        <v>4385.0479999999998</v>
      </c>
      <c r="H690" s="473">
        <f t="shared" si="426"/>
        <v>5560.68</v>
      </c>
      <c r="I690" s="473">
        <f t="shared" ref="I690" si="435">ROUND(H690*F690,2)</f>
        <v>44485.440000000002</v>
      </c>
      <c r="J690" s="474">
        <f>'COMPOSIÇÃO DE CUSTOS'!G2272</f>
        <v>4385.05</v>
      </c>
      <c r="K690" s="378">
        <v>5158.88</v>
      </c>
      <c r="L690" s="378">
        <f t="shared" si="408"/>
        <v>35080.383999999998</v>
      </c>
      <c r="M690" s="474"/>
      <c r="N690" s="47"/>
      <c r="AY690" s="577"/>
      <c r="AZ690" s="502"/>
      <c r="BA690" s="502"/>
      <c r="BB690" s="502"/>
      <c r="BC690" s="502"/>
      <c r="BD690" s="523">
        <f>BG690</f>
        <v>960.47</v>
      </c>
      <c r="BE690" s="523">
        <f>ROUND(BD690*(1+$J$14),2)</f>
        <v>1217.97</v>
      </c>
      <c r="BF690" s="523">
        <f t="shared" si="430"/>
        <v>9743.76</v>
      </c>
      <c r="BG690" s="34">
        <f>'COMPOSIÇÃO AB'!G777</f>
        <v>960.47</v>
      </c>
    </row>
    <row r="691" spans="1:59" s="62" customFormat="1" ht="50.25" customHeight="1">
      <c r="A691" s="23" t="s">
        <v>2547</v>
      </c>
      <c r="B691" s="24">
        <v>97608</v>
      </c>
      <c r="C691" s="23" t="s">
        <v>2578</v>
      </c>
      <c r="D691" s="25" t="s">
        <v>12</v>
      </c>
      <c r="E691" s="25" t="s">
        <v>17</v>
      </c>
      <c r="F691" s="26">
        <v>17</v>
      </c>
      <c r="G691" s="26">
        <f t="shared" si="405"/>
        <v>63.537500000000001</v>
      </c>
      <c r="H691" s="26">
        <f t="shared" si="426"/>
        <v>80.569999999999993</v>
      </c>
      <c r="I691" s="26">
        <f t="shared" ref="I691" si="436">ROUND(H691*F691,2)</f>
        <v>1369.69</v>
      </c>
      <c r="J691" s="64" t="e">
        <f>IF(B691&lt;&gt;0,VLOOKUP(B691,#REF!,4,FALSE),"")</f>
        <v>#REF!</v>
      </c>
      <c r="K691" s="362" t="s">
        <v>3259</v>
      </c>
      <c r="L691" s="362">
        <f t="shared" si="408"/>
        <v>1080.1375</v>
      </c>
      <c r="M691" s="64"/>
      <c r="N691" s="65" t="e">
        <f>IF(B691&lt;&gt;0,VLOOKUP(B691,#REF!,2,FALSE),"")</f>
        <v>#REF!</v>
      </c>
      <c r="AY691" s="221"/>
      <c r="AZ691" s="481"/>
      <c r="BA691" s="481"/>
      <c r="BB691" s="481"/>
      <c r="BC691" s="481"/>
      <c r="BD691" s="163">
        <f t="shared" ref="BD691:BD692" si="437">ROUND(G691*$BH$19,2)</f>
        <v>70.78</v>
      </c>
      <c r="BE691" s="163">
        <f t="shared" ref="BE691:BE692" si="438">ROUND(BD691*(1+$J$14),2)</f>
        <v>89.76</v>
      </c>
      <c r="BF691" s="163">
        <f t="shared" si="430"/>
        <v>1525.92</v>
      </c>
    </row>
    <row r="692" spans="1:59" s="62" customFormat="1" ht="60">
      <c r="A692" s="23" t="s">
        <v>2548</v>
      </c>
      <c r="B692" s="25" t="s">
        <v>2410</v>
      </c>
      <c r="C692" s="23" t="s">
        <v>250</v>
      </c>
      <c r="D692" s="25" t="s">
        <v>1915</v>
      </c>
      <c r="E692" s="25" t="s">
        <v>17</v>
      </c>
      <c r="F692" s="26">
        <v>14</v>
      </c>
      <c r="G692" s="26">
        <f t="shared" si="405"/>
        <v>585.04649999999992</v>
      </c>
      <c r="H692" s="26">
        <f t="shared" si="426"/>
        <v>741.9</v>
      </c>
      <c r="I692" s="26">
        <f t="shared" ref="I692" si="439">ROUND(H692*F692,2)</f>
        <v>10386.6</v>
      </c>
      <c r="J692" s="64">
        <f>'COMPOSIÇÃO DE CUSTOS'!G1393</f>
        <v>585.03</v>
      </c>
      <c r="K692" s="362">
        <v>688.29</v>
      </c>
      <c r="L692" s="362">
        <f t="shared" si="408"/>
        <v>8190.6509999999989</v>
      </c>
      <c r="M692" s="64"/>
      <c r="N692" s="65"/>
      <c r="AY692" s="221"/>
      <c r="AZ692" s="481"/>
      <c r="BA692" s="481"/>
      <c r="BB692" s="481"/>
      <c r="BC692" s="481"/>
      <c r="BD692" s="163">
        <f t="shared" si="437"/>
        <v>651.75</v>
      </c>
      <c r="BE692" s="163">
        <f t="shared" si="438"/>
        <v>826.48</v>
      </c>
      <c r="BF692" s="163">
        <f t="shared" si="430"/>
        <v>11570.72</v>
      </c>
    </row>
    <row r="693" spans="1:59" s="62" customFormat="1" ht="15" customHeight="1">
      <c r="A693" s="356" t="s">
        <v>1160</v>
      </c>
      <c r="B693" s="356"/>
      <c r="C693" s="356" t="s">
        <v>193</v>
      </c>
      <c r="D693" s="357"/>
      <c r="E693" s="357"/>
      <c r="F693" s="357"/>
      <c r="G693" s="26"/>
      <c r="H693" s="357"/>
      <c r="I693" s="96"/>
      <c r="J693" s="65"/>
      <c r="K693" s="362"/>
      <c r="L693" s="362">
        <f t="shared" si="408"/>
        <v>0</v>
      </c>
      <c r="M693" s="65"/>
      <c r="N693" s="65"/>
      <c r="AY693" s="221"/>
      <c r="AZ693" s="481"/>
      <c r="BA693" s="481"/>
      <c r="BB693" s="481"/>
      <c r="BC693" s="481"/>
      <c r="BD693" s="481"/>
      <c r="BE693" s="481"/>
      <c r="BF693" s="481"/>
    </row>
    <row r="694" spans="1:59" s="62" customFormat="1" ht="45">
      <c r="A694" s="23" t="s">
        <v>1161</v>
      </c>
      <c r="B694" s="24">
        <v>91863</v>
      </c>
      <c r="C694" s="23" t="s">
        <v>1692</v>
      </c>
      <c r="D694" s="25" t="s">
        <v>12</v>
      </c>
      <c r="E694" s="25" t="s">
        <v>52</v>
      </c>
      <c r="F694" s="26">
        <v>1243</v>
      </c>
      <c r="G694" s="26">
        <f t="shared" si="405"/>
        <v>6.8849999999999998</v>
      </c>
      <c r="H694" s="26">
        <f t="shared" ref="H694:H711" si="440">ROUND(G694*(1+$J$14),2)</f>
        <v>8.73</v>
      </c>
      <c r="I694" s="26">
        <f t="shared" ref="I694:I699" si="441">ROUND(H694*F694,2)</f>
        <v>10851.39</v>
      </c>
      <c r="J694" s="64" t="e">
        <f>IF(B694&lt;&gt;0,VLOOKUP(B694,#REF!,4,FALSE),"")</f>
        <v>#REF!</v>
      </c>
      <c r="K694" s="362" t="s">
        <v>1886</v>
      </c>
      <c r="L694" s="362">
        <f t="shared" si="408"/>
        <v>8558.0550000000003</v>
      </c>
      <c r="M694" s="64"/>
      <c r="N694" s="65" t="e">
        <f>IF(B694&lt;&gt;0,VLOOKUP(B694,#REF!,2,FALSE),"")</f>
        <v>#REF!</v>
      </c>
      <c r="AY694" s="221"/>
      <c r="AZ694" s="481"/>
      <c r="BA694" s="481"/>
      <c r="BB694" s="481"/>
      <c r="BC694" s="481"/>
      <c r="BD694" s="163">
        <f t="shared" ref="BD694" si="442">ROUND(G694*$BH$19,2)</f>
        <v>7.67</v>
      </c>
      <c r="BE694" s="163">
        <f t="shared" ref="BE694:BE728" si="443">ROUND(BD694*(1+$J$14),2)</f>
        <v>9.73</v>
      </c>
      <c r="BF694" s="163">
        <f t="shared" ref="BF694:BF711" si="444">ROUND(BE694*F694,2)</f>
        <v>12094.39</v>
      </c>
    </row>
    <row r="695" spans="1:59" s="62" customFormat="1" ht="60">
      <c r="A695" s="23" t="s">
        <v>1162</v>
      </c>
      <c r="B695" s="24">
        <v>91890</v>
      </c>
      <c r="C695" s="23" t="s">
        <v>1693</v>
      </c>
      <c r="D695" s="25" t="s">
        <v>12</v>
      </c>
      <c r="E695" s="25" t="s">
        <v>17</v>
      </c>
      <c r="F695" s="26">
        <v>314</v>
      </c>
      <c r="G695" s="26">
        <f t="shared" si="405"/>
        <v>6.375</v>
      </c>
      <c r="H695" s="26">
        <f t="shared" si="440"/>
        <v>8.08</v>
      </c>
      <c r="I695" s="26">
        <f t="shared" si="441"/>
        <v>2537.12</v>
      </c>
      <c r="J695" s="64" t="e">
        <f>IF(B695&lt;&gt;0,VLOOKUP(B695,#REF!,4,FALSE),"")</f>
        <v>#REF!</v>
      </c>
      <c r="K695" s="362" t="s">
        <v>3225</v>
      </c>
      <c r="L695" s="362">
        <f t="shared" si="408"/>
        <v>2001.75</v>
      </c>
      <c r="M695" s="64"/>
      <c r="N695" s="65" t="e">
        <f>IF(B695&lt;&gt;0,VLOOKUP(B695,#REF!,2,FALSE),"")</f>
        <v>#REF!</v>
      </c>
      <c r="AY695" s="221"/>
      <c r="AZ695" s="481"/>
      <c r="BA695" s="481"/>
      <c r="BB695" s="481"/>
      <c r="BC695" s="481"/>
      <c r="BD695" s="163">
        <f t="shared" ref="BD695:BD728" si="445">ROUND(G695*$BH$19,2)</f>
        <v>7.1</v>
      </c>
      <c r="BE695" s="163">
        <f t="shared" si="443"/>
        <v>9</v>
      </c>
      <c r="BF695" s="163">
        <f t="shared" si="444"/>
        <v>2826</v>
      </c>
    </row>
    <row r="696" spans="1:59" s="62" customFormat="1" ht="45">
      <c r="A696" s="23" t="s">
        <v>1163</v>
      </c>
      <c r="B696" s="24">
        <v>91875</v>
      </c>
      <c r="C696" s="23" t="s">
        <v>1694</v>
      </c>
      <c r="D696" s="25" t="s">
        <v>12</v>
      </c>
      <c r="E696" s="25" t="s">
        <v>17</v>
      </c>
      <c r="F696" s="26">
        <v>1042</v>
      </c>
      <c r="G696" s="26">
        <f t="shared" si="405"/>
        <v>3.7654999999999998</v>
      </c>
      <c r="H696" s="26">
        <f t="shared" si="440"/>
        <v>4.78</v>
      </c>
      <c r="I696" s="26">
        <f t="shared" si="441"/>
        <v>4980.76</v>
      </c>
      <c r="J696" s="64" t="e">
        <f>IF(B696&lt;&gt;0,VLOOKUP(B696,#REF!,4,FALSE),"")</f>
        <v>#REF!</v>
      </c>
      <c r="K696" s="362" t="s">
        <v>1865</v>
      </c>
      <c r="L696" s="362">
        <f t="shared" si="408"/>
        <v>3923.6509999999998</v>
      </c>
      <c r="M696" s="64"/>
      <c r="N696" s="65" t="e">
        <f>IF(B696&lt;&gt;0,VLOOKUP(B696,#REF!,2,FALSE),"")</f>
        <v>#REF!</v>
      </c>
      <c r="AY696" s="221"/>
      <c r="AZ696" s="481"/>
      <c r="BA696" s="481"/>
      <c r="BB696" s="481"/>
      <c r="BC696" s="481"/>
      <c r="BD696" s="163">
        <f t="shared" si="445"/>
        <v>4.1900000000000004</v>
      </c>
      <c r="BE696" s="163">
        <f t="shared" si="443"/>
        <v>5.31</v>
      </c>
      <c r="BF696" s="163">
        <f t="shared" si="444"/>
        <v>5533.02</v>
      </c>
    </row>
    <row r="697" spans="1:59" s="62" customFormat="1" ht="45">
      <c r="A697" s="23" t="s">
        <v>1164</v>
      </c>
      <c r="B697" s="24">
        <v>91871</v>
      </c>
      <c r="C697" s="23" t="s">
        <v>1695</v>
      </c>
      <c r="D697" s="25" t="s">
        <v>12</v>
      </c>
      <c r="E697" s="25" t="s">
        <v>52</v>
      </c>
      <c r="F697" s="26">
        <v>745</v>
      </c>
      <c r="G697" s="26">
        <f t="shared" si="405"/>
        <v>7.3949999999999996</v>
      </c>
      <c r="H697" s="26">
        <f t="shared" si="440"/>
        <v>9.3800000000000008</v>
      </c>
      <c r="I697" s="26">
        <f t="shared" si="441"/>
        <v>6988.1</v>
      </c>
      <c r="J697" s="64" t="e">
        <f>IF(B697&lt;&gt;0,VLOOKUP(B697,#REF!,4,FALSE),"")</f>
        <v>#REF!</v>
      </c>
      <c r="K697" s="362" t="s">
        <v>2648</v>
      </c>
      <c r="L697" s="362">
        <f t="shared" si="408"/>
        <v>5509.2749999999996</v>
      </c>
      <c r="M697" s="64"/>
      <c r="N697" s="65" t="e">
        <f>IF(B697&lt;&gt;0,VLOOKUP(B697,#REF!,2,FALSE),"")</f>
        <v>#REF!</v>
      </c>
      <c r="AY697" s="221"/>
      <c r="AZ697" s="481"/>
      <c r="BA697" s="481"/>
      <c r="BB697" s="481"/>
      <c r="BC697" s="481"/>
      <c r="BD697" s="163">
        <f t="shared" si="445"/>
        <v>8.24</v>
      </c>
      <c r="BE697" s="163">
        <f t="shared" si="443"/>
        <v>10.45</v>
      </c>
      <c r="BF697" s="163">
        <f t="shared" si="444"/>
        <v>7785.25</v>
      </c>
    </row>
    <row r="698" spans="1:59" s="62" customFormat="1" ht="60">
      <c r="A698" s="23" t="s">
        <v>1165</v>
      </c>
      <c r="B698" s="24">
        <v>91914</v>
      </c>
      <c r="C698" s="23" t="s">
        <v>1696</v>
      </c>
      <c r="D698" s="25" t="s">
        <v>12</v>
      </c>
      <c r="E698" s="25" t="s">
        <v>17</v>
      </c>
      <c r="F698" s="26">
        <v>249</v>
      </c>
      <c r="G698" s="26">
        <f t="shared" si="405"/>
        <v>8.5084999999999997</v>
      </c>
      <c r="H698" s="26">
        <f t="shared" si="440"/>
        <v>10.79</v>
      </c>
      <c r="I698" s="26">
        <f t="shared" si="441"/>
        <v>2686.71</v>
      </c>
      <c r="J698" s="64" t="e">
        <f>IF(B698&lt;&gt;0,VLOOKUP(B698,#REF!,4,FALSE),"")</f>
        <v>#REF!</v>
      </c>
      <c r="K698" s="362" t="s">
        <v>1908</v>
      </c>
      <c r="L698" s="362">
        <f t="shared" si="408"/>
        <v>2118.6165000000001</v>
      </c>
      <c r="M698" s="64"/>
      <c r="N698" s="65" t="e">
        <f>IF(B698&lt;&gt;0,VLOOKUP(B698,#REF!,2,FALSE),"")</f>
        <v>#REF!</v>
      </c>
      <c r="AY698" s="221"/>
      <c r="AZ698" s="481"/>
      <c r="BA698" s="481"/>
      <c r="BB698" s="481"/>
      <c r="BC698" s="481"/>
      <c r="BD698" s="163">
        <f t="shared" si="445"/>
        <v>9.48</v>
      </c>
      <c r="BE698" s="163">
        <f t="shared" si="443"/>
        <v>12.02</v>
      </c>
      <c r="BF698" s="163">
        <f t="shared" si="444"/>
        <v>2992.98</v>
      </c>
    </row>
    <row r="699" spans="1:59" s="62" customFormat="1" ht="45">
      <c r="A699" s="23" t="s">
        <v>1166</v>
      </c>
      <c r="B699" s="24">
        <v>91884</v>
      </c>
      <c r="C699" s="23" t="s">
        <v>1697</v>
      </c>
      <c r="D699" s="25" t="s">
        <v>12</v>
      </c>
      <c r="E699" s="25" t="s">
        <v>17</v>
      </c>
      <c r="F699" s="26">
        <v>747</v>
      </c>
      <c r="G699" s="26">
        <f t="shared" si="405"/>
        <v>5.1849999999999996</v>
      </c>
      <c r="H699" s="26">
        <f t="shared" si="440"/>
        <v>6.58</v>
      </c>
      <c r="I699" s="26">
        <f t="shared" si="441"/>
        <v>4915.26</v>
      </c>
      <c r="J699" s="64" t="e">
        <f>IF(B699&lt;&gt;0,VLOOKUP(B699,#REF!,4,FALSE),"")</f>
        <v>#REF!</v>
      </c>
      <c r="K699" s="362" t="s">
        <v>3141</v>
      </c>
      <c r="L699" s="362">
        <f t="shared" si="408"/>
        <v>3873.1949999999997</v>
      </c>
      <c r="M699" s="64"/>
      <c r="N699" s="65" t="e">
        <f>IF(B699&lt;&gt;0,VLOOKUP(B699,#REF!,2,FALSE),"")</f>
        <v>#REF!</v>
      </c>
      <c r="AY699" s="221"/>
      <c r="AZ699" s="481"/>
      <c r="BA699" s="481"/>
      <c r="BB699" s="481"/>
      <c r="BC699" s="481"/>
      <c r="BD699" s="163">
        <f t="shared" si="445"/>
        <v>5.78</v>
      </c>
      <c r="BE699" s="163">
        <f t="shared" si="443"/>
        <v>7.33</v>
      </c>
      <c r="BF699" s="163">
        <f t="shared" si="444"/>
        <v>5475.51</v>
      </c>
    </row>
    <row r="700" spans="1:59" s="62" customFormat="1" ht="30">
      <c r="A700" s="23" t="s">
        <v>1167</v>
      </c>
      <c r="B700" s="24">
        <v>723</v>
      </c>
      <c r="C700" s="23" t="s">
        <v>235</v>
      </c>
      <c r="D700" s="25" t="s">
        <v>44</v>
      </c>
      <c r="E700" s="25" t="s">
        <v>17</v>
      </c>
      <c r="F700" s="26">
        <v>81</v>
      </c>
      <c r="G700" s="26">
        <f t="shared" si="405"/>
        <v>3.4085000000000001</v>
      </c>
      <c r="H700" s="26">
        <f t="shared" si="440"/>
        <v>4.32</v>
      </c>
      <c r="I700" s="26">
        <f t="shared" ref="I700" si="446">ROUND(H700*F700,2)</f>
        <v>349.92</v>
      </c>
      <c r="J700" s="64">
        <f>'COMPOSIÇÃO DE CUSTOS'!G1307</f>
        <v>3.41</v>
      </c>
      <c r="K700" s="362">
        <v>4.01</v>
      </c>
      <c r="L700" s="362">
        <f t="shared" si="408"/>
        <v>276.08850000000001</v>
      </c>
      <c r="M700" s="64"/>
      <c r="N700" s="65"/>
      <c r="AY700" s="221"/>
      <c r="AZ700" s="481"/>
      <c r="BA700" s="481"/>
      <c r="BB700" s="481"/>
      <c r="BC700" s="481"/>
      <c r="BD700" s="163">
        <f t="shared" si="445"/>
        <v>3.8</v>
      </c>
      <c r="BE700" s="163">
        <f t="shared" si="443"/>
        <v>4.82</v>
      </c>
      <c r="BF700" s="163">
        <f t="shared" si="444"/>
        <v>390.42</v>
      </c>
    </row>
    <row r="701" spans="1:59" s="62" customFormat="1" ht="30">
      <c r="A701" s="23" t="s">
        <v>1168</v>
      </c>
      <c r="B701" s="24">
        <v>91864</v>
      </c>
      <c r="C701" s="23" t="s">
        <v>194</v>
      </c>
      <c r="D701" s="25" t="s">
        <v>12</v>
      </c>
      <c r="E701" s="25" t="s">
        <v>52</v>
      </c>
      <c r="F701" s="26">
        <v>72</v>
      </c>
      <c r="G701" s="26">
        <f t="shared" si="405"/>
        <v>9.1204999999999998</v>
      </c>
      <c r="H701" s="26">
        <f t="shared" si="440"/>
        <v>11.57</v>
      </c>
      <c r="I701" s="26">
        <f t="shared" ref="I701:I702" si="447">ROUND(H701*F701,2)</f>
        <v>833.04</v>
      </c>
      <c r="J701" s="64" t="e">
        <f>IF(B701&lt;&gt;0,VLOOKUP(B701,#REF!,4,FALSE),"")</f>
        <v>#REF!</v>
      </c>
      <c r="K701" s="362" t="s">
        <v>1837</v>
      </c>
      <c r="L701" s="362">
        <f t="shared" si="408"/>
        <v>656.67599999999993</v>
      </c>
      <c r="M701" s="64"/>
      <c r="N701" s="65" t="e">
        <f>IF(B701&lt;&gt;0,VLOOKUP(B701,#REF!,2,FALSE),"")</f>
        <v>#REF!</v>
      </c>
      <c r="AY701" s="221"/>
      <c r="AZ701" s="481"/>
      <c r="BA701" s="481"/>
      <c r="BB701" s="481"/>
      <c r="BC701" s="481"/>
      <c r="BD701" s="163">
        <f t="shared" si="445"/>
        <v>10.16</v>
      </c>
      <c r="BE701" s="163">
        <f t="shared" si="443"/>
        <v>12.88</v>
      </c>
      <c r="BF701" s="163">
        <f t="shared" si="444"/>
        <v>927.36</v>
      </c>
    </row>
    <row r="702" spans="1:59" s="62" customFormat="1" ht="30">
      <c r="A702" s="23" t="s">
        <v>1169</v>
      </c>
      <c r="B702" s="24">
        <v>91876</v>
      </c>
      <c r="C702" s="23" t="s">
        <v>195</v>
      </c>
      <c r="D702" s="25" t="s">
        <v>12</v>
      </c>
      <c r="E702" s="25" t="s">
        <v>17</v>
      </c>
      <c r="F702" s="26">
        <v>24</v>
      </c>
      <c r="G702" s="26">
        <f t="shared" si="405"/>
        <v>4.9980000000000002</v>
      </c>
      <c r="H702" s="26">
        <f t="shared" si="440"/>
        <v>6.34</v>
      </c>
      <c r="I702" s="26">
        <f t="shared" si="447"/>
        <v>152.16</v>
      </c>
      <c r="J702" s="64" t="e">
        <f>IF(B702&lt;&gt;0,VLOOKUP(B702,#REF!,4,FALSE),"")</f>
        <v>#REF!</v>
      </c>
      <c r="K702" s="362" t="s">
        <v>3194</v>
      </c>
      <c r="L702" s="362">
        <f t="shared" si="408"/>
        <v>119.952</v>
      </c>
      <c r="M702" s="64"/>
      <c r="N702" s="65" t="e">
        <f>IF(B702&lt;&gt;0,VLOOKUP(B702,#REF!,2,FALSE),"")</f>
        <v>#REF!</v>
      </c>
      <c r="AY702" s="221"/>
      <c r="AZ702" s="481"/>
      <c r="BA702" s="481"/>
      <c r="BB702" s="481"/>
      <c r="BC702" s="481"/>
      <c r="BD702" s="163">
        <f t="shared" si="445"/>
        <v>5.57</v>
      </c>
      <c r="BE702" s="163">
        <f t="shared" si="443"/>
        <v>7.06</v>
      </c>
      <c r="BF702" s="163">
        <f t="shared" si="444"/>
        <v>169.44</v>
      </c>
    </row>
    <row r="703" spans="1:59" s="62" customFormat="1" ht="30">
      <c r="A703" s="23" t="s">
        <v>1170</v>
      </c>
      <c r="B703" s="25" t="s">
        <v>2311</v>
      </c>
      <c r="C703" s="23" t="s">
        <v>244</v>
      </c>
      <c r="D703" s="25" t="s">
        <v>70</v>
      </c>
      <c r="E703" s="25" t="s">
        <v>52</v>
      </c>
      <c r="F703" s="26">
        <v>54</v>
      </c>
      <c r="G703" s="26">
        <f t="shared" si="405"/>
        <v>17.425000000000001</v>
      </c>
      <c r="H703" s="26">
        <f t="shared" si="440"/>
        <v>22.1</v>
      </c>
      <c r="I703" s="26">
        <f t="shared" ref="I703" si="448">ROUND(H703*F703,2)</f>
        <v>1193.4000000000001</v>
      </c>
      <c r="J703" s="64">
        <f>J664</f>
        <v>19.059999999999999</v>
      </c>
      <c r="K703" s="362">
        <v>20.5</v>
      </c>
      <c r="L703" s="362">
        <f t="shared" si="408"/>
        <v>940.95</v>
      </c>
      <c r="M703" s="64"/>
      <c r="N703" s="65"/>
      <c r="AY703" s="221"/>
      <c r="AZ703" s="481"/>
      <c r="BA703" s="481"/>
      <c r="BB703" s="481"/>
      <c r="BC703" s="481"/>
      <c r="BD703" s="163">
        <f t="shared" si="445"/>
        <v>19.41</v>
      </c>
      <c r="BE703" s="163">
        <f t="shared" si="443"/>
        <v>24.61</v>
      </c>
      <c r="BF703" s="163">
        <f t="shared" si="444"/>
        <v>1328.94</v>
      </c>
    </row>
    <row r="704" spans="1:59" s="62" customFormat="1" ht="105">
      <c r="A704" s="23" t="s">
        <v>1171</v>
      </c>
      <c r="B704" s="24">
        <v>90092</v>
      </c>
      <c r="C704" s="23" t="s">
        <v>1679</v>
      </c>
      <c r="D704" s="25" t="s">
        <v>12</v>
      </c>
      <c r="E704" s="25" t="s">
        <v>35</v>
      </c>
      <c r="F704" s="26">
        <v>50</v>
      </c>
      <c r="G704" s="26">
        <f t="shared" si="405"/>
        <v>3.4595000000000002</v>
      </c>
      <c r="H704" s="26">
        <f t="shared" si="440"/>
        <v>4.3899999999999997</v>
      </c>
      <c r="I704" s="26">
        <f t="shared" ref="I704:I705" si="449">ROUND(H704*F704,2)</f>
        <v>219.5</v>
      </c>
      <c r="J704" s="64" t="e">
        <f>IF(B704&lt;&gt;0,VLOOKUP(B704,#REF!,4,FALSE),"")</f>
        <v>#REF!</v>
      </c>
      <c r="K704" s="362" t="s">
        <v>1855</v>
      </c>
      <c r="L704" s="362">
        <f t="shared" si="408"/>
        <v>172.97500000000002</v>
      </c>
      <c r="M704" s="64"/>
      <c r="N704" s="65" t="e">
        <f>IF(B704&lt;&gt;0,VLOOKUP(B704,#REF!,2,FALSE),"")</f>
        <v>#REF!</v>
      </c>
      <c r="AY704" s="221"/>
      <c r="AZ704" s="481"/>
      <c r="BA704" s="481"/>
      <c r="BB704" s="481"/>
      <c r="BC704" s="481"/>
      <c r="BD704" s="163">
        <f t="shared" si="445"/>
        <v>3.85</v>
      </c>
      <c r="BE704" s="163">
        <f t="shared" si="443"/>
        <v>4.88</v>
      </c>
      <c r="BF704" s="163">
        <f t="shared" si="444"/>
        <v>244</v>
      </c>
    </row>
    <row r="705" spans="1:58" s="62" customFormat="1" ht="90">
      <c r="A705" s="23" t="s">
        <v>1172</v>
      </c>
      <c r="B705" s="24">
        <v>93381</v>
      </c>
      <c r="C705" s="23" t="s">
        <v>1680</v>
      </c>
      <c r="D705" s="25" t="s">
        <v>12</v>
      </c>
      <c r="E705" s="25" t="s">
        <v>35</v>
      </c>
      <c r="F705" s="26">
        <v>50</v>
      </c>
      <c r="G705" s="26">
        <f t="shared" si="405"/>
        <v>6.63</v>
      </c>
      <c r="H705" s="26">
        <f t="shared" si="440"/>
        <v>8.41</v>
      </c>
      <c r="I705" s="26">
        <f t="shared" si="449"/>
        <v>420.5</v>
      </c>
      <c r="J705" s="64" t="e">
        <f>IF(B705&lt;&gt;0,VLOOKUP(B705,#REF!,4,FALSE),"")</f>
        <v>#REF!</v>
      </c>
      <c r="K705" s="362" t="s">
        <v>3117</v>
      </c>
      <c r="L705" s="362">
        <f t="shared" si="408"/>
        <v>331.5</v>
      </c>
      <c r="M705" s="64"/>
      <c r="N705" s="65" t="e">
        <f>IF(B705&lt;&gt;0,VLOOKUP(B705,#REF!,2,FALSE),"")</f>
        <v>#REF!</v>
      </c>
      <c r="AY705" s="221"/>
      <c r="AZ705" s="481"/>
      <c r="BA705" s="481"/>
      <c r="BB705" s="481"/>
      <c r="BC705" s="481"/>
      <c r="BD705" s="163">
        <f t="shared" si="445"/>
        <v>7.39</v>
      </c>
      <c r="BE705" s="163">
        <f t="shared" si="443"/>
        <v>9.3699999999999992</v>
      </c>
      <c r="BF705" s="163">
        <f t="shared" si="444"/>
        <v>468.5</v>
      </c>
    </row>
    <row r="706" spans="1:58" s="62" customFormat="1" ht="30">
      <c r="A706" s="23" t="s">
        <v>1173</v>
      </c>
      <c r="B706" s="24">
        <v>748</v>
      </c>
      <c r="C706" s="23" t="s">
        <v>201</v>
      </c>
      <c r="D706" s="25" t="s">
        <v>44</v>
      </c>
      <c r="E706" s="25" t="s">
        <v>17</v>
      </c>
      <c r="F706" s="26">
        <v>22</v>
      </c>
      <c r="G706" s="26">
        <f t="shared" si="405"/>
        <v>70.473500000000001</v>
      </c>
      <c r="H706" s="26">
        <f t="shared" si="440"/>
        <v>89.37</v>
      </c>
      <c r="I706" s="26">
        <f t="shared" ref="I706:I707" si="450">ROUND(H706*F706,2)</f>
        <v>1966.14</v>
      </c>
      <c r="J706" s="64">
        <f>'COMPOSIÇÃO DE CUSTOS'!G1053</f>
        <v>70.47</v>
      </c>
      <c r="K706" s="362">
        <v>82.91</v>
      </c>
      <c r="L706" s="362">
        <f t="shared" si="408"/>
        <v>1550.4169999999999</v>
      </c>
      <c r="M706" s="64"/>
      <c r="N706" s="65"/>
      <c r="AY706" s="221"/>
      <c r="AZ706" s="481"/>
      <c r="BA706" s="481"/>
      <c r="BB706" s="481"/>
      <c r="BC706" s="481"/>
      <c r="BD706" s="163">
        <f t="shared" si="445"/>
        <v>78.510000000000005</v>
      </c>
      <c r="BE706" s="163">
        <f t="shared" si="443"/>
        <v>99.56</v>
      </c>
      <c r="BF706" s="163">
        <f t="shared" si="444"/>
        <v>2190.3200000000002</v>
      </c>
    </row>
    <row r="707" spans="1:58" s="62" customFormat="1" ht="30">
      <c r="A707" s="23" t="s">
        <v>1174</v>
      </c>
      <c r="B707" s="24">
        <v>4533</v>
      </c>
      <c r="C707" s="23" t="s">
        <v>1754</v>
      </c>
      <c r="D707" s="25" t="s">
        <v>44</v>
      </c>
      <c r="E707" s="25" t="s">
        <v>17</v>
      </c>
      <c r="F707" s="26">
        <v>26</v>
      </c>
      <c r="G707" s="26">
        <f t="shared" si="405"/>
        <v>114.5205</v>
      </c>
      <c r="H707" s="26">
        <f t="shared" si="440"/>
        <v>145.22</v>
      </c>
      <c r="I707" s="26">
        <f t="shared" si="450"/>
        <v>3775.72</v>
      </c>
      <c r="J707" s="64">
        <f>'COMPOSIÇÃO DE CUSTOS'!G1088</f>
        <v>114.52</v>
      </c>
      <c r="K707" s="362">
        <v>134.72999999999999</v>
      </c>
      <c r="L707" s="362">
        <f t="shared" si="408"/>
        <v>2977.5329999999999</v>
      </c>
      <c r="M707" s="64"/>
      <c r="N707" s="65"/>
      <c r="AY707" s="221"/>
      <c r="AZ707" s="481"/>
      <c r="BA707" s="481"/>
      <c r="BB707" s="481"/>
      <c r="BC707" s="481"/>
      <c r="BD707" s="163">
        <f t="shared" si="445"/>
        <v>127.58</v>
      </c>
      <c r="BE707" s="163">
        <f t="shared" si="443"/>
        <v>161.78</v>
      </c>
      <c r="BF707" s="163">
        <f t="shared" si="444"/>
        <v>4206.28</v>
      </c>
    </row>
    <row r="708" spans="1:58" s="62" customFormat="1" ht="30">
      <c r="A708" s="23" t="s">
        <v>1175</v>
      </c>
      <c r="B708" s="24">
        <v>63988</v>
      </c>
      <c r="C708" s="23" t="str">
        <f t="shared" ref="C708:D709" si="451">C631</f>
        <v>FORNECIMENTO E INSTALAÇÃO DE ELETROCALHA PERFURADA 400 X 50 X 3000 MM  (M)</v>
      </c>
      <c r="D708" s="25" t="str">
        <f t="shared" si="451"/>
        <v>COMPOSIÇÃO</v>
      </c>
      <c r="E708" s="25" t="s">
        <v>17</v>
      </c>
      <c r="F708" s="26">
        <v>4</v>
      </c>
      <c r="G708" s="26">
        <f t="shared" si="405"/>
        <v>82.212000000000003</v>
      </c>
      <c r="H708" s="26">
        <f t="shared" si="440"/>
        <v>104.25</v>
      </c>
      <c r="I708" s="26">
        <f t="shared" ref="I708:I711" si="452">ROUND(H708*F708,2)</f>
        <v>417</v>
      </c>
      <c r="J708" s="64">
        <f>J631</f>
        <v>82.21</v>
      </c>
      <c r="K708" s="362">
        <v>96.72</v>
      </c>
      <c r="L708" s="362">
        <f t="shared" si="408"/>
        <v>328.84800000000001</v>
      </c>
      <c r="M708" s="64"/>
      <c r="N708" s="65"/>
      <c r="AY708" s="221"/>
      <c r="AZ708" s="481"/>
      <c r="BA708" s="481"/>
      <c r="BB708" s="481"/>
      <c r="BC708" s="481"/>
      <c r="BD708" s="163">
        <f t="shared" si="445"/>
        <v>91.58</v>
      </c>
      <c r="BE708" s="163">
        <f t="shared" si="443"/>
        <v>116.13</v>
      </c>
      <c r="BF708" s="163">
        <f t="shared" si="444"/>
        <v>464.52</v>
      </c>
    </row>
    <row r="709" spans="1:58" s="62" customFormat="1" ht="30">
      <c r="A709" s="23" t="s">
        <v>1176</v>
      </c>
      <c r="B709" s="24" t="s">
        <v>2240</v>
      </c>
      <c r="C709" s="23" t="str">
        <f t="shared" si="451"/>
        <v>CURVA HORIZONTAL LISA P/A ELETROCALHA 400X50MM (UN)</v>
      </c>
      <c r="D709" s="25" t="str">
        <f t="shared" si="451"/>
        <v>COMPOSIÇÃO</v>
      </c>
      <c r="E709" s="25" t="s">
        <v>17</v>
      </c>
      <c r="F709" s="26">
        <v>2</v>
      </c>
      <c r="G709" s="26">
        <f t="shared" si="405"/>
        <v>73.5505</v>
      </c>
      <c r="H709" s="26">
        <f t="shared" si="440"/>
        <v>93.27</v>
      </c>
      <c r="I709" s="26">
        <f t="shared" si="452"/>
        <v>186.54</v>
      </c>
      <c r="J709" s="64">
        <f>J632</f>
        <v>73.55</v>
      </c>
      <c r="K709" s="362">
        <v>86.53</v>
      </c>
      <c r="L709" s="362">
        <f t="shared" si="408"/>
        <v>147.101</v>
      </c>
      <c r="M709" s="64"/>
      <c r="N709" s="65"/>
      <c r="AY709" s="221"/>
      <c r="AZ709" s="481"/>
      <c r="BA709" s="481"/>
      <c r="BB709" s="481"/>
      <c r="BC709" s="481"/>
      <c r="BD709" s="163">
        <f t="shared" si="445"/>
        <v>81.94</v>
      </c>
      <c r="BE709" s="163">
        <f t="shared" si="443"/>
        <v>103.91</v>
      </c>
      <c r="BF709" s="163">
        <f t="shared" si="444"/>
        <v>207.82</v>
      </c>
    </row>
    <row r="710" spans="1:58" s="62" customFormat="1" ht="30">
      <c r="A710" s="23" t="s">
        <v>1177</v>
      </c>
      <c r="B710" s="24">
        <v>4109</v>
      </c>
      <c r="C710" s="23" t="str">
        <f>C634</f>
        <v xml:space="preserve">FLANGE DE LIGAÇÃO 400X50MM PARA ELETROCALHA METÁLICA </v>
      </c>
      <c r="D710" s="25" t="str">
        <f>D634</f>
        <v>ORSE</v>
      </c>
      <c r="E710" s="25" t="s">
        <v>17</v>
      </c>
      <c r="F710" s="26">
        <v>2</v>
      </c>
      <c r="G710" s="26">
        <f t="shared" si="405"/>
        <v>26.749499999999998</v>
      </c>
      <c r="H710" s="26">
        <f t="shared" si="440"/>
        <v>33.92</v>
      </c>
      <c r="I710" s="26">
        <f t="shared" si="452"/>
        <v>67.84</v>
      </c>
      <c r="J710" s="64">
        <f>J634</f>
        <v>26.75</v>
      </c>
      <c r="K710" s="362">
        <v>31.47</v>
      </c>
      <c r="L710" s="362">
        <f t="shared" si="408"/>
        <v>53.498999999999995</v>
      </c>
      <c r="M710" s="64"/>
      <c r="N710" s="65"/>
      <c r="AY710" s="221"/>
      <c r="AZ710" s="481"/>
      <c r="BA710" s="481"/>
      <c r="BB710" s="481"/>
      <c r="BC710" s="481"/>
      <c r="BD710" s="163">
        <f t="shared" si="445"/>
        <v>29.8</v>
      </c>
      <c r="BE710" s="163">
        <f t="shared" si="443"/>
        <v>37.79</v>
      </c>
      <c r="BF710" s="163">
        <f t="shared" si="444"/>
        <v>75.58</v>
      </c>
    </row>
    <row r="711" spans="1:58" s="62" customFormat="1" ht="30">
      <c r="A711" s="23" t="s">
        <v>1178</v>
      </c>
      <c r="B711" s="24">
        <v>8112</v>
      </c>
      <c r="C711" s="23" t="str">
        <f>C633</f>
        <v>TÊ HORIZONTAL 400 X 50 MM COM BASE LISA PERFURADA PARA ELETROCALHA METÁLICA</v>
      </c>
      <c r="D711" s="25" t="str">
        <f>D633</f>
        <v>ORSE</v>
      </c>
      <c r="E711" s="25" t="s">
        <v>17</v>
      </c>
      <c r="F711" s="26">
        <v>2</v>
      </c>
      <c r="G711" s="26">
        <f t="shared" si="405"/>
        <v>141.4145</v>
      </c>
      <c r="H711" s="26">
        <f t="shared" si="440"/>
        <v>179.33</v>
      </c>
      <c r="I711" s="26">
        <f t="shared" si="452"/>
        <v>358.66</v>
      </c>
      <c r="J711" s="64">
        <f>J633</f>
        <v>141.41</v>
      </c>
      <c r="K711" s="362">
        <v>166.37</v>
      </c>
      <c r="L711" s="362">
        <f t="shared" si="408"/>
        <v>282.82900000000001</v>
      </c>
      <c r="M711" s="64"/>
      <c r="N711" s="65"/>
      <c r="AY711" s="221"/>
      <c r="AZ711" s="481"/>
      <c r="BA711" s="481"/>
      <c r="BB711" s="481"/>
      <c r="BC711" s="481"/>
      <c r="BD711" s="163">
        <f t="shared" si="445"/>
        <v>157.54</v>
      </c>
      <c r="BE711" s="163">
        <f t="shared" si="443"/>
        <v>199.78</v>
      </c>
      <c r="BF711" s="163">
        <f t="shared" si="444"/>
        <v>399.56</v>
      </c>
    </row>
    <row r="712" spans="1:58" ht="15" customHeight="1">
      <c r="A712" s="356" t="s">
        <v>1179</v>
      </c>
      <c r="B712" s="356"/>
      <c r="C712" s="356" t="s">
        <v>239</v>
      </c>
      <c r="D712" s="357"/>
      <c r="E712" s="357"/>
      <c r="F712" s="357"/>
      <c r="G712" s="26"/>
      <c r="H712" s="357"/>
      <c r="I712" s="96"/>
      <c r="J712" s="38"/>
      <c r="K712" s="375"/>
      <c r="L712" s="362">
        <f t="shared" si="408"/>
        <v>0</v>
      </c>
      <c r="M712" s="38"/>
      <c r="N712" s="35"/>
      <c r="AY712" s="21"/>
      <c r="AZ712" s="481"/>
      <c r="BA712" s="481"/>
      <c r="BB712" s="481"/>
      <c r="BC712" s="481"/>
      <c r="BD712" s="163"/>
      <c r="BE712" s="163"/>
      <c r="BF712" s="163"/>
    </row>
    <row r="713" spans="1:58" s="62" customFormat="1" ht="30">
      <c r="A713" s="23" t="s">
        <v>1180</v>
      </c>
      <c r="B713" s="24">
        <v>7384</v>
      </c>
      <c r="C713" s="23" t="s">
        <v>229</v>
      </c>
      <c r="D713" s="25" t="s">
        <v>44</v>
      </c>
      <c r="E713" s="25" t="s">
        <v>52</v>
      </c>
      <c r="F713" s="26">
        <v>32</v>
      </c>
      <c r="G713" s="26">
        <f t="shared" si="405"/>
        <v>19.244</v>
      </c>
      <c r="H713" s="26">
        <f>ROUND(G713*(1+$J$14),2)</f>
        <v>24.4</v>
      </c>
      <c r="I713" s="26">
        <f t="shared" ref="I713:I715" si="453">ROUND(H713*F713,2)</f>
        <v>780.8</v>
      </c>
      <c r="J713" s="64">
        <f>'COMPOSIÇÃO DE CUSTOS'!G1195</f>
        <v>19.25</v>
      </c>
      <c r="K713" s="362">
        <v>22.64</v>
      </c>
      <c r="L713" s="362">
        <f t="shared" si="408"/>
        <v>615.80799999999999</v>
      </c>
      <c r="M713" s="64"/>
      <c r="N713" s="65"/>
      <c r="AY713" s="221"/>
      <c r="AZ713" s="481"/>
      <c r="BA713" s="481"/>
      <c r="BB713" s="481"/>
      <c r="BC713" s="481"/>
      <c r="BD713" s="163">
        <f t="shared" si="445"/>
        <v>21.44</v>
      </c>
      <c r="BE713" s="163">
        <f t="shared" si="443"/>
        <v>27.19</v>
      </c>
      <c r="BF713" s="163">
        <f>ROUND(BE713*F713,2)</f>
        <v>870.08</v>
      </c>
    </row>
    <row r="714" spans="1:58" s="62" customFormat="1" ht="30">
      <c r="A714" s="23" t="s">
        <v>1181</v>
      </c>
      <c r="B714" s="24">
        <v>12573</v>
      </c>
      <c r="C714" s="23" t="s">
        <v>1760</v>
      </c>
      <c r="D714" s="25" t="s">
        <v>44</v>
      </c>
      <c r="E714" s="25" t="s">
        <v>17</v>
      </c>
      <c r="F714" s="26">
        <v>44</v>
      </c>
      <c r="G714" s="26">
        <f t="shared" si="405"/>
        <v>9.5794999999999995</v>
      </c>
      <c r="H714" s="26">
        <f>ROUND(G714*(1+$J$14),2)</f>
        <v>12.15</v>
      </c>
      <c r="I714" s="26">
        <f t="shared" si="453"/>
        <v>534.6</v>
      </c>
      <c r="J714" s="64">
        <f>'COMPOSIÇÃO DE CUSTOS'!G1209</f>
        <v>9.58</v>
      </c>
      <c r="K714" s="362">
        <v>11.27</v>
      </c>
      <c r="L714" s="362">
        <f t="shared" si="408"/>
        <v>421.49799999999999</v>
      </c>
      <c r="M714" s="64"/>
      <c r="N714" s="65"/>
      <c r="AY714" s="221"/>
      <c r="AZ714" s="481"/>
      <c r="BA714" s="481"/>
      <c r="BB714" s="481"/>
      <c r="BC714" s="481"/>
      <c r="BD714" s="163">
        <f t="shared" si="445"/>
        <v>10.67</v>
      </c>
      <c r="BE714" s="163">
        <f t="shared" si="443"/>
        <v>13.53</v>
      </c>
      <c r="BF714" s="163">
        <f>ROUND(BE714*F714,2)</f>
        <v>595.32000000000005</v>
      </c>
    </row>
    <row r="715" spans="1:58" s="62" customFormat="1" ht="30">
      <c r="A715" s="23" t="s">
        <v>1182</v>
      </c>
      <c r="B715" s="24">
        <v>12976</v>
      </c>
      <c r="C715" s="23" t="s">
        <v>1761</v>
      </c>
      <c r="D715" s="25" t="s">
        <v>44</v>
      </c>
      <c r="E715" s="25" t="s">
        <v>17</v>
      </c>
      <c r="F715" s="26">
        <v>52</v>
      </c>
      <c r="G715" s="26">
        <f t="shared" si="405"/>
        <v>11.662000000000001</v>
      </c>
      <c r="H715" s="26">
        <f>ROUND(G715*(1+$J$14),2)</f>
        <v>14.79</v>
      </c>
      <c r="I715" s="26">
        <f t="shared" si="453"/>
        <v>769.08</v>
      </c>
      <c r="J715" s="64">
        <f>'COMPOSIÇÃO DE CUSTOS'!G1216</f>
        <v>11.66</v>
      </c>
      <c r="K715" s="362">
        <v>13.72</v>
      </c>
      <c r="L715" s="362">
        <f t="shared" si="408"/>
        <v>606.42400000000009</v>
      </c>
      <c r="M715" s="64"/>
      <c r="N715" s="65"/>
      <c r="AY715" s="221"/>
      <c r="AZ715" s="481"/>
      <c r="BA715" s="481"/>
      <c r="BB715" s="481"/>
      <c r="BC715" s="481"/>
      <c r="BD715" s="163">
        <f t="shared" si="445"/>
        <v>12.99</v>
      </c>
      <c r="BE715" s="163">
        <f t="shared" si="443"/>
        <v>16.47</v>
      </c>
      <c r="BF715" s="163">
        <f>ROUND(BE715*F715,2)</f>
        <v>856.44</v>
      </c>
    </row>
    <row r="716" spans="1:58" s="62" customFormat="1" ht="30">
      <c r="A716" s="23" t="s">
        <v>1183</v>
      </c>
      <c r="B716" s="24">
        <f>B646</f>
        <v>12977</v>
      </c>
      <c r="C716" s="23" t="str">
        <f>C646</f>
        <v>SUPORTE VERTICAL 400 X 50 MM PARA FIXAÇÃO DE ELETROCALHA METÁLICA</v>
      </c>
      <c r="D716" s="25" t="str">
        <f>D646</f>
        <v>ORSE</v>
      </c>
      <c r="E716" s="25" t="s">
        <v>17</v>
      </c>
      <c r="F716" s="26">
        <v>7</v>
      </c>
      <c r="G716" s="26">
        <f t="shared" si="405"/>
        <v>13.5745</v>
      </c>
      <c r="H716" s="26">
        <f>ROUND(G716*(1+$J$14),2)</f>
        <v>17.21</v>
      </c>
      <c r="I716" s="26">
        <f t="shared" ref="I716" si="454">ROUND(H716*F716,2)</f>
        <v>120.47</v>
      </c>
      <c r="J716" s="64">
        <f>J646</f>
        <v>13.57</v>
      </c>
      <c r="K716" s="362">
        <v>15.97</v>
      </c>
      <c r="L716" s="362">
        <f t="shared" si="408"/>
        <v>95.021500000000003</v>
      </c>
      <c r="M716" s="64"/>
      <c r="N716" s="65"/>
      <c r="AY716" s="221"/>
      <c r="AZ716" s="481"/>
      <c r="BA716" s="481"/>
      <c r="BB716" s="481"/>
      <c r="BC716" s="481"/>
      <c r="BD716" s="163">
        <f t="shared" si="445"/>
        <v>15.12</v>
      </c>
      <c r="BE716" s="163">
        <f t="shared" si="443"/>
        <v>19.170000000000002</v>
      </c>
      <c r="BF716" s="163">
        <f>ROUND(BE716*F716,2)</f>
        <v>134.19</v>
      </c>
    </row>
    <row r="717" spans="1:58" s="62" customFormat="1" ht="15" customHeight="1">
      <c r="A717" s="356" t="s">
        <v>1184</v>
      </c>
      <c r="B717" s="356"/>
      <c r="C717" s="356" t="s">
        <v>240</v>
      </c>
      <c r="D717" s="357"/>
      <c r="E717" s="357"/>
      <c r="F717" s="357"/>
      <c r="G717" s="26"/>
      <c r="H717" s="357"/>
      <c r="I717" s="96"/>
      <c r="J717" s="65"/>
      <c r="K717" s="362"/>
      <c r="L717" s="362">
        <f t="shared" si="408"/>
        <v>0</v>
      </c>
      <c r="M717" s="65"/>
      <c r="N717" s="65"/>
      <c r="AY717" s="221"/>
      <c r="AZ717" s="481"/>
      <c r="BA717" s="481"/>
      <c r="BB717" s="481"/>
      <c r="BC717" s="481"/>
      <c r="BD717" s="163"/>
      <c r="BE717" s="163"/>
      <c r="BF717" s="163"/>
    </row>
    <row r="718" spans="1:58" s="62" customFormat="1" ht="45">
      <c r="A718" s="23" t="s">
        <v>1185</v>
      </c>
      <c r="B718" s="24">
        <v>92000</v>
      </c>
      <c r="C718" s="23" t="s">
        <v>1718</v>
      </c>
      <c r="D718" s="25" t="s">
        <v>12</v>
      </c>
      <c r="E718" s="25" t="s">
        <v>17</v>
      </c>
      <c r="F718" s="26">
        <v>4</v>
      </c>
      <c r="G718" s="26">
        <f t="shared" si="405"/>
        <v>18.453500000000002</v>
      </c>
      <c r="H718" s="26">
        <f t="shared" ref="H718:H728" si="455">ROUND(G718*(1+$J$14),2)</f>
        <v>23.4</v>
      </c>
      <c r="I718" s="26">
        <f t="shared" ref="I718:I727" si="456">ROUND(H718*F718,2)</f>
        <v>93.6</v>
      </c>
      <c r="J718" s="64" t="e">
        <f>IF(B718&lt;&gt;0,VLOOKUP(B718,#REF!,4,FALSE),"")</f>
        <v>#REF!</v>
      </c>
      <c r="K718" s="362" t="s">
        <v>3119</v>
      </c>
      <c r="L718" s="362">
        <f t="shared" si="408"/>
        <v>73.814000000000007</v>
      </c>
      <c r="M718" s="64"/>
      <c r="N718" s="65" t="e">
        <f>IF(B718&lt;&gt;0,VLOOKUP(B718,#REF!,2,FALSE),"")</f>
        <v>#REF!</v>
      </c>
      <c r="AY718" s="221"/>
      <c r="AZ718" s="481"/>
      <c r="BA718" s="481"/>
      <c r="BB718" s="481"/>
      <c r="BC718" s="481"/>
      <c r="BD718" s="163">
        <f t="shared" si="445"/>
        <v>20.56</v>
      </c>
      <c r="BE718" s="163">
        <f t="shared" si="443"/>
        <v>26.07</v>
      </c>
      <c r="BF718" s="163">
        <f t="shared" ref="BF718:BF728" si="457">ROUND(BE718*F718,2)</f>
        <v>104.28</v>
      </c>
    </row>
    <row r="719" spans="1:58" s="62" customFormat="1" ht="45">
      <c r="A719" s="23" t="s">
        <v>1186</v>
      </c>
      <c r="B719" s="24">
        <v>92008</v>
      </c>
      <c r="C719" s="23" t="s">
        <v>1711</v>
      </c>
      <c r="D719" s="25" t="s">
        <v>12</v>
      </c>
      <c r="E719" s="25" t="s">
        <v>17</v>
      </c>
      <c r="F719" s="26">
        <v>138</v>
      </c>
      <c r="G719" s="26">
        <f t="shared" si="405"/>
        <v>29.6905</v>
      </c>
      <c r="H719" s="26">
        <f t="shared" si="455"/>
        <v>37.65</v>
      </c>
      <c r="I719" s="26">
        <f t="shared" si="456"/>
        <v>5195.7</v>
      </c>
      <c r="J719" s="64" t="e">
        <f>IF(B719&lt;&gt;0,VLOOKUP(B719,#REF!,4,FALSE),"")</f>
        <v>#REF!</v>
      </c>
      <c r="K719" s="362" t="s">
        <v>3166</v>
      </c>
      <c r="L719" s="362">
        <f t="shared" si="408"/>
        <v>4097.2889999999998</v>
      </c>
      <c r="M719" s="64"/>
      <c r="N719" s="65" t="e">
        <f>IF(B719&lt;&gt;0,VLOOKUP(B719,#REF!,2,FALSE),"")</f>
        <v>#REF!</v>
      </c>
      <c r="AY719" s="221"/>
      <c r="AZ719" s="481"/>
      <c r="BA719" s="481"/>
      <c r="BB719" s="481"/>
      <c r="BC719" s="481"/>
      <c r="BD719" s="163">
        <f t="shared" si="445"/>
        <v>33.08</v>
      </c>
      <c r="BE719" s="163">
        <f t="shared" si="443"/>
        <v>41.95</v>
      </c>
      <c r="BF719" s="163">
        <f t="shared" si="457"/>
        <v>5789.1</v>
      </c>
    </row>
    <row r="720" spans="1:58" s="62" customFormat="1" ht="45">
      <c r="A720" s="23" t="s">
        <v>1187</v>
      </c>
      <c r="B720" s="24">
        <v>91996</v>
      </c>
      <c r="C720" s="23" t="s">
        <v>1719</v>
      </c>
      <c r="D720" s="25" t="s">
        <v>12</v>
      </c>
      <c r="E720" s="25" t="s">
        <v>17</v>
      </c>
      <c r="F720" s="26">
        <v>35</v>
      </c>
      <c r="G720" s="26">
        <f t="shared" si="405"/>
        <v>20.433999999999997</v>
      </c>
      <c r="H720" s="26">
        <f t="shared" si="455"/>
        <v>25.91</v>
      </c>
      <c r="I720" s="26">
        <f t="shared" si="456"/>
        <v>906.85</v>
      </c>
      <c r="J720" s="64" t="e">
        <f>IF(B720&lt;&gt;0,VLOOKUP(B720,#REF!,4,FALSE),"")</f>
        <v>#REF!</v>
      </c>
      <c r="K720" s="362" t="s">
        <v>3165</v>
      </c>
      <c r="L720" s="362">
        <f t="shared" si="408"/>
        <v>715.18999999999994</v>
      </c>
      <c r="M720" s="64"/>
      <c r="N720" s="65" t="e">
        <f>IF(B720&lt;&gt;0,VLOOKUP(B720,#REF!,2,FALSE),"")</f>
        <v>#REF!</v>
      </c>
      <c r="AY720" s="221"/>
      <c r="AZ720" s="481"/>
      <c r="BA720" s="481"/>
      <c r="BB720" s="481"/>
      <c r="BC720" s="481"/>
      <c r="BD720" s="163">
        <f t="shared" si="445"/>
        <v>22.76</v>
      </c>
      <c r="BE720" s="163">
        <f t="shared" si="443"/>
        <v>28.86</v>
      </c>
      <c r="BF720" s="163">
        <f t="shared" si="457"/>
        <v>1010.1</v>
      </c>
    </row>
    <row r="721" spans="1:59" s="62" customFormat="1" ht="45">
      <c r="A721" s="23" t="s">
        <v>1188</v>
      </c>
      <c r="B721" s="24">
        <v>92004</v>
      </c>
      <c r="C721" s="23" t="s">
        <v>1720</v>
      </c>
      <c r="D721" s="25" t="s">
        <v>12</v>
      </c>
      <c r="E721" s="25" t="s">
        <v>17</v>
      </c>
      <c r="F721" s="26">
        <v>9</v>
      </c>
      <c r="G721" s="26">
        <f t="shared" si="405"/>
        <v>33.651500000000006</v>
      </c>
      <c r="H721" s="26">
        <f t="shared" si="455"/>
        <v>42.67</v>
      </c>
      <c r="I721" s="26">
        <f t="shared" si="456"/>
        <v>384.03</v>
      </c>
      <c r="J721" s="64" t="e">
        <f>IF(B721&lt;&gt;0,VLOOKUP(B721,#REF!,4,FALSE),"")</f>
        <v>#REF!</v>
      </c>
      <c r="K721" s="362" t="s">
        <v>3108</v>
      </c>
      <c r="L721" s="362">
        <f t="shared" si="408"/>
        <v>302.86350000000004</v>
      </c>
      <c r="M721" s="64"/>
      <c r="N721" s="65" t="e">
        <f>IF(B721&lt;&gt;0,VLOOKUP(B721,#REF!,2,FALSE),"")</f>
        <v>#REF!</v>
      </c>
      <c r="AY721" s="221"/>
      <c r="AZ721" s="481"/>
      <c r="BA721" s="481"/>
      <c r="BB721" s="481"/>
      <c r="BC721" s="481"/>
      <c r="BD721" s="163">
        <f t="shared" si="445"/>
        <v>37.49</v>
      </c>
      <c r="BE721" s="163">
        <f t="shared" si="443"/>
        <v>47.54</v>
      </c>
      <c r="BF721" s="163">
        <f t="shared" si="457"/>
        <v>427.86</v>
      </c>
    </row>
    <row r="722" spans="1:59" s="62" customFormat="1" ht="45">
      <c r="A722" s="23" t="s">
        <v>1189</v>
      </c>
      <c r="B722" s="24">
        <v>91992</v>
      </c>
      <c r="C722" s="23" t="s">
        <v>1712</v>
      </c>
      <c r="D722" s="25" t="s">
        <v>12</v>
      </c>
      <c r="E722" s="25" t="s">
        <v>17</v>
      </c>
      <c r="F722" s="26">
        <v>30</v>
      </c>
      <c r="G722" s="26">
        <f t="shared" si="405"/>
        <v>25.533999999999999</v>
      </c>
      <c r="H722" s="26">
        <f t="shared" si="455"/>
        <v>32.380000000000003</v>
      </c>
      <c r="I722" s="26">
        <f t="shared" si="456"/>
        <v>971.4</v>
      </c>
      <c r="J722" s="64" t="e">
        <f>IF(B722&lt;&gt;0,VLOOKUP(B722,#REF!,4,FALSE),"")</f>
        <v>#REF!</v>
      </c>
      <c r="K722" s="362" t="s">
        <v>3164</v>
      </c>
      <c r="L722" s="362">
        <f t="shared" si="408"/>
        <v>766.02</v>
      </c>
      <c r="M722" s="64"/>
      <c r="N722" s="65" t="e">
        <f>IF(B722&lt;&gt;0,VLOOKUP(B722,#REF!,2,FALSE),"")</f>
        <v>#REF!</v>
      </c>
      <c r="AY722" s="221"/>
      <c r="AZ722" s="481"/>
      <c r="BA722" s="481"/>
      <c r="BB722" s="481"/>
      <c r="BC722" s="481"/>
      <c r="BD722" s="163">
        <f t="shared" si="445"/>
        <v>28.45</v>
      </c>
      <c r="BE722" s="163">
        <f t="shared" si="443"/>
        <v>36.08</v>
      </c>
      <c r="BF722" s="163">
        <f t="shared" si="457"/>
        <v>1082.4000000000001</v>
      </c>
    </row>
    <row r="723" spans="1:59" s="62" customFormat="1" ht="45">
      <c r="A723" s="23" t="s">
        <v>1190</v>
      </c>
      <c r="B723" s="24">
        <v>91953</v>
      </c>
      <c r="C723" s="23" t="s">
        <v>1721</v>
      </c>
      <c r="D723" s="25" t="s">
        <v>12</v>
      </c>
      <c r="E723" s="25" t="s">
        <v>17</v>
      </c>
      <c r="F723" s="26">
        <v>36</v>
      </c>
      <c r="G723" s="26">
        <f t="shared" si="405"/>
        <v>17.391000000000002</v>
      </c>
      <c r="H723" s="26">
        <f t="shared" si="455"/>
        <v>22.05</v>
      </c>
      <c r="I723" s="26">
        <f t="shared" si="456"/>
        <v>793.8</v>
      </c>
      <c r="J723" s="64" t="e">
        <f>IF(B723&lt;&gt;0,VLOOKUP(B723,#REF!,4,FALSE),"")</f>
        <v>#REF!</v>
      </c>
      <c r="K723" s="362" t="s">
        <v>1880</v>
      </c>
      <c r="L723" s="362">
        <f t="shared" si="408"/>
        <v>626.07600000000002</v>
      </c>
      <c r="M723" s="64"/>
      <c r="N723" s="65" t="e">
        <f>IF(B723&lt;&gt;0,VLOOKUP(B723,#REF!,2,FALSE),"")</f>
        <v>#REF!</v>
      </c>
      <c r="AY723" s="221"/>
      <c r="AZ723" s="481"/>
      <c r="BA723" s="481"/>
      <c r="BB723" s="481"/>
      <c r="BC723" s="481"/>
      <c r="BD723" s="163">
        <f t="shared" si="445"/>
        <v>19.37</v>
      </c>
      <c r="BE723" s="163">
        <f t="shared" si="443"/>
        <v>24.56</v>
      </c>
      <c r="BF723" s="163">
        <f t="shared" si="457"/>
        <v>884.16</v>
      </c>
    </row>
    <row r="724" spans="1:59" s="62" customFormat="1" ht="45">
      <c r="A724" s="23" t="s">
        <v>1191</v>
      </c>
      <c r="B724" s="24">
        <v>91959</v>
      </c>
      <c r="C724" s="23" t="s">
        <v>1722</v>
      </c>
      <c r="D724" s="25" t="s">
        <v>12</v>
      </c>
      <c r="E724" s="25" t="s">
        <v>17</v>
      </c>
      <c r="F724" s="26">
        <v>10</v>
      </c>
      <c r="G724" s="26">
        <f t="shared" si="405"/>
        <v>27.591000000000001</v>
      </c>
      <c r="H724" s="26">
        <f t="shared" si="455"/>
        <v>34.99</v>
      </c>
      <c r="I724" s="26">
        <f t="shared" si="456"/>
        <v>349.9</v>
      </c>
      <c r="J724" s="64" t="e">
        <f>IF(B724&lt;&gt;0,VLOOKUP(B724,#REF!,4,FALSE),"")</f>
        <v>#REF!</v>
      </c>
      <c r="K724" s="362" t="s">
        <v>3160</v>
      </c>
      <c r="L724" s="362">
        <f t="shared" si="408"/>
        <v>275.91000000000003</v>
      </c>
      <c r="M724" s="64"/>
      <c r="N724" s="65" t="e">
        <f>IF(B724&lt;&gt;0,VLOOKUP(B724,#REF!,2,FALSE),"")</f>
        <v>#REF!</v>
      </c>
      <c r="AY724" s="221"/>
      <c r="AZ724" s="481"/>
      <c r="BA724" s="481"/>
      <c r="BB724" s="481"/>
      <c r="BC724" s="481"/>
      <c r="BD724" s="163">
        <f t="shared" si="445"/>
        <v>30.74</v>
      </c>
      <c r="BE724" s="163">
        <f t="shared" si="443"/>
        <v>38.979999999999997</v>
      </c>
      <c r="BF724" s="163">
        <f t="shared" si="457"/>
        <v>389.8</v>
      </c>
    </row>
    <row r="725" spans="1:59" s="62" customFormat="1" ht="45">
      <c r="A725" s="23" t="s">
        <v>1192</v>
      </c>
      <c r="B725" s="24">
        <v>91967</v>
      </c>
      <c r="C725" s="23" t="s">
        <v>1723</v>
      </c>
      <c r="D725" s="25" t="s">
        <v>12</v>
      </c>
      <c r="E725" s="25" t="s">
        <v>17</v>
      </c>
      <c r="F725" s="26">
        <v>3</v>
      </c>
      <c r="G725" s="26">
        <f t="shared" si="405"/>
        <v>37.791000000000004</v>
      </c>
      <c r="H725" s="26">
        <f t="shared" si="455"/>
        <v>47.92</v>
      </c>
      <c r="I725" s="26">
        <f t="shared" si="456"/>
        <v>143.76</v>
      </c>
      <c r="J725" s="64" t="e">
        <f>IF(B725&lt;&gt;0,VLOOKUP(B725,#REF!,4,FALSE),"")</f>
        <v>#REF!</v>
      </c>
      <c r="K725" s="362" t="s">
        <v>3162</v>
      </c>
      <c r="L725" s="362">
        <f t="shared" si="408"/>
        <v>113.37300000000002</v>
      </c>
      <c r="M725" s="64"/>
      <c r="N725" s="65" t="e">
        <f>IF(B725&lt;&gt;0,VLOOKUP(B725,#REF!,2,FALSE),"")</f>
        <v>#REF!</v>
      </c>
      <c r="AY725" s="221"/>
      <c r="AZ725" s="481"/>
      <c r="BA725" s="481"/>
      <c r="BB725" s="481"/>
      <c r="BC725" s="481"/>
      <c r="BD725" s="163">
        <f t="shared" si="445"/>
        <v>42.1</v>
      </c>
      <c r="BE725" s="163">
        <f t="shared" si="443"/>
        <v>53.39</v>
      </c>
      <c r="BF725" s="163">
        <f t="shared" si="457"/>
        <v>160.16999999999999</v>
      </c>
    </row>
    <row r="726" spans="1:59" s="62" customFormat="1" ht="45">
      <c r="A726" s="23" t="s">
        <v>1193</v>
      </c>
      <c r="B726" s="24">
        <v>91955</v>
      </c>
      <c r="C726" s="23" t="s">
        <v>1724</v>
      </c>
      <c r="D726" s="25" t="s">
        <v>12</v>
      </c>
      <c r="E726" s="25" t="s">
        <v>17</v>
      </c>
      <c r="F726" s="26">
        <v>18</v>
      </c>
      <c r="G726" s="26">
        <f t="shared" si="405"/>
        <v>21.369</v>
      </c>
      <c r="H726" s="26">
        <f t="shared" si="455"/>
        <v>27.1</v>
      </c>
      <c r="I726" s="26">
        <f t="shared" si="456"/>
        <v>487.8</v>
      </c>
      <c r="J726" s="64" t="e">
        <f>IF(B726&lt;&gt;0,VLOOKUP(B726,#REF!,4,FALSE),"")</f>
        <v>#REF!</v>
      </c>
      <c r="K726" s="362" t="s">
        <v>1856</v>
      </c>
      <c r="L726" s="362">
        <f t="shared" si="408"/>
        <v>384.642</v>
      </c>
      <c r="M726" s="64"/>
      <c r="N726" s="65" t="e">
        <f>IF(B726&lt;&gt;0,VLOOKUP(B726,#REF!,2,FALSE),"")</f>
        <v>#REF!</v>
      </c>
      <c r="AY726" s="221"/>
      <c r="AZ726" s="481"/>
      <c r="BA726" s="481"/>
      <c r="BB726" s="481"/>
      <c r="BC726" s="481"/>
      <c r="BD726" s="163">
        <f t="shared" si="445"/>
        <v>23.81</v>
      </c>
      <c r="BE726" s="163">
        <f t="shared" si="443"/>
        <v>30.19</v>
      </c>
      <c r="BF726" s="163">
        <f t="shared" si="457"/>
        <v>543.41999999999996</v>
      </c>
    </row>
    <row r="727" spans="1:59" s="62" customFormat="1" ht="45">
      <c r="A727" s="23" t="s">
        <v>1194</v>
      </c>
      <c r="B727" s="24">
        <v>91961</v>
      </c>
      <c r="C727" s="23" t="s">
        <v>1725</v>
      </c>
      <c r="D727" s="25" t="s">
        <v>12</v>
      </c>
      <c r="E727" s="25" t="s">
        <v>17</v>
      </c>
      <c r="F727" s="26">
        <v>16</v>
      </c>
      <c r="G727" s="26">
        <f t="shared" si="405"/>
        <v>35.521500000000003</v>
      </c>
      <c r="H727" s="26">
        <f t="shared" si="455"/>
        <v>45.04</v>
      </c>
      <c r="I727" s="26">
        <f t="shared" si="456"/>
        <v>720.64</v>
      </c>
      <c r="J727" s="64" t="e">
        <f>IF(B727&lt;&gt;0,VLOOKUP(B727,#REF!,4,FALSE),"")</f>
        <v>#REF!</v>
      </c>
      <c r="K727" s="362" t="s">
        <v>3138</v>
      </c>
      <c r="L727" s="362">
        <f t="shared" si="408"/>
        <v>568.34400000000005</v>
      </c>
      <c r="M727" s="64"/>
      <c r="N727" s="65" t="e">
        <f>IF(B727&lt;&gt;0,VLOOKUP(B727,#REF!,2,FALSE),"")</f>
        <v>#REF!</v>
      </c>
      <c r="AY727" s="221"/>
      <c r="AZ727" s="481"/>
      <c r="BA727" s="481"/>
      <c r="BB727" s="481"/>
      <c r="BC727" s="481"/>
      <c r="BD727" s="163">
        <f t="shared" si="445"/>
        <v>39.57</v>
      </c>
      <c r="BE727" s="163">
        <f t="shared" si="443"/>
        <v>50.18</v>
      </c>
      <c r="BF727" s="163">
        <f t="shared" si="457"/>
        <v>802.88</v>
      </c>
    </row>
    <row r="728" spans="1:59" s="62" customFormat="1" ht="30">
      <c r="A728" s="23" t="s">
        <v>1195</v>
      </c>
      <c r="B728" s="24">
        <v>91979</v>
      </c>
      <c r="C728" s="23" t="s">
        <v>251</v>
      </c>
      <c r="D728" s="25" t="s">
        <v>12</v>
      </c>
      <c r="E728" s="25" t="s">
        <v>17</v>
      </c>
      <c r="F728" s="26">
        <v>1</v>
      </c>
      <c r="G728" s="26">
        <f t="shared" ref="G728:G791" si="458">K728-(K728*$K$15)</f>
        <v>31.976999999999997</v>
      </c>
      <c r="H728" s="26">
        <f t="shared" si="455"/>
        <v>40.549999999999997</v>
      </c>
      <c r="I728" s="26">
        <f t="shared" ref="I728" si="459">ROUND(H728*F728,2)</f>
        <v>40.549999999999997</v>
      </c>
      <c r="J728" s="64" t="e">
        <f>IF(B728&lt;&gt;0,VLOOKUP(B728,#REF!,4,FALSE),"")</f>
        <v>#REF!</v>
      </c>
      <c r="K728" s="362" t="s">
        <v>3163</v>
      </c>
      <c r="L728" s="362">
        <f t="shared" ref="L728:L791" si="460">F728*G728</f>
        <v>31.976999999999997</v>
      </c>
      <c r="M728" s="64"/>
      <c r="N728" s="65" t="e">
        <f>IF(B728&lt;&gt;0,VLOOKUP(B728,#REF!,2,FALSE),"")</f>
        <v>#REF!</v>
      </c>
      <c r="AY728" s="221"/>
      <c r="AZ728" s="481"/>
      <c r="BA728" s="481"/>
      <c r="BB728" s="481"/>
      <c r="BC728" s="481"/>
      <c r="BD728" s="163">
        <f t="shared" si="445"/>
        <v>35.619999999999997</v>
      </c>
      <c r="BE728" s="163">
        <f t="shared" si="443"/>
        <v>45.17</v>
      </c>
      <c r="BF728" s="163">
        <f t="shared" si="457"/>
        <v>45.17</v>
      </c>
    </row>
    <row r="729" spans="1:59" s="62" customFormat="1">
      <c r="A729" s="356" t="s">
        <v>1196</v>
      </c>
      <c r="B729" s="356"/>
      <c r="C729" s="356" t="s">
        <v>214</v>
      </c>
      <c r="D729" s="357"/>
      <c r="E729" s="357"/>
      <c r="F729" s="357"/>
      <c r="G729" s="26"/>
      <c r="H729" s="357"/>
      <c r="I729" s="96"/>
      <c r="J729" s="65"/>
      <c r="K729" s="362"/>
      <c r="L729" s="362">
        <f t="shared" si="460"/>
        <v>0</v>
      </c>
      <c r="M729" s="65"/>
      <c r="N729" s="65"/>
      <c r="AY729" s="221"/>
      <c r="AZ729" s="481"/>
      <c r="BA729" s="481"/>
      <c r="BB729" s="481"/>
      <c r="BC729" s="481"/>
      <c r="BD729" s="481"/>
      <c r="BE729" s="481"/>
      <c r="BF729" s="481"/>
    </row>
    <row r="730" spans="1:59" s="34" customFormat="1" ht="45">
      <c r="A730" s="471" t="s">
        <v>1197</v>
      </c>
      <c r="B730" s="475">
        <v>91926</v>
      </c>
      <c r="C730" s="471" t="s">
        <v>1713</v>
      </c>
      <c r="D730" s="472" t="s">
        <v>12</v>
      </c>
      <c r="E730" s="472" t="s">
        <v>52</v>
      </c>
      <c r="F730" s="473">
        <v>12922</v>
      </c>
      <c r="G730" s="473">
        <f t="shared" si="458"/>
        <v>3.0684999999999998</v>
      </c>
      <c r="H730" s="473">
        <f>ROUND(G730*(1+$J$14),2)</f>
        <v>3.89</v>
      </c>
      <c r="I730" s="473">
        <f t="shared" ref="I730" si="461">ROUND(H730*F730,2)</f>
        <v>50266.58</v>
      </c>
      <c r="J730" s="474" t="e">
        <f>IF(B730&lt;&gt;0,VLOOKUP(B730,#REF!,4,FALSE),"")</f>
        <v>#REF!</v>
      </c>
      <c r="K730" s="378" t="s">
        <v>3107</v>
      </c>
      <c r="L730" s="378">
        <f t="shared" si="460"/>
        <v>39651.156999999999</v>
      </c>
      <c r="M730" s="474"/>
      <c r="N730" s="47" t="e">
        <f>IF(B730&lt;&gt;0,VLOOKUP(B730,#REF!,2,FALSE),"")</f>
        <v>#REF!</v>
      </c>
      <c r="AY730" s="577"/>
      <c r="AZ730" s="502"/>
      <c r="BA730" s="502"/>
      <c r="BB730" s="502"/>
      <c r="BC730" s="502"/>
      <c r="BD730" s="523">
        <f>BG730</f>
        <v>4.33</v>
      </c>
      <c r="BE730" s="523">
        <f>ROUND(BD730*(1+$J$14),2)</f>
        <v>5.49</v>
      </c>
      <c r="BF730" s="523">
        <f>ROUND(BE730*F730,2)</f>
        <v>70941.78</v>
      </c>
      <c r="BG730" s="34">
        <f>'COMPOSIÇÃO AB'!G517</f>
        <v>4.33</v>
      </c>
    </row>
    <row r="731" spans="1:59" s="62" customFormat="1" ht="15" customHeight="1">
      <c r="A731" s="356" t="s">
        <v>1198</v>
      </c>
      <c r="B731" s="356"/>
      <c r="C731" s="356" t="s">
        <v>216</v>
      </c>
      <c r="D731" s="357"/>
      <c r="E731" s="357"/>
      <c r="F731" s="357"/>
      <c r="G731" s="26"/>
      <c r="H731" s="357"/>
      <c r="I731" s="96"/>
      <c r="J731" s="65"/>
      <c r="K731" s="362"/>
      <c r="L731" s="362">
        <f t="shared" si="460"/>
        <v>0</v>
      </c>
      <c r="M731" s="65"/>
      <c r="N731" s="65"/>
      <c r="AY731" s="221"/>
      <c r="AZ731" s="481"/>
      <c r="BA731" s="481"/>
      <c r="BB731" s="481"/>
      <c r="BC731" s="481"/>
      <c r="BD731" s="481"/>
      <c r="BE731" s="481"/>
      <c r="BF731" s="481"/>
    </row>
    <row r="732" spans="1:59" s="62" customFormat="1" ht="45">
      <c r="A732" s="23" t="s">
        <v>1199</v>
      </c>
      <c r="B732" s="24">
        <v>95779</v>
      </c>
      <c r="C732" s="23" t="s">
        <v>1710</v>
      </c>
      <c r="D732" s="25" t="s">
        <v>12</v>
      </c>
      <c r="E732" s="25" t="s">
        <v>17</v>
      </c>
      <c r="F732" s="26">
        <v>6</v>
      </c>
      <c r="G732" s="26">
        <f t="shared" si="458"/>
        <v>17.442</v>
      </c>
      <c r="H732" s="26">
        <f t="shared" ref="H732:H741" si="462">ROUND(G732*(1+$J$14),2)</f>
        <v>22.12</v>
      </c>
      <c r="I732" s="26">
        <f t="shared" ref="I732:I740" si="463">ROUND(H732*F732,2)</f>
        <v>132.72</v>
      </c>
      <c r="J732" s="64" t="e">
        <f>IF(B732&lt;&gt;0,VLOOKUP(B732,#REF!,4,FALSE),"")</f>
        <v>#REF!</v>
      </c>
      <c r="K732" s="362" t="s">
        <v>1900</v>
      </c>
      <c r="L732" s="362">
        <f t="shared" si="460"/>
        <v>104.652</v>
      </c>
      <c r="M732" s="64"/>
      <c r="N732" s="65" t="e">
        <f>IF(B732&lt;&gt;0,VLOOKUP(B732,#REF!,2,FALSE),"")</f>
        <v>#REF!</v>
      </c>
      <c r="AY732" s="221"/>
      <c r="AZ732" s="481"/>
      <c r="BA732" s="481"/>
      <c r="BB732" s="481"/>
      <c r="BC732" s="481"/>
      <c r="BD732" s="163">
        <f t="shared" ref="BD732" si="464">ROUND(G732*$BH$19,2)</f>
        <v>19.43</v>
      </c>
      <c r="BE732" s="163">
        <f t="shared" ref="BE732:BE795" si="465">ROUND(BD732*(1+$J$14),2)</f>
        <v>24.64</v>
      </c>
      <c r="BF732" s="163">
        <f t="shared" ref="BF732:BF741" si="466">ROUND(BE732*F732,2)</f>
        <v>147.84</v>
      </c>
    </row>
    <row r="733" spans="1:59" s="62" customFormat="1" ht="45">
      <c r="A733" s="23" t="s">
        <v>1200</v>
      </c>
      <c r="B733" s="24">
        <v>95795</v>
      </c>
      <c r="C733" s="23" t="s">
        <v>1707</v>
      </c>
      <c r="D733" s="25" t="s">
        <v>12</v>
      </c>
      <c r="E733" s="25" t="s">
        <v>17</v>
      </c>
      <c r="F733" s="26">
        <v>5</v>
      </c>
      <c r="G733" s="26">
        <f t="shared" si="458"/>
        <v>21.488</v>
      </c>
      <c r="H733" s="26">
        <f t="shared" si="462"/>
        <v>27.25</v>
      </c>
      <c r="I733" s="26">
        <f t="shared" si="463"/>
        <v>136.25</v>
      </c>
      <c r="J733" s="64" t="e">
        <f>IF(B733&lt;&gt;0,VLOOKUP(B733,#REF!,4,FALSE),"")</f>
        <v>#REF!</v>
      </c>
      <c r="K733" s="362" t="s">
        <v>3238</v>
      </c>
      <c r="L733" s="362">
        <f t="shared" si="460"/>
        <v>107.44</v>
      </c>
      <c r="M733" s="64"/>
      <c r="N733" s="65" t="e">
        <f>IF(B733&lt;&gt;0,VLOOKUP(B733,#REF!,2,FALSE),"")</f>
        <v>#REF!</v>
      </c>
      <c r="AY733" s="221"/>
      <c r="AZ733" s="481"/>
      <c r="BA733" s="481"/>
      <c r="BB733" s="481"/>
      <c r="BC733" s="481"/>
      <c r="BD733" s="163">
        <f t="shared" ref="BD733:BD796" si="467">ROUND(G733*$BH$19,2)</f>
        <v>23.94</v>
      </c>
      <c r="BE733" s="163">
        <f t="shared" si="465"/>
        <v>30.36</v>
      </c>
      <c r="BF733" s="163">
        <f t="shared" si="466"/>
        <v>151.80000000000001</v>
      </c>
    </row>
    <row r="734" spans="1:59" s="62" customFormat="1" ht="45">
      <c r="A734" s="23" t="s">
        <v>1201</v>
      </c>
      <c r="B734" s="24">
        <v>95778</v>
      </c>
      <c r="C734" s="23" t="s">
        <v>1709</v>
      </c>
      <c r="D734" s="25" t="s">
        <v>12</v>
      </c>
      <c r="E734" s="25" t="s">
        <v>17</v>
      </c>
      <c r="F734" s="26">
        <v>2</v>
      </c>
      <c r="G734" s="26">
        <f t="shared" si="458"/>
        <v>19.3035</v>
      </c>
      <c r="H734" s="26">
        <f t="shared" si="462"/>
        <v>24.48</v>
      </c>
      <c r="I734" s="26">
        <f t="shared" si="463"/>
        <v>48.96</v>
      </c>
      <c r="J734" s="64" t="e">
        <f>IF(B734&lt;&gt;0,VLOOKUP(B734,#REF!,4,FALSE),"")</f>
        <v>#REF!</v>
      </c>
      <c r="K734" s="362" t="s">
        <v>3137</v>
      </c>
      <c r="L734" s="362">
        <f t="shared" si="460"/>
        <v>38.606999999999999</v>
      </c>
      <c r="M734" s="64"/>
      <c r="N734" s="65" t="e">
        <f>IF(B734&lt;&gt;0,VLOOKUP(B734,#REF!,2,FALSE),"")</f>
        <v>#REF!</v>
      </c>
      <c r="AY734" s="221"/>
      <c r="AZ734" s="481"/>
      <c r="BA734" s="481"/>
      <c r="BB734" s="481"/>
      <c r="BC734" s="481"/>
      <c r="BD734" s="163">
        <f t="shared" si="467"/>
        <v>21.5</v>
      </c>
      <c r="BE734" s="163">
        <f t="shared" si="465"/>
        <v>27.26</v>
      </c>
      <c r="BF734" s="163">
        <f t="shared" si="466"/>
        <v>54.52</v>
      </c>
    </row>
    <row r="735" spans="1:59" s="62" customFormat="1" ht="45">
      <c r="A735" s="23" t="s">
        <v>1202</v>
      </c>
      <c r="B735" s="24">
        <v>95787</v>
      </c>
      <c r="C735" s="23" t="s">
        <v>1708</v>
      </c>
      <c r="D735" s="25" t="s">
        <v>12</v>
      </c>
      <c r="E735" s="25" t="s">
        <v>17</v>
      </c>
      <c r="F735" s="26">
        <v>8</v>
      </c>
      <c r="G735" s="26">
        <f t="shared" si="458"/>
        <v>18.614999999999998</v>
      </c>
      <c r="H735" s="26">
        <f t="shared" si="462"/>
        <v>23.61</v>
      </c>
      <c r="I735" s="26">
        <f t="shared" si="463"/>
        <v>188.88</v>
      </c>
      <c r="J735" s="64" t="e">
        <f>IF(B735&lt;&gt;0,VLOOKUP(B735,#REF!,4,FALSE),"")</f>
        <v>#REF!</v>
      </c>
      <c r="K735" s="362" t="s">
        <v>1888</v>
      </c>
      <c r="L735" s="362">
        <f t="shared" si="460"/>
        <v>148.91999999999999</v>
      </c>
      <c r="M735" s="64"/>
      <c r="N735" s="65" t="e">
        <f>IF(B735&lt;&gt;0,VLOOKUP(B735,#REF!,2,FALSE),"")</f>
        <v>#REF!</v>
      </c>
      <c r="AY735" s="221"/>
      <c r="AZ735" s="481"/>
      <c r="BA735" s="481"/>
      <c r="BB735" s="481"/>
      <c r="BC735" s="481"/>
      <c r="BD735" s="163">
        <f t="shared" si="467"/>
        <v>20.74</v>
      </c>
      <c r="BE735" s="163">
        <f t="shared" si="465"/>
        <v>26.3</v>
      </c>
      <c r="BF735" s="163">
        <f t="shared" si="466"/>
        <v>210.4</v>
      </c>
    </row>
    <row r="736" spans="1:59" s="62" customFormat="1" ht="30">
      <c r="A736" s="23" t="s">
        <v>1203</v>
      </c>
      <c r="B736" s="24">
        <v>91936</v>
      </c>
      <c r="C736" s="23" t="s">
        <v>1726</v>
      </c>
      <c r="D736" s="25" t="s">
        <v>12</v>
      </c>
      <c r="E736" s="25" t="s">
        <v>17</v>
      </c>
      <c r="F736" s="26">
        <v>254</v>
      </c>
      <c r="G736" s="26">
        <f t="shared" si="458"/>
        <v>8.4065000000000012</v>
      </c>
      <c r="H736" s="26">
        <f t="shared" si="462"/>
        <v>10.66</v>
      </c>
      <c r="I736" s="26">
        <f t="shared" si="463"/>
        <v>2707.64</v>
      </c>
      <c r="J736" s="64" t="e">
        <f>IF(B736&lt;&gt;0,VLOOKUP(B736,#REF!,4,FALSE),"")</f>
        <v>#REF!</v>
      </c>
      <c r="K736" s="362" t="s">
        <v>1899</v>
      </c>
      <c r="L736" s="362">
        <f t="shared" si="460"/>
        <v>2135.2510000000002</v>
      </c>
      <c r="M736" s="64"/>
      <c r="N736" s="65" t="e">
        <f>IF(B736&lt;&gt;0,VLOOKUP(B736,#REF!,2,FALSE),"")</f>
        <v>#REF!</v>
      </c>
      <c r="AY736" s="221"/>
      <c r="AZ736" s="481"/>
      <c r="BA736" s="481"/>
      <c r="BB736" s="481"/>
      <c r="BC736" s="481"/>
      <c r="BD736" s="163">
        <f t="shared" si="467"/>
        <v>9.36</v>
      </c>
      <c r="BE736" s="163">
        <f t="shared" si="465"/>
        <v>11.87</v>
      </c>
      <c r="BF736" s="163">
        <f t="shared" si="466"/>
        <v>3014.98</v>
      </c>
    </row>
    <row r="737" spans="1:58" s="62" customFormat="1" ht="45">
      <c r="A737" s="23" t="s">
        <v>1204</v>
      </c>
      <c r="B737" s="24">
        <v>91941</v>
      </c>
      <c r="C737" s="23" t="s">
        <v>1716</v>
      </c>
      <c r="D737" s="25" t="s">
        <v>12</v>
      </c>
      <c r="E737" s="25" t="s">
        <v>17</v>
      </c>
      <c r="F737" s="26">
        <v>142</v>
      </c>
      <c r="G737" s="26">
        <f t="shared" si="458"/>
        <v>6.0775000000000006</v>
      </c>
      <c r="H737" s="26">
        <f t="shared" si="462"/>
        <v>7.71</v>
      </c>
      <c r="I737" s="26">
        <f t="shared" si="463"/>
        <v>1094.82</v>
      </c>
      <c r="J737" s="64" t="e">
        <f>IF(B737&lt;&gt;0,VLOOKUP(B737,#REF!,4,FALSE),"")</f>
        <v>#REF!</v>
      </c>
      <c r="K737" s="362" t="s">
        <v>3128</v>
      </c>
      <c r="L737" s="362">
        <f t="shared" si="460"/>
        <v>863.00500000000011</v>
      </c>
      <c r="M737" s="64"/>
      <c r="N737" s="65" t="e">
        <f>IF(B737&lt;&gt;0,VLOOKUP(B737,#REF!,2,FALSE),"")</f>
        <v>#REF!</v>
      </c>
      <c r="AY737" s="221"/>
      <c r="AZ737" s="481"/>
      <c r="BA737" s="481"/>
      <c r="BB737" s="481"/>
      <c r="BC737" s="481"/>
      <c r="BD737" s="163">
        <f t="shared" si="467"/>
        <v>6.77</v>
      </c>
      <c r="BE737" s="163">
        <f t="shared" si="465"/>
        <v>8.59</v>
      </c>
      <c r="BF737" s="163">
        <f t="shared" si="466"/>
        <v>1219.78</v>
      </c>
    </row>
    <row r="738" spans="1:58" s="62" customFormat="1" ht="45">
      <c r="A738" s="23" t="s">
        <v>1205</v>
      </c>
      <c r="B738" s="24">
        <v>91940</v>
      </c>
      <c r="C738" s="23" t="s">
        <v>1727</v>
      </c>
      <c r="D738" s="25" t="s">
        <v>12</v>
      </c>
      <c r="E738" s="25" t="s">
        <v>17</v>
      </c>
      <c r="F738" s="26">
        <v>128</v>
      </c>
      <c r="G738" s="26">
        <f t="shared" si="458"/>
        <v>8.8484999999999996</v>
      </c>
      <c r="H738" s="26">
        <f t="shared" si="462"/>
        <v>11.22</v>
      </c>
      <c r="I738" s="26">
        <f t="shared" si="463"/>
        <v>1436.16</v>
      </c>
      <c r="J738" s="64" t="e">
        <f>IF(B738&lt;&gt;0,VLOOKUP(B738,#REF!,4,FALSE),"")</f>
        <v>#REF!</v>
      </c>
      <c r="K738" s="362" t="s">
        <v>3193</v>
      </c>
      <c r="L738" s="362">
        <f t="shared" si="460"/>
        <v>1132.6079999999999</v>
      </c>
      <c r="M738" s="64"/>
      <c r="N738" s="65" t="e">
        <f>IF(B738&lt;&gt;0,VLOOKUP(B738,#REF!,2,FALSE),"")</f>
        <v>#REF!</v>
      </c>
      <c r="AY738" s="221"/>
      <c r="AZ738" s="481"/>
      <c r="BA738" s="481"/>
      <c r="BB738" s="481"/>
      <c r="BC738" s="481"/>
      <c r="BD738" s="163">
        <f t="shared" si="467"/>
        <v>9.86</v>
      </c>
      <c r="BE738" s="163">
        <f t="shared" si="465"/>
        <v>12.5</v>
      </c>
      <c r="BF738" s="163">
        <f t="shared" si="466"/>
        <v>1600</v>
      </c>
    </row>
    <row r="739" spans="1:58" s="62" customFormat="1" ht="45">
      <c r="A739" s="23" t="s">
        <v>1206</v>
      </c>
      <c r="B739" s="24">
        <v>91939</v>
      </c>
      <c r="C739" s="23" t="s">
        <v>1715</v>
      </c>
      <c r="D739" s="25" t="s">
        <v>12</v>
      </c>
      <c r="E739" s="25" t="s">
        <v>17</v>
      </c>
      <c r="F739" s="26">
        <v>30</v>
      </c>
      <c r="G739" s="26">
        <f t="shared" si="458"/>
        <v>16.234999999999999</v>
      </c>
      <c r="H739" s="26">
        <f t="shared" si="462"/>
        <v>20.59</v>
      </c>
      <c r="I739" s="26">
        <f t="shared" si="463"/>
        <v>617.70000000000005</v>
      </c>
      <c r="J739" s="64" t="e">
        <f>IF(B739&lt;&gt;0,VLOOKUP(B739,#REF!,4,FALSE),"")</f>
        <v>#REF!</v>
      </c>
      <c r="K739" s="362" t="s">
        <v>3236</v>
      </c>
      <c r="L739" s="362">
        <f t="shared" si="460"/>
        <v>487.04999999999995</v>
      </c>
      <c r="M739" s="64"/>
      <c r="N739" s="65" t="e">
        <f>IF(B739&lt;&gt;0,VLOOKUP(B739,#REF!,2,FALSE),"")</f>
        <v>#REF!</v>
      </c>
      <c r="AY739" s="221"/>
      <c r="AZ739" s="481"/>
      <c r="BA739" s="481"/>
      <c r="BB739" s="481"/>
      <c r="BC739" s="481"/>
      <c r="BD739" s="163">
        <f t="shared" si="467"/>
        <v>18.09</v>
      </c>
      <c r="BE739" s="163">
        <f t="shared" si="465"/>
        <v>22.94</v>
      </c>
      <c r="BF739" s="163">
        <f t="shared" si="466"/>
        <v>688.2</v>
      </c>
    </row>
    <row r="740" spans="1:58" s="62" customFormat="1" ht="45">
      <c r="A740" s="23" t="s">
        <v>1207</v>
      </c>
      <c r="B740" s="24">
        <v>91944</v>
      </c>
      <c r="C740" s="23" t="s">
        <v>1728</v>
      </c>
      <c r="D740" s="25" t="s">
        <v>12</v>
      </c>
      <c r="E740" s="25" t="s">
        <v>17</v>
      </c>
      <c r="F740" s="26">
        <v>2</v>
      </c>
      <c r="G740" s="26">
        <f t="shared" si="458"/>
        <v>8.5</v>
      </c>
      <c r="H740" s="26">
        <f t="shared" si="462"/>
        <v>10.78</v>
      </c>
      <c r="I740" s="26">
        <f t="shared" si="463"/>
        <v>21.56</v>
      </c>
      <c r="J740" s="64" t="e">
        <f>IF(B740&lt;&gt;0,VLOOKUP(B740,#REF!,4,FALSE),"")</f>
        <v>#REF!</v>
      </c>
      <c r="K740" s="362" t="s">
        <v>2644</v>
      </c>
      <c r="L740" s="362">
        <f t="shared" si="460"/>
        <v>17</v>
      </c>
      <c r="M740" s="64"/>
      <c r="N740" s="65" t="e">
        <f>IF(B740&lt;&gt;0,VLOOKUP(B740,#REF!,2,FALSE),"")</f>
        <v>#REF!</v>
      </c>
      <c r="AY740" s="221"/>
      <c r="AZ740" s="481"/>
      <c r="BA740" s="481"/>
      <c r="BB740" s="481"/>
      <c r="BC740" s="481"/>
      <c r="BD740" s="163">
        <f t="shared" si="467"/>
        <v>9.4700000000000006</v>
      </c>
      <c r="BE740" s="163">
        <f t="shared" si="465"/>
        <v>12.01</v>
      </c>
      <c r="BF740" s="163">
        <f t="shared" si="466"/>
        <v>24.02</v>
      </c>
    </row>
    <row r="741" spans="1:58" s="62" customFormat="1" ht="45">
      <c r="A741" s="41" t="s">
        <v>3643</v>
      </c>
      <c r="B741" s="24">
        <v>97881</v>
      </c>
      <c r="C741" s="470" t="s">
        <v>3636</v>
      </c>
      <c r="D741" s="25" t="s">
        <v>12</v>
      </c>
      <c r="E741" s="25" t="s">
        <v>17</v>
      </c>
      <c r="F741" s="26">
        <v>1</v>
      </c>
      <c r="G741" s="26">
        <f t="shared" si="458"/>
        <v>84.243499999999997</v>
      </c>
      <c r="H741" s="26">
        <f t="shared" si="462"/>
        <v>106.83</v>
      </c>
      <c r="I741" s="26">
        <f t="shared" ref="I741" si="468">ROUND(H741*F741,2)</f>
        <v>106.83</v>
      </c>
      <c r="J741" s="64" t="e">
        <f>IF(B741&lt;&gt;0,VLOOKUP(B741,#REF!,4,FALSE),"")</f>
        <v>#REF!</v>
      </c>
      <c r="K741" s="362" t="s">
        <v>3240</v>
      </c>
      <c r="L741" s="362">
        <f t="shared" si="460"/>
        <v>84.243499999999997</v>
      </c>
      <c r="M741" s="64"/>
      <c r="N741" s="65" t="e">
        <f>IF(B741&lt;&gt;0,VLOOKUP(B741,#REF!,2,FALSE),"")</f>
        <v>#REF!</v>
      </c>
      <c r="AY741" s="221"/>
      <c r="AZ741" s="481"/>
      <c r="BA741" s="481"/>
      <c r="BB741" s="481"/>
      <c r="BC741" s="481"/>
      <c r="BD741" s="163">
        <f t="shared" si="467"/>
        <v>93.85</v>
      </c>
      <c r="BE741" s="163">
        <f t="shared" si="465"/>
        <v>119.01</v>
      </c>
      <c r="BF741" s="163">
        <f t="shared" si="466"/>
        <v>119.01</v>
      </c>
    </row>
    <row r="742" spans="1:58" s="62" customFormat="1">
      <c r="A742" s="356" t="s">
        <v>1208</v>
      </c>
      <c r="B742" s="356"/>
      <c r="C742" s="356" t="s">
        <v>252</v>
      </c>
      <c r="D742" s="357"/>
      <c r="E742" s="357"/>
      <c r="F742" s="357"/>
      <c r="G742" s="26"/>
      <c r="H742" s="357"/>
      <c r="I742" s="96"/>
      <c r="J742" s="65"/>
      <c r="K742" s="362"/>
      <c r="L742" s="362">
        <f t="shared" si="460"/>
        <v>0</v>
      </c>
      <c r="M742" s="65"/>
      <c r="N742" s="65"/>
      <c r="AY742" s="221"/>
      <c r="AZ742" s="481"/>
      <c r="BA742" s="481"/>
      <c r="BB742" s="481"/>
      <c r="BC742" s="481"/>
      <c r="BD742" s="163"/>
      <c r="BE742" s="163"/>
      <c r="BF742" s="163"/>
    </row>
    <row r="743" spans="1:58" s="62" customFormat="1" ht="30">
      <c r="A743" s="23" t="s">
        <v>1209</v>
      </c>
      <c r="B743" s="24">
        <v>97597</v>
      </c>
      <c r="C743" s="23" t="s">
        <v>253</v>
      </c>
      <c r="D743" s="25" t="s">
        <v>12</v>
      </c>
      <c r="E743" s="25" t="s">
        <v>17</v>
      </c>
      <c r="F743" s="26">
        <v>22</v>
      </c>
      <c r="G743" s="26">
        <f t="shared" si="458"/>
        <v>36.244</v>
      </c>
      <c r="H743" s="26">
        <f>ROUND(G743*(1+$J$14),2)</f>
        <v>45.96</v>
      </c>
      <c r="I743" s="26">
        <f t="shared" ref="I743" si="469">ROUND(H743*F743,2)</f>
        <v>1011.12</v>
      </c>
      <c r="J743" s="64" t="e">
        <f>IF(B743&lt;&gt;0,VLOOKUP(B743,#REF!,4,FALSE),"")</f>
        <v>#REF!</v>
      </c>
      <c r="K743" s="362" t="s">
        <v>3146</v>
      </c>
      <c r="L743" s="362">
        <f t="shared" si="460"/>
        <v>797.36799999999994</v>
      </c>
      <c r="M743" s="64"/>
      <c r="N743" s="65" t="e">
        <f>IF(B743&lt;&gt;0,VLOOKUP(B743,#REF!,2,FALSE),"")</f>
        <v>#REF!</v>
      </c>
      <c r="AY743" s="221"/>
      <c r="AZ743" s="481"/>
      <c r="BA743" s="481"/>
      <c r="BB743" s="481"/>
      <c r="BC743" s="481"/>
      <c r="BD743" s="163">
        <f t="shared" si="467"/>
        <v>40.380000000000003</v>
      </c>
      <c r="BE743" s="163">
        <f t="shared" si="465"/>
        <v>51.21</v>
      </c>
      <c r="BF743" s="163">
        <f>ROUND(BE743*F743,2)</f>
        <v>1126.6199999999999</v>
      </c>
    </row>
    <row r="744" spans="1:58" s="27" customFormat="1" ht="23.25" customHeight="1">
      <c r="A744" s="23"/>
      <c r="B744" s="24"/>
      <c r="C744" s="23"/>
      <c r="D744" s="25"/>
      <c r="E744" s="25"/>
      <c r="F744" s="26"/>
      <c r="G744" s="26"/>
      <c r="H744" s="26"/>
      <c r="I744" s="26"/>
      <c r="J744" s="43"/>
      <c r="K744" s="365"/>
      <c r="L744" s="362">
        <f t="shared" si="460"/>
        <v>0</v>
      </c>
      <c r="M744" s="43"/>
      <c r="N744" s="42"/>
      <c r="AY744" s="552"/>
      <c r="AZ744" s="481"/>
      <c r="BA744" s="481"/>
      <c r="BB744" s="481"/>
      <c r="BC744" s="481"/>
      <c r="BD744" s="163"/>
      <c r="BE744" s="163"/>
      <c r="BF744" s="163"/>
    </row>
    <row r="745" spans="1:58">
      <c r="A745" s="356" t="s">
        <v>1210</v>
      </c>
      <c r="B745" s="356"/>
      <c r="C745" s="356" t="s">
        <v>254</v>
      </c>
      <c r="D745" s="357"/>
      <c r="E745" s="357"/>
      <c r="F745" s="357"/>
      <c r="G745" s="26"/>
      <c r="H745" s="357"/>
      <c r="I745" s="96">
        <f>ROUND(SUM(I746:I954),2)</f>
        <v>63474.09</v>
      </c>
      <c r="J745" s="1"/>
      <c r="K745" s="372"/>
      <c r="L745" s="362">
        <f t="shared" si="460"/>
        <v>0</v>
      </c>
      <c r="M745" s="372"/>
      <c r="N745" s="35"/>
      <c r="AY745" s="21"/>
      <c r="AZ745" s="481"/>
      <c r="BA745" s="481"/>
      <c r="BB745" s="481"/>
      <c r="BC745" s="481"/>
      <c r="BD745" s="163"/>
      <c r="BE745" s="163"/>
      <c r="BF745" s="96">
        <f>ROUND(SUM(BF746:BF954),2)</f>
        <v>70714.429999999993</v>
      </c>
    </row>
    <row r="746" spans="1:58" s="62" customFormat="1">
      <c r="A746" s="356" t="s">
        <v>1211</v>
      </c>
      <c r="B746" s="356"/>
      <c r="C746" s="356" t="s">
        <v>255</v>
      </c>
      <c r="D746" s="357"/>
      <c r="E746" s="357"/>
      <c r="F746" s="357"/>
      <c r="G746" s="26"/>
      <c r="H746" s="357"/>
      <c r="I746" s="96"/>
      <c r="J746" s="65"/>
      <c r="K746" s="362"/>
      <c r="L746" s="362">
        <f t="shared" si="460"/>
        <v>0</v>
      </c>
      <c r="M746" s="65"/>
      <c r="N746" s="65"/>
      <c r="AY746" s="221"/>
      <c r="AZ746" s="481"/>
      <c r="BA746" s="481"/>
      <c r="BB746" s="481"/>
      <c r="BC746" s="481"/>
      <c r="BD746" s="163"/>
      <c r="BE746" s="163"/>
      <c r="BF746" s="163"/>
    </row>
    <row r="747" spans="1:58" s="62" customFormat="1" ht="45">
      <c r="A747" s="23" t="s">
        <v>1212</v>
      </c>
      <c r="B747" s="24">
        <v>3836</v>
      </c>
      <c r="C747" s="23" t="s">
        <v>256</v>
      </c>
      <c r="D747" s="25" t="s">
        <v>44</v>
      </c>
      <c r="E747" s="25" t="s">
        <v>17</v>
      </c>
      <c r="F747" s="26">
        <v>1</v>
      </c>
      <c r="G747" s="26">
        <f t="shared" si="458"/>
        <v>410.44799999999998</v>
      </c>
      <c r="H747" s="26">
        <f t="shared" ref="H747:H753" si="470">ROUND(G747*(1+$J$14),2)</f>
        <v>520.49</v>
      </c>
      <c r="I747" s="26">
        <f t="shared" ref="I747:I748" si="471">ROUND(H747*F747,2)</f>
        <v>520.49</v>
      </c>
      <c r="J747" s="64">
        <f>'COMPOSIÇÃO DE CUSTOS'!G1399</f>
        <v>410.45</v>
      </c>
      <c r="K747" s="362">
        <v>482.88</v>
      </c>
      <c r="L747" s="362">
        <f t="shared" si="460"/>
        <v>410.44799999999998</v>
      </c>
      <c r="M747" s="64"/>
      <c r="N747" s="65"/>
      <c r="AY747" s="221"/>
      <c r="AZ747" s="481"/>
      <c r="BA747" s="481"/>
      <c r="BB747" s="481"/>
      <c r="BC747" s="481"/>
      <c r="BD747" s="163">
        <f t="shared" si="467"/>
        <v>457.24</v>
      </c>
      <c r="BE747" s="163">
        <f t="shared" si="465"/>
        <v>579.83000000000004</v>
      </c>
      <c r="BF747" s="163">
        <f t="shared" ref="BF747:BF753" si="472">ROUND(BE747*F747,2)</f>
        <v>579.83000000000004</v>
      </c>
    </row>
    <row r="748" spans="1:58" s="62" customFormat="1" ht="30">
      <c r="A748" s="23" t="s">
        <v>1213</v>
      </c>
      <c r="B748" s="24">
        <v>64021</v>
      </c>
      <c r="C748" s="23" t="s">
        <v>257</v>
      </c>
      <c r="D748" s="25" t="s">
        <v>1915</v>
      </c>
      <c r="E748" s="25" t="s">
        <v>17</v>
      </c>
      <c r="F748" s="26">
        <v>1</v>
      </c>
      <c r="G748" s="26">
        <f t="shared" si="458"/>
        <v>344.89600000000002</v>
      </c>
      <c r="H748" s="26">
        <f t="shared" si="470"/>
        <v>437.36</v>
      </c>
      <c r="I748" s="26">
        <f t="shared" si="471"/>
        <v>437.36</v>
      </c>
      <c r="J748" s="64">
        <f>'COMPOSIÇÃO DE CUSTOS'!G1406</f>
        <v>344.9</v>
      </c>
      <c r="K748" s="362">
        <v>405.76</v>
      </c>
      <c r="L748" s="362">
        <f t="shared" si="460"/>
        <v>344.89600000000002</v>
      </c>
      <c r="M748" s="64"/>
      <c r="N748" s="65"/>
      <c r="AY748" s="221"/>
      <c r="AZ748" s="481"/>
      <c r="BA748" s="481"/>
      <c r="BB748" s="481"/>
      <c r="BC748" s="481"/>
      <c r="BD748" s="163">
        <f t="shared" si="467"/>
        <v>384.22</v>
      </c>
      <c r="BE748" s="163">
        <f t="shared" si="465"/>
        <v>487.23</v>
      </c>
      <c r="BF748" s="163">
        <f t="shared" si="472"/>
        <v>487.23</v>
      </c>
    </row>
    <row r="749" spans="1:58" s="62" customFormat="1" ht="45">
      <c r="A749" s="41" t="s">
        <v>3644</v>
      </c>
      <c r="B749" s="24">
        <v>101900</v>
      </c>
      <c r="C749" s="470" t="s">
        <v>3750</v>
      </c>
      <c r="D749" s="25" t="s">
        <v>12</v>
      </c>
      <c r="E749" s="25" t="s">
        <v>17</v>
      </c>
      <c r="F749" s="26">
        <v>2</v>
      </c>
      <c r="G749" s="26">
        <f t="shared" si="458"/>
        <v>3791.2635000000005</v>
      </c>
      <c r="H749" s="26">
        <f t="shared" si="470"/>
        <v>4807.7</v>
      </c>
      <c r="I749" s="26">
        <f t="shared" ref="I749" si="473">ROUND(H749*F749,2)</f>
        <v>9615.4</v>
      </c>
      <c r="J749" s="64" t="e">
        <f>IF(B749&lt;&gt;0,VLOOKUP(B749,#REF!,4,FALSE),"")</f>
        <v>#REF!</v>
      </c>
      <c r="K749" s="362" t="s">
        <v>3256</v>
      </c>
      <c r="L749" s="362">
        <f t="shared" si="460"/>
        <v>7582.527000000001</v>
      </c>
      <c r="M749" s="64"/>
      <c r="N749" s="65" t="e">
        <f>IF(B749&lt;&gt;0,VLOOKUP(B749,#REF!,2,FALSE),"")</f>
        <v>#REF!</v>
      </c>
      <c r="AY749" s="221"/>
      <c r="AZ749" s="481"/>
      <c r="BA749" s="481"/>
      <c r="BB749" s="481"/>
      <c r="BC749" s="481"/>
      <c r="BD749" s="163">
        <f t="shared" si="467"/>
        <v>4223.5</v>
      </c>
      <c r="BE749" s="163">
        <f t="shared" si="465"/>
        <v>5355.82</v>
      </c>
      <c r="BF749" s="163">
        <f t="shared" si="472"/>
        <v>10711.64</v>
      </c>
    </row>
    <row r="750" spans="1:58" s="62" customFormat="1" ht="45">
      <c r="A750" s="23" t="s">
        <v>1215</v>
      </c>
      <c r="B750" s="24">
        <v>101896</v>
      </c>
      <c r="C750" s="23" t="s">
        <v>2489</v>
      </c>
      <c r="D750" s="25" t="s">
        <v>12</v>
      </c>
      <c r="E750" s="25" t="s">
        <v>17</v>
      </c>
      <c r="F750" s="26">
        <v>1</v>
      </c>
      <c r="G750" s="26">
        <f t="shared" si="458"/>
        <v>515.48250000000007</v>
      </c>
      <c r="H750" s="26">
        <f t="shared" si="470"/>
        <v>653.67999999999995</v>
      </c>
      <c r="I750" s="26">
        <f t="shared" ref="I750" si="474">ROUND(H750*F750,2)</f>
        <v>653.67999999999995</v>
      </c>
      <c r="J750" s="64" t="e">
        <f>IF(B750&lt;&gt;0,VLOOKUP(B750,#REF!,4,FALSE),"")</f>
        <v>#REF!</v>
      </c>
      <c r="K750" s="362" t="s">
        <v>3155</v>
      </c>
      <c r="L750" s="362">
        <f t="shared" si="460"/>
        <v>515.48250000000007</v>
      </c>
      <c r="M750" s="64"/>
      <c r="N750" s="65" t="e">
        <f>IF(B750&lt;&gt;0,VLOOKUP(B750,#REF!,2,FALSE),"")</f>
        <v>#REF!</v>
      </c>
      <c r="AY750" s="221"/>
      <c r="AZ750" s="481"/>
      <c r="BA750" s="481"/>
      <c r="BB750" s="481"/>
      <c r="BC750" s="481"/>
      <c r="BD750" s="163">
        <f t="shared" si="467"/>
        <v>574.25</v>
      </c>
      <c r="BE750" s="163">
        <f t="shared" si="465"/>
        <v>728.21</v>
      </c>
      <c r="BF750" s="163">
        <f t="shared" si="472"/>
        <v>728.21</v>
      </c>
    </row>
    <row r="751" spans="1:58" s="62" customFormat="1" ht="30">
      <c r="A751" s="41" t="s">
        <v>3645</v>
      </c>
      <c r="B751" s="24">
        <v>11838</v>
      </c>
      <c r="C751" s="470" t="s">
        <v>3751</v>
      </c>
      <c r="D751" s="25" t="s">
        <v>12</v>
      </c>
      <c r="E751" s="25" t="s">
        <v>17</v>
      </c>
      <c r="F751" s="26">
        <v>36</v>
      </c>
      <c r="G751" s="26">
        <f t="shared" si="458"/>
        <v>29.299499999999998</v>
      </c>
      <c r="H751" s="26">
        <f t="shared" si="470"/>
        <v>37.15</v>
      </c>
      <c r="I751" s="26">
        <f t="shared" ref="I751:I753" si="475">ROUND(H751*F751,2)</f>
        <v>1337.4</v>
      </c>
      <c r="J751" s="64" t="e">
        <f>IF(B751&lt;&gt;0,VLOOKUP(B751,#REF!,4,FALSE),"")</f>
        <v>#REF!</v>
      </c>
      <c r="K751" s="362" t="s">
        <v>3320</v>
      </c>
      <c r="L751" s="362">
        <f t="shared" si="460"/>
        <v>1054.7819999999999</v>
      </c>
      <c r="M751" s="64"/>
      <c r="N751" s="65" t="e">
        <f>IF(B751&lt;&gt;0,VLOOKUP(B751,#REF!,2,FALSE),"")</f>
        <v>#REF!</v>
      </c>
      <c r="AY751" s="221"/>
      <c r="AZ751" s="481"/>
      <c r="BA751" s="481"/>
      <c r="BB751" s="481"/>
      <c r="BC751" s="481"/>
      <c r="BD751" s="163">
        <f t="shared" si="467"/>
        <v>32.64</v>
      </c>
      <c r="BE751" s="163">
        <f t="shared" si="465"/>
        <v>41.39</v>
      </c>
      <c r="BF751" s="163">
        <f t="shared" si="472"/>
        <v>1490.04</v>
      </c>
    </row>
    <row r="752" spans="1:58" s="62" customFormat="1" ht="45">
      <c r="A752" s="41" t="s">
        <v>3646</v>
      </c>
      <c r="B752" s="24">
        <v>1578</v>
      </c>
      <c r="C752" s="470" t="s">
        <v>3752</v>
      </c>
      <c r="D752" s="25" t="s">
        <v>12</v>
      </c>
      <c r="E752" s="25" t="s">
        <v>17</v>
      </c>
      <c r="F752" s="26">
        <v>8</v>
      </c>
      <c r="G752" s="26">
        <f t="shared" si="458"/>
        <v>4.1820000000000004</v>
      </c>
      <c r="H752" s="26">
        <f t="shared" si="470"/>
        <v>5.3</v>
      </c>
      <c r="I752" s="26">
        <f t="shared" si="475"/>
        <v>42.4</v>
      </c>
      <c r="J752" s="64" t="e">
        <f>IF(B752&lt;&gt;0,VLOOKUP(B752,#REF!,4,FALSE),"")</f>
        <v>#REF!</v>
      </c>
      <c r="K752" s="362" t="s">
        <v>3144</v>
      </c>
      <c r="L752" s="362">
        <f t="shared" si="460"/>
        <v>33.456000000000003</v>
      </c>
      <c r="M752" s="64"/>
      <c r="N752" s="65" t="e">
        <f>IF(B752&lt;&gt;0,VLOOKUP(B752,#REF!,2,FALSE),"")</f>
        <v>#REF!</v>
      </c>
      <c r="AY752" s="221"/>
      <c r="AZ752" s="481"/>
      <c r="BA752" s="481"/>
      <c r="BB752" s="481"/>
      <c r="BC752" s="481"/>
      <c r="BD752" s="163">
        <f t="shared" si="467"/>
        <v>4.66</v>
      </c>
      <c r="BE752" s="163">
        <f t="shared" si="465"/>
        <v>5.91</v>
      </c>
      <c r="BF752" s="163">
        <f t="shared" si="472"/>
        <v>47.28</v>
      </c>
    </row>
    <row r="753" spans="1:58" s="62" customFormat="1" ht="45">
      <c r="A753" s="41" t="s">
        <v>3647</v>
      </c>
      <c r="B753" s="24">
        <v>1577</v>
      </c>
      <c r="C753" s="470" t="s">
        <v>3753</v>
      </c>
      <c r="D753" s="25" t="s">
        <v>12</v>
      </c>
      <c r="E753" s="25" t="s">
        <v>17</v>
      </c>
      <c r="F753" s="26">
        <v>2</v>
      </c>
      <c r="G753" s="26">
        <f t="shared" si="458"/>
        <v>2.4055</v>
      </c>
      <c r="H753" s="26">
        <f t="shared" si="470"/>
        <v>3.05</v>
      </c>
      <c r="I753" s="26">
        <f t="shared" si="475"/>
        <v>6.1</v>
      </c>
      <c r="J753" s="64" t="e">
        <f>IF(B753&lt;&gt;0,VLOOKUP(B753,#REF!,4,FALSE),"")</f>
        <v>#REF!</v>
      </c>
      <c r="K753" s="362" t="s">
        <v>1895</v>
      </c>
      <c r="L753" s="362">
        <f t="shared" si="460"/>
        <v>4.8109999999999999</v>
      </c>
      <c r="M753" s="64"/>
      <c r="N753" s="65" t="e">
        <f>IF(B753&lt;&gt;0,VLOOKUP(B753,#REF!,2,FALSE),"")</f>
        <v>#REF!</v>
      </c>
      <c r="AY753" s="221"/>
      <c r="AZ753" s="481"/>
      <c r="BA753" s="481"/>
      <c r="BB753" s="481"/>
      <c r="BC753" s="481"/>
      <c r="BD753" s="163">
        <f t="shared" si="467"/>
        <v>2.68</v>
      </c>
      <c r="BE753" s="163">
        <f t="shared" si="465"/>
        <v>3.4</v>
      </c>
      <c r="BF753" s="163">
        <f t="shared" si="472"/>
        <v>6.8</v>
      </c>
    </row>
    <row r="754" spans="1:58" s="62" customFormat="1">
      <c r="A754" s="356" t="s">
        <v>1218</v>
      </c>
      <c r="B754" s="356"/>
      <c r="C754" s="356" t="s">
        <v>258</v>
      </c>
      <c r="D754" s="357"/>
      <c r="E754" s="357"/>
      <c r="F754" s="357"/>
      <c r="G754" s="26"/>
      <c r="H754" s="357"/>
      <c r="I754" s="96"/>
      <c r="J754" s="65"/>
      <c r="K754" s="362"/>
      <c r="L754" s="362">
        <f t="shared" si="460"/>
        <v>0</v>
      </c>
      <c r="M754" s="65"/>
      <c r="N754" s="65"/>
      <c r="AY754" s="221"/>
      <c r="AZ754" s="481"/>
      <c r="BA754" s="481"/>
      <c r="BB754" s="481"/>
      <c r="BC754" s="481"/>
      <c r="BD754" s="163"/>
      <c r="BE754" s="163"/>
      <c r="BF754" s="163"/>
    </row>
    <row r="755" spans="1:58" s="62" customFormat="1" ht="45">
      <c r="A755" s="23" t="s">
        <v>1219</v>
      </c>
      <c r="B755" s="24">
        <f>B747</f>
        <v>3836</v>
      </c>
      <c r="C755" s="23" t="s">
        <v>256</v>
      </c>
      <c r="D755" s="25" t="str">
        <f>D747</f>
        <v>ORSE</v>
      </c>
      <c r="E755" s="25" t="s">
        <v>17</v>
      </c>
      <c r="F755" s="26">
        <v>1</v>
      </c>
      <c r="G755" s="26">
        <f t="shared" si="458"/>
        <v>410.44799999999998</v>
      </c>
      <c r="H755" s="26">
        <f t="shared" ref="H755:H761" si="476">ROUND(G755*(1+$J$14),2)</f>
        <v>520.49</v>
      </c>
      <c r="I755" s="26">
        <f t="shared" ref="I755:I758" si="477">ROUND(H755*F755,2)</f>
        <v>520.49</v>
      </c>
      <c r="J755" s="64">
        <f>J747</f>
        <v>410.45</v>
      </c>
      <c r="K755" s="362">
        <v>482.88</v>
      </c>
      <c r="L755" s="362">
        <f t="shared" si="460"/>
        <v>410.44799999999998</v>
      </c>
      <c r="M755" s="64"/>
      <c r="N755" s="65"/>
      <c r="AY755" s="221"/>
      <c r="AZ755" s="481"/>
      <c r="BA755" s="481"/>
      <c r="BB755" s="481"/>
      <c r="BC755" s="481"/>
      <c r="BD755" s="163">
        <f t="shared" si="467"/>
        <v>457.24</v>
      </c>
      <c r="BE755" s="163">
        <f t="shared" si="465"/>
        <v>579.83000000000004</v>
      </c>
      <c r="BF755" s="163">
        <f t="shared" ref="BF755:BF761" si="478">ROUND(BE755*F755,2)</f>
        <v>579.83000000000004</v>
      </c>
    </row>
    <row r="756" spans="1:58" s="62" customFormat="1" ht="30">
      <c r="A756" s="23" t="s">
        <v>1220</v>
      </c>
      <c r="B756" s="24">
        <f>B748</f>
        <v>64021</v>
      </c>
      <c r="C756" s="23" t="s">
        <v>257</v>
      </c>
      <c r="D756" s="25" t="str">
        <f>D748</f>
        <v>COMPOSIÇÃO</v>
      </c>
      <c r="E756" s="25" t="s">
        <v>17</v>
      </c>
      <c r="F756" s="26">
        <v>1</v>
      </c>
      <c r="G756" s="26">
        <f t="shared" si="458"/>
        <v>344.89600000000002</v>
      </c>
      <c r="H756" s="26">
        <f t="shared" si="476"/>
        <v>437.36</v>
      </c>
      <c r="I756" s="26">
        <f t="shared" si="477"/>
        <v>437.36</v>
      </c>
      <c r="J756" s="64">
        <f>J748</f>
        <v>344.9</v>
      </c>
      <c r="K756" s="362">
        <v>405.76</v>
      </c>
      <c r="L756" s="362">
        <f t="shared" si="460"/>
        <v>344.89600000000002</v>
      </c>
      <c r="M756" s="64"/>
      <c r="N756" s="65"/>
      <c r="AY756" s="221"/>
      <c r="AZ756" s="481"/>
      <c r="BA756" s="481"/>
      <c r="BB756" s="481"/>
      <c r="BC756" s="481"/>
      <c r="BD756" s="163">
        <f t="shared" si="467"/>
        <v>384.22</v>
      </c>
      <c r="BE756" s="163">
        <f t="shared" si="465"/>
        <v>487.23</v>
      </c>
      <c r="BF756" s="163">
        <f t="shared" si="478"/>
        <v>487.23</v>
      </c>
    </row>
    <row r="757" spans="1:58" s="62" customFormat="1" ht="45">
      <c r="A757" s="23" t="s">
        <v>1221</v>
      </c>
      <c r="B757" s="24">
        <v>101899</v>
      </c>
      <c r="C757" s="23" t="s">
        <v>259</v>
      </c>
      <c r="D757" s="25" t="s">
        <v>12</v>
      </c>
      <c r="E757" s="25" t="s">
        <v>17</v>
      </c>
      <c r="F757" s="26">
        <v>2</v>
      </c>
      <c r="G757" s="26">
        <f t="shared" si="458"/>
        <v>1806.9555</v>
      </c>
      <c r="H757" s="26">
        <f t="shared" si="476"/>
        <v>2291.4</v>
      </c>
      <c r="I757" s="26">
        <f t="shared" si="477"/>
        <v>4582.8</v>
      </c>
      <c r="J757" s="64" t="e">
        <f>IF(B757&lt;&gt;0,VLOOKUP(B757,#REF!,4,FALSE),"")</f>
        <v>#REF!</v>
      </c>
      <c r="K757" s="362" t="s">
        <v>3255</v>
      </c>
      <c r="L757" s="362">
        <f t="shared" si="460"/>
        <v>3613.9110000000001</v>
      </c>
      <c r="M757" s="64"/>
      <c r="N757" s="65" t="e">
        <f>IF(B757&lt;&gt;0,VLOOKUP(B757,#REF!,2,FALSE),"")</f>
        <v>#REF!</v>
      </c>
      <c r="AY757" s="221"/>
      <c r="AZ757" s="481"/>
      <c r="BA757" s="481"/>
      <c r="BB757" s="481"/>
      <c r="BC757" s="481"/>
      <c r="BD757" s="163">
        <f t="shared" si="467"/>
        <v>2012.96</v>
      </c>
      <c r="BE757" s="163">
        <f t="shared" si="465"/>
        <v>2552.63</v>
      </c>
      <c r="BF757" s="163">
        <f t="shared" si="478"/>
        <v>5105.26</v>
      </c>
    </row>
    <row r="758" spans="1:58" s="62" customFormat="1">
      <c r="A758" s="23" t="s">
        <v>1222</v>
      </c>
      <c r="B758" s="24">
        <v>101894</v>
      </c>
      <c r="C758" s="23" t="s">
        <v>2488</v>
      </c>
      <c r="D758" s="25" t="s">
        <v>12</v>
      </c>
      <c r="E758" s="25" t="s">
        <v>17</v>
      </c>
      <c r="F758" s="26">
        <v>1</v>
      </c>
      <c r="G758" s="26">
        <f t="shared" si="458"/>
        <v>120.09649999999999</v>
      </c>
      <c r="H758" s="26">
        <f t="shared" si="476"/>
        <v>152.29</v>
      </c>
      <c r="I758" s="26">
        <f t="shared" si="477"/>
        <v>152.29</v>
      </c>
      <c r="J758" s="64" t="e">
        <f>IF(B758&lt;&gt;0,VLOOKUP(B758,#REF!,4,FALSE),"")</f>
        <v>#REF!</v>
      </c>
      <c r="K758" s="362" t="s">
        <v>3253</v>
      </c>
      <c r="L758" s="362">
        <f t="shared" si="460"/>
        <v>120.09649999999999</v>
      </c>
      <c r="M758" s="64"/>
      <c r="N758" s="65" t="e">
        <f>IF(B758&lt;&gt;0,VLOOKUP(B758,#REF!,2,FALSE),"")</f>
        <v>#REF!</v>
      </c>
      <c r="AY758" s="221"/>
      <c r="AZ758" s="481"/>
      <c r="BA758" s="481"/>
      <c r="BB758" s="481"/>
      <c r="BC758" s="481"/>
      <c r="BD758" s="163">
        <f t="shared" si="467"/>
        <v>133.79</v>
      </c>
      <c r="BE758" s="163">
        <f t="shared" si="465"/>
        <v>169.66</v>
      </c>
      <c r="BF758" s="163">
        <f t="shared" si="478"/>
        <v>169.66</v>
      </c>
    </row>
    <row r="759" spans="1:58" s="62" customFormat="1" ht="30">
      <c r="A759" s="41" t="s">
        <v>3648</v>
      </c>
      <c r="B759" s="24">
        <v>1591</v>
      </c>
      <c r="C759" s="470" t="s">
        <v>3754</v>
      </c>
      <c r="D759" s="25" t="s">
        <v>12</v>
      </c>
      <c r="E759" s="25" t="s">
        <v>17</v>
      </c>
      <c r="F759" s="26">
        <v>36</v>
      </c>
      <c r="G759" s="26">
        <f t="shared" si="458"/>
        <v>19.907</v>
      </c>
      <c r="H759" s="26">
        <f t="shared" si="476"/>
        <v>25.24</v>
      </c>
      <c r="I759" s="26">
        <f t="shared" ref="I759:I761" si="479">ROUND(H759*F759,2)</f>
        <v>908.64</v>
      </c>
      <c r="J759" s="64" t="e">
        <f>IF(B759&lt;&gt;0,VLOOKUP(B759,#REF!,4,FALSE),"")</f>
        <v>#REF!</v>
      </c>
      <c r="K759" s="362" t="s">
        <v>3172</v>
      </c>
      <c r="L759" s="362">
        <f t="shared" si="460"/>
        <v>716.65200000000004</v>
      </c>
      <c r="M759" s="64"/>
      <c r="N759" s="65" t="e">
        <f>IF(B759&lt;&gt;0,VLOOKUP(B759,#REF!,2,FALSE),"")</f>
        <v>#REF!</v>
      </c>
      <c r="AY759" s="221"/>
      <c r="AZ759" s="481"/>
      <c r="BA759" s="481"/>
      <c r="BB759" s="481"/>
      <c r="BC759" s="481"/>
      <c r="BD759" s="163">
        <f t="shared" si="467"/>
        <v>22.18</v>
      </c>
      <c r="BE759" s="163">
        <f t="shared" si="465"/>
        <v>28.13</v>
      </c>
      <c r="BF759" s="163">
        <f t="shared" si="478"/>
        <v>1012.68</v>
      </c>
    </row>
    <row r="760" spans="1:58" s="62" customFormat="1" ht="45">
      <c r="A760" s="41" t="s">
        <v>3649</v>
      </c>
      <c r="B760" s="24">
        <v>1577</v>
      </c>
      <c r="C760" s="470" t="s">
        <v>3753</v>
      </c>
      <c r="D760" s="25" t="s">
        <v>12</v>
      </c>
      <c r="E760" s="25" t="s">
        <v>17</v>
      </c>
      <c r="F760" s="26">
        <v>8</v>
      </c>
      <c r="G760" s="26">
        <f t="shared" si="458"/>
        <v>2.4055</v>
      </c>
      <c r="H760" s="26">
        <f t="shared" si="476"/>
        <v>3.05</v>
      </c>
      <c r="I760" s="26">
        <f t="shared" si="479"/>
        <v>24.4</v>
      </c>
      <c r="J760" s="64" t="e">
        <f>IF(B760&lt;&gt;0,VLOOKUP(B760,#REF!,4,FALSE),"")</f>
        <v>#REF!</v>
      </c>
      <c r="K760" s="362" t="s">
        <v>1895</v>
      </c>
      <c r="L760" s="362">
        <f t="shared" si="460"/>
        <v>19.244</v>
      </c>
      <c r="M760" s="64"/>
      <c r="N760" s="65" t="e">
        <f>IF(B760&lt;&gt;0,VLOOKUP(B760,#REF!,2,FALSE),"")</f>
        <v>#REF!</v>
      </c>
      <c r="AY760" s="221"/>
      <c r="AZ760" s="481"/>
      <c r="BA760" s="481"/>
      <c r="BB760" s="481"/>
      <c r="BC760" s="481"/>
      <c r="BD760" s="163">
        <f t="shared" si="467"/>
        <v>2.68</v>
      </c>
      <c r="BE760" s="163">
        <f t="shared" si="465"/>
        <v>3.4</v>
      </c>
      <c r="BF760" s="163">
        <f t="shared" si="478"/>
        <v>27.2</v>
      </c>
    </row>
    <row r="761" spans="1:58" s="62" customFormat="1" ht="30">
      <c r="A761" s="41" t="s">
        <v>3650</v>
      </c>
      <c r="B761" s="24">
        <v>1585</v>
      </c>
      <c r="C761" s="470" t="s">
        <v>3755</v>
      </c>
      <c r="D761" s="25" t="s">
        <v>12</v>
      </c>
      <c r="E761" s="25" t="s">
        <v>17</v>
      </c>
      <c r="F761" s="26">
        <v>2</v>
      </c>
      <c r="G761" s="26">
        <f t="shared" si="458"/>
        <v>4.1820000000000004</v>
      </c>
      <c r="H761" s="26">
        <f t="shared" si="476"/>
        <v>5.3</v>
      </c>
      <c r="I761" s="26">
        <f t="shared" si="479"/>
        <v>10.6</v>
      </c>
      <c r="J761" s="64" t="e">
        <f>IF(B761&lt;&gt;0,VLOOKUP(B761,#REF!,4,FALSE),"")</f>
        <v>#REF!</v>
      </c>
      <c r="K761" s="362" t="s">
        <v>3144</v>
      </c>
      <c r="L761" s="362">
        <f t="shared" si="460"/>
        <v>8.3640000000000008</v>
      </c>
      <c r="M761" s="64"/>
      <c r="N761" s="65" t="e">
        <f>IF(B761&lt;&gt;0,VLOOKUP(B761,#REF!,2,FALSE),"")</f>
        <v>#REF!</v>
      </c>
      <c r="AY761" s="221"/>
      <c r="AZ761" s="481"/>
      <c r="BA761" s="481"/>
      <c r="BB761" s="481"/>
      <c r="BC761" s="481"/>
      <c r="BD761" s="163">
        <f t="shared" si="467"/>
        <v>4.66</v>
      </c>
      <c r="BE761" s="163">
        <f t="shared" si="465"/>
        <v>5.91</v>
      </c>
      <c r="BF761" s="163">
        <f t="shared" si="478"/>
        <v>11.82</v>
      </c>
    </row>
    <row r="762" spans="1:58" s="62" customFormat="1">
      <c r="A762" s="356" t="s">
        <v>1226</v>
      </c>
      <c r="B762" s="356"/>
      <c r="C762" s="356" t="s">
        <v>263</v>
      </c>
      <c r="D762" s="357"/>
      <c r="E762" s="357"/>
      <c r="F762" s="357"/>
      <c r="G762" s="26"/>
      <c r="H762" s="357"/>
      <c r="I762" s="96"/>
      <c r="J762" s="65"/>
      <c r="K762" s="362"/>
      <c r="L762" s="362">
        <f t="shared" si="460"/>
        <v>0</v>
      </c>
      <c r="M762" s="65"/>
      <c r="N762" s="65"/>
      <c r="AY762" s="221"/>
      <c r="AZ762" s="481"/>
      <c r="BA762" s="481"/>
      <c r="BB762" s="481"/>
      <c r="BC762" s="481"/>
      <c r="BD762" s="163"/>
      <c r="BE762" s="163"/>
      <c r="BF762" s="163"/>
    </row>
    <row r="763" spans="1:58" s="62" customFormat="1" ht="45">
      <c r="A763" s="23" t="s">
        <v>1227</v>
      </c>
      <c r="B763" s="24">
        <f>B755</f>
        <v>3836</v>
      </c>
      <c r="C763" s="23" t="s">
        <v>256</v>
      </c>
      <c r="D763" s="25" t="str">
        <f>D755</f>
        <v>ORSE</v>
      </c>
      <c r="E763" s="25" t="s">
        <v>17</v>
      </c>
      <c r="F763" s="26">
        <v>1</v>
      </c>
      <c r="G763" s="26">
        <f t="shared" si="458"/>
        <v>410.44799999999998</v>
      </c>
      <c r="H763" s="26">
        <f t="shared" ref="H763:H768" si="480">ROUND(G763*(1+$J$14),2)</f>
        <v>520.49</v>
      </c>
      <c r="I763" s="26">
        <f t="shared" ref="I763:I764" si="481">ROUND(H763*F763,2)</f>
        <v>520.49</v>
      </c>
      <c r="J763" s="64">
        <f>J755</f>
        <v>410.45</v>
      </c>
      <c r="K763" s="362">
        <v>482.88</v>
      </c>
      <c r="L763" s="362">
        <f t="shared" si="460"/>
        <v>410.44799999999998</v>
      </c>
      <c r="M763" s="64"/>
      <c r="N763" s="65"/>
      <c r="AY763" s="221"/>
      <c r="AZ763" s="481"/>
      <c r="BA763" s="481"/>
      <c r="BB763" s="481"/>
      <c r="BC763" s="481"/>
      <c r="BD763" s="163">
        <f t="shared" si="467"/>
        <v>457.24</v>
      </c>
      <c r="BE763" s="163">
        <f t="shared" si="465"/>
        <v>579.83000000000004</v>
      </c>
      <c r="BF763" s="163">
        <f t="shared" ref="BF763:BF768" si="482">ROUND(BE763*F763,2)</f>
        <v>579.83000000000004</v>
      </c>
    </row>
    <row r="764" spans="1:58" s="62" customFormat="1" ht="30">
      <c r="A764" s="23" t="s">
        <v>1228</v>
      </c>
      <c r="B764" s="24">
        <f>B756</f>
        <v>64021</v>
      </c>
      <c r="C764" s="23" t="s">
        <v>257</v>
      </c>
      <c r="D764" s="25" t="str">
        <f>D756</f>
        <v>COMPOSIÇÃO</v>
      </c>
      <c r="E764" s="25" t="s">
        <v>17</v>
      </c>
      <c r="F764" s="26">
        <v>1</v>
      </c>
      <c r="G764" s="26">
        <f t="shared" si="458"/>
        <v>344.89600000000002</v>
      </c>
      <c r="H764" s="26">
        <f t="shared" si="480"/>
        <v>437.36</v>
      </c>
      <c r="I764" s="26">
        <f t="shared" si="481"/>
        <v>437.36</v>
      </c>
      <c r="J764" s="64">
        <f>J756</f>
        <v>344.9</v>
      </c>
      <c r="K764" s="362">
        <v>405.76</v>
      </c>
      <c r="L764" s="362">
        <f t="shared" si="460"/>
        <v>344.89600000000002</v>
      </c>
      <c r="M764" s="64"/>
      <c r="N764" s="65"/>
      <c r="AY764" s="221"/>
      <c r="AZ764" s="481"/>
      <c r="BA764" s="481"/>
      <c r="BB764" s="481"/>
      <c r="BC764" s="481"/>
      <c r="BD764" s="163">
        <f t="shared" si="467"/>
        <v>384.22</v>
      </c>
      <c r="BE764" s="163">
        <f t="shared" si="465"/>
        <v>487.23</v>
      </c>
      <c r="BF764" s="163">
        <f t="shared" si="482"/>
        <v>487.23</v>
      </c>
    </row>
    <row r="765" spans="1:58" s="62" customFormat="1" ht="45">
      <c r="A765" s="23" t="s">
        <v>1229</v>
      </c>
      <c r="B765" s="24">
        <v>101899</v>
      </c>
      <c r="C765" s="23" t="s">
        <v>259</v>
      </c>
      <c r="D765" s="25" t="s">
        <v>12</v>
      </c>
      <c r="E765" s="25" t="s">
        <v>17</v>
      </c>
      <c r="F765" s="26">
        <v>2</v>
      </c>
      <c r="G765" s="26">
        <f t="shared" si="458"/>
        <v>1806.9555</v>
      </c>
      <c r="H765" s="26">
        <f t="shared" si="480"/>
        <v>2291.4</v>
      </c>
      <c r="I765" s="26">
        <f t="shared" ref="I765" si="483">ROUND(H765*F765,2)</f>
        <v>4582.8</v>
      </c>
      <c r="J765" s="64" t="e">
        <f>IF(B765&lt;&gt;0,VLOOKUP(B765,#REF!,4,FALSE),"")</f>
        <v>#REF!</v>
      </c>
      <c r="K765" s="362" t="s">
        <v>3255</v>
      </c>
      <c r="L765" s="362">
        <f t="shared" si="460"/>
        <v>3613.9110000000001</v>
      </c>
      <c r="M765" s="64"/>
      <c r="N765" s="65" t="e">
        <f>IF(B765&lt;&gt;0,VLOOKUP(B765,#REF!,2,FALSE),"")</f>
        <v>#REF!</v>
      </c>
      <c r="AY765" s="221"/>
      <c r="AZ765" s="481"/>
      <c r="BA765" s="481"/>
      <c r="BB765" s="481"/>
      <c r="BC765" s="481"/>
      <c r="BD765" s="163">
        <f t="shared" si="467"/>
        <v>2012.96</v>
      </c>
      <c r="BE765" s="163">
        <f t="shared" si="465"/>
        <v>2552.63</v>
      </c>
      <c r="BF765" s="163">
        <f t="shared" si="482"/>
        <v>5105.26</v>
      </c>
    </row>
    <row r="766" spans="1:58" s="62" customFormat="1">
      <c r="A766" s="23" t="s">
        <v>1230</v>
      </c>
      <c r="B766" s="24">
        <v>101894</v>
      </c>
      <c r="C766" s="23" t="s">
        <v>2487</v>
      </c>
      <c r="D766" s="25" t="s">
        <v>12</v>
      </c>
      <c r="E766" s="25" t="s">
        <v>17</v>
      </c>
      <c r="F766" s="26">
        <v>1</v>
      </c>
      <c r="G766" s="26">
        <f t="shared" si="458"/>
        <v>120.09649999999999</v>
      </c>
      <c r="H766" s="26">
        <f t="shared" si="480"/>
        <v>152.29</v>
      </c>
      <c r="I766" s="26">
        <f t="shared" ref="I766" si="484">ROUND(H766*F766,2)</f>
        <v>152.29</v>
      </c>
      <c r="J766" s="64" t="e">
        <f>IF(B766&lt;&gt;0,VLOOKUP(B766,#REF!,4,FALSE),"")</f>
        <v>#REF!</v>
      </c>
      <c r="K766" s="362" t="s">
        <v>3253</v>
      </c>
      <c r="L766" s="362">
        <f t="shared" si="460"/>
        <v>120.09649999999999</v>
      </c>
      <c r="M766" s="64"/>
      <c r="N766" s="65" t="e">
        <f>IF(B766&lt;&gt;0,VLOOKUP(B766,#REF!,2,FALSE),"")</f>
        <v>#REF!</v>
      </c>
      <c r="AY766" s="221"/>
      <c r="AZ766" s="481"/>
      <c r="BA766" s="481"/>
      <c r="BB766" s="481"/>
      <c r="BC766" s="481"/>
      <c r="BD766" s="163">
        <f t="shared" si="467"/>
        <v>133.79</v>
      </c>
      <c r="BE766" s="163">
        <f t="shared" si="465"/>
        <v>169.66</v>
      </c>
      <c r="BF766" s="163">
        <f t="shared" si="482"/>
        <v>169.66</v>
      </c>
    </row>
    <row r="767" spans="1:58" s="62" customFormat="1" ht="30">
      <c r="A767" s="23" t="s">
        <v>1231</v>
      </c>
      <c r="B767" s="24">
        <v>1591</v>
      </c>
      <c r="C767" s="23" t="s">
        <v>261</v>
      </c>
      <c r="D767" s="25" t="s">
        <v>12</v>
      </c>
      <c r="E767" s="25" t="s">
        <v>17</v>
      </c>
      <c r="F767" s="26">
        <v>36</v>
      </c>
      <c r="G767" s="26">
        <f t="shared" si="458"/>
        <v>19.907</v>
      </c>
      <c r="H767" s="26">
        <f t="shared" si="480"/>
        <v>25.24</v>
      </c>
      <c r="I767" s="26">
        <f t="shared" ref="I767:I768" si="485">ROUND(H767*F767,2)</f>
        <v>908.64</v>
      </c>
      <c r="J767" s="64" t="e">
        <f>IF(B767&lt;&gt;0,VLOOKUP(B767,#REF!,4,FALSE),"")</f>
        <v>#REF!</v>
      </c>
      <c r="K767" s="362" t="s">
        <v>3172</v>
      </c>
      <c r="L767" s="362">
        <f t="shared" si="460"/>
        <v>716.65200000000004</v>
      </c>
      <c r="M767" s="64"/>
      <c r="N767" s="65" t="e">
        <f>IF(B767&lt;&gt;0,VLOOKUP(B767,#REF!,2,FALSE),"")</f>
        <v>#REF!</v>
      </c>
      <c r="AY767" s="221"/>
      <c r="AZ767" s="481"/>
      <c r="BA767" s="481"/>
      <c r="BB767" s="481"/>
      <c r="BC767" s="481"/>
      <c r="BD767" s="163">
        <f t="shared" si="467"/>
        <v>22.18</v>
      </c>
      <c r="BE767" s="163">
        <f t="shared" si="465"/>
        <v>28.13</v>
      </c>
      <c r="BF767" s="163">
        <f t="shared" si="482"/>
        <v>1012.68</v>
      </c>
    </row>
    <row r="768" spans="1:58" s="62" customFormat="1" ht="30">
      <c r="A768" s="23" t="s">
        <v>1232</v>
      </c>
      <c r="B768" s="24">
        <v>1585</v>
      </c>
      <c r="C768" s="23" t="s">
        <v>262</v>
      </c>
      <c r="D768" s="25" t="s">
        <v>12</v>
      </c>
      <c r="E768" s="25" t="s">
        <v>17</v>
      </c>
      <c r="F768" s="26">
        <v>10</v>
      </c>
      <c r="G768" s="26">
        <f t="shared" si="458"/>
        <v>4.1820000000000004</v>
      </c>
      <c r="H768" s="26">
        <f t="shared" si="480"/>
        <v>5.3</v>
      </c>
      <c r="I768" s="26">
        <f t="shared" si="485"/>
        <v>53</v>
      </c>
      <c r="J768" s="64" t="e">
        <f>IF(B768&lt;&gt;0,VLOOKUP(B768,#REF!,4,FALSE),"")</f>
        <v>#REF!</v>
      </c>
      <c r="K768" s="362" t="s">
        <v>3144</v>
      </c>
      <c r="L768" s="362">
        <f t="shared" si="460"/>
        <v>41.820000000000007</v>
      </c>
      <c r="M768" s="64"/>
      <c r="N768" s="65" t="e">
        <f>IF(B768&lt;&gt;0,VLOOKUP(B768,#REF!,2,FALSE),"")</f>
        <v>#REF!</v>
      </c>
      <c r="AY768" s="221"/>
      <c r="AZ768" s="481"/>
      <c r="BA768" s="481"/>
      <c r="BB768" s="481"/>
      <c r="BC768" s="481"/>
      <c r="BD768" s="163">
        <f t="shared" si="467"/>
        <v>4.66</v>
      </c>
      <c r="BE768" s="163">
        <f t="shared" si="465"/>
        <v>5.91</v>
      </c>
      <c r="BF768" s="163">
        <f t="shared" si="482"/>
        <v>59.1</v>
      </c>
    </row>
    <row r="769" spans="1:58" s="62" customFormat="1" ht="15" customHeight="1">
      <c r="A769" s="356" t="s">
        <v>1233</v>
      </c>
      <c r="B769" s="356"/>
      <c r="C769" s="356" t="s">
        <v>264</v>
      </c>
      <c r="D769" s="357"/>
      <c r="E769" s="357"/>
      <c r="F769" s="357"/>
      <c r="G769" s="26"/>
      <c r="H769" s="357"/>
      <c r="I769" s="96"/>
      <c r="J769" s="65"/>
      <c r="K769" s="362"/>
      <c r="L769" s="362">
        <f t="shared" si="460"/>
        <v>0</v>
      </c>
      <c r="M769" s="65"/>
      <c r="N769" s="65"/>
      <c r="AY769" s="221"/>
      <c r="AZ769" s="481"/>
      <c r="BA769" s="481"/>
      <c r="BB769" s="481"/>
      <c r="BC769" s="481"/>
      <c r="BD769" s="163"/>
      <c r="BE769" s="163"/>
      <c r="BF769" s="163"/>
    </row>
    <row r="770" spans="1:58" s="62" customFormat="1" ht="75">
      <c r="A770" s="41" t="s">
        <v>3651</v>
      </c>
      <c r="B770" s="24">
        <v>101881</v>
      </c>
      <c r="C770" s="470" t="s">
        <v>3756</v>
      </c>
      <c r="D770" s="25" t="s">
        <v>12</v>
      </c>
      <c r="E770" s="25" t="s">
        <v>1994</v>
      </c>
      <c r="F770" s="26">
        <v>1</v>
      </c>
      <c r="G770" s="26">
        <f t="shared" si="458"/>
        <v>765.94350000000009</v>
      </c>
      <c r="H770" s="26">
        <f t="shared" ref="H770:H780" si="486">ROUND(G770*(1+$J$14),2)</f>
        <v>971.29</v>
      </c>
      <c r="I770" s="26">
        <f t="shared" ref="I770" si="487">ROUND(H770*F770,2)</f>
        <v>971.29</v>
      </c>
      <c r="J770" s="64" t="e">
        <f>IF(B770&lt;&gt;0,VLOOKUP(B770,#REF!,4,FALSE),"")</f>
        <v>#REF!</v>
      </c>
      <c r="K770" s="362" t="s">
        <v>3251</v>
      </c>
      <c r="L770" s="362">
        <f t="shared" si="460"/>
        <v>765.94350000000009</v>
      </c>
      <c r="M770" s="64"/>
      <c r="N770" s="65" t="e">
        <f>IF(B770&lt;&gt;0,VLOOKUP(B770,#REF!,2,FALSE),"")</f>
        <v>#REF!</v>
      </c>
      <c r="AY770" s="221"/>
      <c r="AZ770" s="481"/>
      <c r="BA770" s="481"/>
      <c r="BB770" s="481"/>
      <c r="BC770" s="481"/>
      <c r="BD770" s="163">
        <f t="shared" si="467"/>
        <v>853.27</v>
      </c>
      <c r="BE770" s="163">
        <f t="shared" si="465"/>
        <v>1082.03</v>
      </c>
      <c r="BF770" s="163">
        <f t="shared" ref="BF770:BF780" si="488">ROUND(BE770*F770,2)</f>
        <v>1082.03</v>
      </c>
    </row>
    <row r="771" spans="1:58" s="62" customFormat="1" ht="30">
      <c r="A771" s="23" t="s">
        <v>1235</v>
      </c>
      <c r="B771" s="24">
        <v>9041</v>
      </c>
      <c r="C771" s="23" t="s">
        <v>1927</v>
      </c>
      <c r="D771" s="25" t="s">
        <v>44</v>
      </c>
      <c r="E771" s="25" t="s">
        <v>17</v>
      </c>
      <c r="F771" s="26">
        <v>4</v>
      </c>
      <c r="G771" s="26">
        <f t="shared" si="458"/>
        <v>97.393000000000001</v>
      </c>
      <c r="H771" s="26">
        <f t="shared" si="486"/>
        <v>123.5</v>
      </c>
      <c r="I771" s="26">
        <f t="shared" ref="I771" si="489">ROUND(H771*F771,2)</f>
        <v>494</v>
      </c>
      <c r="J771" s="64">
        <f>'COMPOSIÇÃO DE CUSTOS'!G1869</f>
        <v>97.39</v>
      </c>
      <c r="K771" s="362">
        <v>114.58</v>
      </c>
      <c r="L771" s="362">
        <f t="shared" si="460"/>
        <v>389.572</v>
      </c>
      <c r="M771" s="64"/>
      <c r="N771" s="65"/>
      <c r="AY771" s="221"/>
      <c r="AZ771" s="481"/>
      <c r="BA771" s="481"/>
      <c r="BB771" s="481"/>
      <c r="BC771" s="481"/>
      <c r="BD771" s="163">
        <f t="shared" si="467"/>
        <v>108.5</v>
      </c>
      <c r="BE771" s="163">
        <f t="shared" si="465"/>
        <v>137.59</v>
      </c>
      <c r="BF771" s="163">
        <f t="shared" si="488"/>
        <v>550.36</v>
      </c>
    </row>
    <row r="772" spans="1:58" s="62" customFormat="1" ht="45">
      <c r="A772" s="23" t="s">
        <v>1236</v>
      </c>
      <c r="B772" s="24">
        <v>7996</v>
      </c>
      <c r="C772" s="23" t="s">
        <v>1929</v>
      </c>
      <c r="D772" s="25" t="s">
        <v>44</v>
      </c>
      <c r="E772" s="25" t="s">
        <v>17</v>
      </c>
      <c r="F772" s="26">
        <v>5</v>
      </c>
      <c r="G772" s="26">
        <f t="shared" si="458"/>
        <v>127.449</v>
      </c>
      <c r="H772" s="26">
        <f t="shared" si="486"/>
        <v>161.62</v>
      </c>
      <c r="I772" s="26">
        <f t="shared" ref="I772" si="490">ROUND(H772*F772,2)</f>
        <v>808.1</v>
      </c>
      <c r="J772" s="64">
        <f>'COMPOSIÇÃO DE CUSTOS'!G1877</f>
        <v>127.45</v>
      </c>
      <c r="K772" s="362">
        <v>149.94</v>
      </c>
      <c r="L772" s="362">
        <f t="shared" si="460"/>
        <v>637.245</v>
      </c>
      <c r="M772" s="64"/>
      <c r="N772" s="65"/>
      <c r="AY772" s="221"/>
      <c r="AZ772" s="481"/>
      <c r="BA772" s="481"/>
      <c r="BB772" s="481"/>
      <c r="BC772" s="481"/>
      <c r="BD772" s="163">
        <f t="shared" si="467"/>
        <v>141.97999999999999</v>
      </c>
      <c r="BE772" s="163">
        <f t="shared" si="465"/>
        <v>180.04</v>
      </c>
      <c r="BF772" s="163">
        <f t="shared" si="488"/>
        <v>900.2</v>
      </c>
    </row>
    <row r="773" spans="1:58" s="62" customFormat="1" ht="30">
      <c r="A773" s="23" t="s">
        <v>1237</v>
      </c>
      <c r="B773" s="24">
        <v>93653</v>
      </c>
      <c r="C773" s="23" t="s">
        <v>1729</v>
      </c>
      <c r="D773" s="25" t="s">
        <v>12</v>
      </c>
      <c r="E773" s="25" t="s">
        <v>17</v>
      </c>
      <c r="F773" s="26">
        <v>17</v>
      </c>
      <c r="G773" s="26">
        <f t="shared" si="458"/>
        <v>9.2735000000000003</v>
      </c>
      <c r="H773" s="26">
        <f t="shared" si="486"/>
        <v>11.76</v>
      </c>
      <c r="I773" s="26">
        <f t="shared" ref="I773:I775" si="491">ROUND(H773*F773,2)</f>
        <v>199.92</v>
      </c>
      <c r="J773" s="64" t="e">
        <f>IF(B773&lt;&gt;0,VLOOKUP(B773,#REF!,4,FALSE),"")</f>
        <v>#REF!</v>
      </c>
      <c r="K773" s="362" t="s">
        <v>3229</v>
      </c>
      <c r="L773" s="362">
        <f t="shared" si="460"/>
        <v>157.64950000000002</v>
      </c>
      <c r="M773" s="64"/>
      <c r="N773" s="65" t="e">
        <f>IF(B773&lt;&gt;0,VLOOKUP(B773,#REF!,2,FALSE),"")</f>
        <v>#REF!</v>
      </c>
      <c r="AY773" s="221"/>
      <c r="AZ773" s="481"/>
      <c r="BA773" s="481"/>
      <c r="BB773" s="481"/>
      <c r="BC773" s="481"/>
      <c r="BD773" s="163">
        <f t="shared" si="467"/>
        <v>10.33</v>
      </c>
      <c r="BE773" s="163">
        <f t="shared" si="465"/>
        <v>13.1</v>
      </c>
      <c r="BF773" s="163">
        <f t="shared" si="488"/>
        <v>222.7</v>
      </c>
    </row>
    <row r="774" spans="1:58" s="62" customFormat="1" ht="30">
      <c r="A774" s="23" t="s">
        <v>1238</v>
      </c>
      <c r="B774" s="24">
        <v>93654</v>
      </c>
      <c r="C774" s="23" t="s">
        <v>1730</v>
      </c>
      <c r="D774" s="25" t="s">
        <v>12</v>
      </c>
      <c r="E774" s="25" t="s">
        <v>17</v>
      </c>
      <c r="F774" s="26">
        <v>6</v>
      </c>
      <c r="G774" s="26">
        <f t="shared" si="458"/>
        <v>9.6050000000000004</v>
      </c>
      <c r="H774" s="26">
        <f t="shared" si="486"/>
        <v>12.18</v>
      </c>
      <c r="I774" s="26">
        <f t="shared" si="491"/>
        <v>73.08</v>
      </c>
      <c r="J774" s="64" t="e">
        <f>IF(B774&lt;&gt;0,VLOOKUP(B774,#REF!,4,FALSE),"")</f>
        <v>#REF!</v>
      </c>
      <c r="K774" s="362" t="s">
        <v>3243</v>
      </c>
      <c r="L774" s="362">
        <f t="shared" si="460"/>
        <v>57.63</v>
      </c>
      <c r="M774" s="64"/>
      <c r="N774" s="65" t="e">
        <f>IF(B774&lt;&gt;0,VLOOKUP(B774,#REF!,2,FALSE),"")</f>
        <v>#REF!</v>
      </c>
      <c r="AY774" s="221"/>
      <c r="AZ774" s="481"/>
      <c r="BA774" s="481"/>
      <c r="BB774" s="481"/>
      <c r="BC774" s="481"/>
      <c r="BD774" s="163">
        <f t="shared" si="467"/>
        <v>10.7</v>
      </c>
      <c r="BE774" s="163">
        <f t="shared" si="465"/>
        <v>13.57</v>
      </c>
      <c r="BF774" s="163">
        <f t="shared" si="488"/>
        <v>81.42</v>
      </c>
    </row>
    <row r="775" spans="1:58" s="62" customFormat="1">
      <c r="A775" s="23" t="s">
        <v>1239</v>
      </c>
      <c r="B775" s="24">
        <v>101894</v>
      </c>
      <c r="C775" s="23" t="s">
        <v>266</v>
      </c>
      <c r="D775" s="25" t="s">
        <v>12</v>
      </c>
      <c r="E775" s="25" t="s">
        <v>17</v>
      </c>
      <c r="F775" s="26">
        <v>1</v>
      </c>
      <c r="G775" s="26">
        <f t="shared" si="458"/>
        <v>120.09649999999999</v>
      </c>
      <c r="H775" s="26">
        <f t="shared" si="486"/>
        <v>152.29</v>
      </c>
      <c r="I775" s="26">
        <f t="shared" si="491"/>
        <v>152.29</v>
      </c>
      <c r="J775" s="64" t="e">
        <f>IF(B775&lt;&gt;0,VLOOKUP(B775,#REF!,4,FALSE),"")</f>
        <v>#REF!</v>
      </c>
      <c r="K775" s="362" t="s">
        <v>3253</v>
      </c>
      <c r="L775" s="362">
        <f t="shared" si="460"/>
        <v>120.09649999999999</v>
      </c>
      <c r="M775" s="64"/>
      <c r="N775" s="65" t="e">
        <f>IF(B775&lt;&gt;0,VLOOKUP(B775,#REF!,2,FALSE),"")</f>
        <v>#REF!</v>
      </c>
      <c r="AY775" s="221"/>
      <c r="AZ775" s="481"/>
      <c r="BA775" s="481"/>
      <c r="BB775" s="481"/>
      <c r="BC775" s="481"/>
      <c r="BD775" s="163">
        <f t="shared" si="467"/>
        <v>133.79</v>
      </c>
      <c r="BE775" s="163">
        <f t="shared" si="465"/>
        <v>169.66</v>
      </c>
      <c r="BF775" s="163">
        <f t="shared" si="488"/>
        <v>169.66</v>
      </c>
    </row>
    <row r="776" spans="1:58" s="62" customFormat="1" ht="45">
      <c r="A776" s="41" t="s">
        <v>3652</v>
      </c>
      <c r="B776" s="24">
        <v>1570</v>
      </c>
      <c r="C776" s="470" t="s">
        <v>3757</v>
      </c>
      <c r="D776" s="25" t="s">
        <v>12</v>
      </c>
      <c r="E776" s="25" t="s">
        <v>17</v>
      </c>
      <c r="F776" s="26">
        <v>96</v>
      </c>
      <c r="G776" s="26">
        <f t="shared" si="458"/>
        <v>0.77350000000000008</v>
      </c>
      <c r="H776" s="26">
        <f t="shared" si="486"/>
        <v>0.98</v>
      </c>
      <c r="I776" s="26">
        <f t="shared" ref="I776:I777" si="492">ROUND(H776*F776,2)</f>
        <v>94.08</v>
      </c>
      <c r="J776" s="64" t="e">
        <f>IF(B776&lt;&gt;0,VLOOKUP(B776,#REF!,4,FALSE),"")</f>
        <v>#REF!</v>
      </c>
      <c r="K776" s="362" t="s">
        <v>1859</v>
      </c>
      <c r="L776" s="362">
        <f t="shared" si="460"/>
        <v>74.256</v>
      </c>
      <c r="M776" s="64"/>
      <c r="N776" s="65" t="e">
        <f>IF(B776&lt;&gt;0,VLOOKUP(B776,#REF!,2,FALSE),"")</f>
        <v>#REF!</v>
      </c>
      <c r="AY776" s="221"/>
      <c r="AZ776" s="481"/>
      <c r="BA776" s="481"/>
      <c r="BB776" s="481"/>
      <c r="BC776" s="481"/>
      <c r="BD776" s="163">
        <f t="shared" si="467"/>
        <v>0.86</v>
      </c>
      <c r="BE776" s="163">
        <f t="shared" si="465"/>
        <v>1.0900000000000001</v>
      </c>
      <c r="BF776" s="163">
        <f t="shared" si="488"/>
        <v>104.64</v>
      </c>
    </row>
    <row r="777" spans="1:58" s="62" customFormat="1" ht="45">
      <c r="A777" s="41" t="s">
        <v>3653</v>
      </c>
      <c r="B777" s="24">
        <v>1573</v>
      </c>
      <c r="C777" s="470" t="s">
        <v>3758</v>
      </c>
      <c r="D777" s="25" t="s">
        <v>12</v>
      </c>
      <c r="E777" s="25" t="s">
        <v>17</v>
      </c>
      <c r="F777" s="26">
        <v>22</v>
      </c>
      <c r="G777" s="26">
        <f t="shared" si="458"/>
        <v>1.1984999999999999</v>
      </c>
      <c r="H777" s="26">
        <f t="shared" si="486"/>
        <v>1.52</v>
      </c>
      <c r="I777" s="26">
        <f t="shared" si="492"/>
        <v>33.44</v>
      </c>
      <c r="J777" s="64" t="e">
        <f>IF(B777&lt;&gt;0,VLOOKUP(B777,#REF!,4,FALSE),"")</f>
        <v>#REF!</v>
      </c>
      <c r="K777" s="362" t="s">
        <v>3191</v>
      </c>
      <c r="L777" s="362">
        <f t="shared" si="460"/>
        <v>26.366999999999997</v>
      </c>
      <c r="M777" s="64"/>
      <c r="N777" s="65" t="e">
        <f>IF(B777&lt;&gt;0,VLOOKUP(B777,#REF!,2,FALSE),"")</f>
        <v>#REF!</v>
      </c>
      <c r="AY777" s="221"/>
      <c r="AZ777" s="481"/>
      <c r="BA777" s="481"/>
      <c r="BB777" s="481"/>
      <c r="BC777" s="481"/>
      <c r="BD777" s="163">
        <f t="shared" si="467"/>
        <v>1.34</v>
      </c>
      <c r="BE777" s="163">
        <f t="shared" si="465"/>
        <v>1.7</v>
      </c>
      <c r="BF777" s="163">
        <f t="shared" si="488"/>
        <v>37.4</v>
      </c>
    </row>
    <row r="778" spans="1:58" s="62" customFormat="1" ht="30">
      <c r="A778" s="41" t="s">
        <v>3654</v>
      </c>
      <c r="B778" s="24">
        <v>1585</v>
      </c>
      <c r="C778" s="470" t="s">
        <v>3755</v>
      </c>
      <c r="D778" s="25" t="s">
        <v>12</v>
      </c>
      <c r="E778" s="25" t="s">
        <v>17</v>
      </c>
      <c r="F778" s="26">
        <v>1</v>
      </c>
      <c r="G778" s="26">
        <f t="shared" si="458"/>
        <v>4.1820000000000004</v>
      </c>
      <c r="H778" s="26">
        <f t="shared" si="486"/>
        <v>5.3</v>
      </c>
      <c r="I778" s="26">
        <f t="shared" ref="I778:I779" si="493">ROUND(H778*F778,2)</f>
        <v>5.3</v>
      </c>
      <c r="J778" s="64" t="e">
        <f>IF(B778&lt;&gt;0,VLOOKUP(B778,#REF!,4,FALSE),"")</f>
        <v>#REF!</v>
      </c>
      <c r="K778" s="362" t="s">
        <v>3144</v>
      </c>
      <c r="L778" s="362">
        <f t="shared" si="460"/>
        <v>4.1820000000000004</v>
      </c>
      <c r="M778" s="64"/>
      <c r="N778" s="65" t="e">
        <f>IF(B778&lt;&gt;0,VLOOKUP(B778,#REF!,2,FALSE),"")</f>
        <v>#REF!</v>
      </c>
      <c r="AY778" s="221"/>
      <c r="AZ778" s="481"/>
      <c r="BA778" s="481"/>
      <c r="BB778" s="481"/>
      <c r="BC778" s="481"/>
      <c r="BD778" s="163">
        <f t="shared" si="467"/>
        <v>4.66</v>
      </c>
      <c r="BE778" s="163">
        <f t="shared" si="465"/>
        <v>5.91</v>
      </c>
      <c r="BF778" s="163">
        <f t="shared" si="488"/>
        <v>5.91</v>
      </c>
    </row>
    <row r="779" spans="1:58" s="62" customFormat="1" ht="45">
      <c r="A779" s="41" t="s">
        <v>3655</v>
      </c>
      <c r="B779" s="24">
        <v>1577</v>
      </c>
      <c r="C779" s="470" t="s">
        <v>3753</v>
      </c>
      <c r="D779" s="25" t="s">
        <v>12</v>
      </c>
      <c r="E779" s="25" t="s">
        <v>17</v>
      </c>
      <c r="F779" s="26">
        <v>10</v>
      </c>
      <c r="G779" s="26">
        <f t="shared" si="458"/>
        <v>2.4055</v>
      </c>
      <c r="H779" s="26">
        <f t="shared" si="486"/>
        <v>3.05</v>
      </c>
      <c r="I779" s="26">
        <f t="shared" si="493"/>
        <v>30.5</v>
      </c>
      <c r="J779" s="64" t="e">
        <f>IF(B779&lt;&gt;0,VLOOKUP(B779,#REF!,4,FALSE),"")</f>
        <v>#REF!</v>
      </c>
      <c r="K779" s="362" t="s">
        <v>1895</v>
      </c>
      <c r="L779" s="362">
        <f t="shared" si="460"/>
        <v>24.055</v>
      </c>
      <c r="M779" s="64"/>
      <c r="N779" s="65" t="e">
        <f>IF(B779&lt;&gt;0,VLOOKUP(B779,#REF!,2,FALSE),"")</f>
        <v>#REF!</v>
      </c>
      <c r="AY779" s="221"/>
      <c r="AZ779" s="481"/>
      <c r="BA779" s="481"/>
      <c r="BB779" s="481"/>
      <c r="BC779" s="481"/>
      <c r="BD779" s="163">
        <f t="shared" si="467"/>
        <v>2.68</v>
      </c>
      <c r="BE779" s="163">
        <f t="shared" si="465"/>
        <v>3.4</v>
      </c>
      <c r="BF779" s="163">
        <f t="shared" si="488"/>
        <v>34</v>
      </c>
    </row>
    <row r="780" spans="1:58" s="62" customFormat="1" ht="45">
      <c r="A780" s="23" t="s">
        <v>1243</v>
      </c>
      <c r="B780" s="24">
        <v>91930</v>
      </c>
      <c r="C780" s="23" t="s">
        <v>1731</v>
      </c>
      <c r="D780" s="25" t="s">
        <v>12</v>
      </c>
      <c r="E780" s="25" t="s">
        <v>52</v>
      </c>
      <c r="F780" s="26">
        <v>2</v>
      </c>
      <c r="G780" s="26">
        <f t="shared" si="458"/>
        <v>7.0379999999999994</v>
      </c>
      <c r="H780" s="26">
        <f t="shared" si="486"/>
        <v>8.92</v>
      </c>
      <c r="I780" s="26">
        <f t="shared" ref="I780" si="494">ROUND(H780*F780,2)</f>
        <v>17.84</v>
      </c>
      <c r="J780" s="64" t="e">
        <f>IF(B780&lt;&gt;0,VLOOKUP(B780,#REF!,4,FALSE),"")</f>
        <v>#REF!</v>
      </c>
      <c r="K780" s="362" t="s">
        <v>3113</v>
      </c>
      <c r="L780" s="362">
        <f t="shared" si="460"/>
        <v>14.075999999999999</v>
      </c>
      <c r="M780" s="64"/>
      <c r="N780" s="65" t="e">
        <f>IF(B780&lt;&gt;0,VLOOKUP(B780,#REF!,2,FALSE),"")</f>
        <v>#REF!</v>
      </c>
      <c r="AY780" s="221"/>
      <c r="AZ780" s="481"/>
      <c r="BA780" s="481"/>
      <c r="BB780" s="481"/>
      <c r="BC780" s="481"/>
      <c r="BD780" s="163">
        <f t="shared" si="467"/>
        <v>7.84</v>
      </c>
      <c r="BE780" s="163">
        <f t="shared" si="465"/>
        <v>9.94</v>
      </c>
      <c r="BF780" s="163">
        <f t="shared" si="488"/>
        <v>19.88</v>
      </c>
    </row>
    <row r="781" spans="1:58" s="62" customFormat="1" ht="15" customHeight="1">
      <c r="A781" s="356" t="s">
        <v>1244</v>
      </c>
      <c r="B781" s="356"/>
      <c r="C781" s="356" t="s">
        <v>267</v>
      </c>
      <c r="D781" s="357"/>
      <c r="E781" s="357"/>
      <c r="F781" s="357"/>
      <c r="G781" s="26"/>
      <c r="H781" s="357"/>
      <c r="I781" s="96"/>
      <c r="J781" s="65"/>
      <c r="K781" s="362"/>
      <c r="L781" s="362">
        <f t="shared" si="460"/>
        <v>0</v>
      </c>
      <c r="M781" s="65"/>
      <c r="N781" s="65"/>
      <c r="AY781" s="221"/>
      <c r="AZ781" s="481"/>
      <c r="BA781" s="481"/>
      <c r="BB781" s="481"/>
      <c r="BC781" s="481"/>
      <c r="BD781" s="163"/>
      <c r="BE781" s="163"/>
      <c r="BF781" s="163"/>
    </row>
    <row r="782" spans="1:58" s="62" customFormat="1" ht="75">
      <c r="A782" s="41" t="s">
        <v>3656</v>
      </c>
      <c r="B782" s="24">
        <v>101881</v>
      </c>
      <c r="C782" s="470" t="s">
        <v>3756</v>
      </c>
      <c r="D782" s="25" t="s">
        <v>12</v>
      </c>
      <c r="E782" s="25" t="s">
        <v>17</v>
      </c>
      <c r="F782" s="26">
        <v>1</v>
      </c>
      <c r="G782" s="26">
        <f t="shared" si="458"/>
        <v>765.94350000000009</v>
      </c>
      <c r="H782" s="26">
        <f t="shared" ref="H782:H793" si="495">ROUND(G782*(1+$J$14),2)</f>
        <v>971.29</v>
      </c>
      <c r="I782" s="26">
        <f t="shared" ref="I782" si="496">ROUND(H782*F782,2)</f>
        <v>971.29</v>
      </c>
      <c r="J782" s="64" t="e">
        <f>IF(B782&lt;&gt;0,VLOOKUP(B782,#REF!,4,FALSE),"")</f>
        <v>#REF!</v>
      </c>
      <c r="K782" s="362" t="s">
        <v>3251</v>
      </c>
      <c r="L782" s="362">
        <f t="shared" si="460"/>
        <v>765.94350000000009</v>
      </c>
      <c r="M782" s="64"/>
      <c r="N782" s="65" t="e">
        <f>IF(B782&lt;&gt;0,VLOOKUP(B782,#REF!,2,FALSE),"")</f>
        <v>#REF!</v>
      </c>
      <c r="AY782" s="221"/>
      <c r="AZ782" s="481"/>
      <c r="BA782" s="481"/>
      <c r="BB782" s="481"/>
      <c r="BC782" s="481"/>
      <c r="BD782" s="163">
        <f t="shared" si="467"/>
        <v>853.27</v>
      </c>
      <c r="BE782" s="163">
        <f t="shared" si="465"/>
        <v>1082.03</v>
      </c>
      <c r="BF782" s="163">
        <f t="shared" ref="BF782:BF793" si="497">ROUND(BE782*F782,2)</f>
        <v>1082.03</v>
      </c>
    </row>
    <row r="783" spans="1:58" s="62" customFormat="1" ht="30">
      <c r="A783" s="23" t="s">
        <v>1246</v>
      </c>
      <c r="B783" s="24">
        <f>B771</f>
        <v>9041</v>
      </c>
      <c r="C783" s="23" t="str">
        <f>C771</f>
        <v>DISPOSITIVO DE PROTEÇÃO CONTRA SURTO DE TENSÃO DPS 60KA - 275V</v>
      </c>
      <c r="D783" s="25" t="s">
        <v>44</v>
      </c>
      <c r="E783" s="25" t="s">
        <v>17</v>
      </c>
      <c r="F783" s="26">
        <v>4</v>
      </c>
      <c r="G783" s="26">
        <f t="shared" si="458"/>
        <v>97.393000000000001</v>
      </c>
      <c r="H783" s="26">
        <f t="shared" si="495"/>
        <v>123.5</v>
      </c>
      <c r="I783" s="26">
        <f t="shared" ref="I783" si="498">ROUND(H783*F783,2)</f>
        <v>494</v>
      </c>
      <c r="J783" s="64">
        <f>J771</f>
        <v>97.39</v>
      </c>
      <c r="K783" s="362">
        <v>114.58</v>
      </c>
      <c r="L783" s="362">
        <f t="shared" si="460"/>
        <v>389.572</v>
      </c>
      <c r="M783" s="64"/>
      <c r="N783" s="65"/>
      <c r="AY783" s="221"/>
      <c r="AZ783" s="481"/>
      <c r="BA783" s="481"/>
      <c r="BB783" s="481"/>
      <c r="BC783" s="481"/>
      <c r="BD783" s="163">
        <f t="shared" si="467"/>
        <v>108.5</v>
      </c>
      <c r="BE783" s="163">
        <f t="shared" si="465"/>
        <v>137.59</v>
      </c>
      <c r="BF783" s="163">
        <f t="shared" si="497"/>
        <v>550.36</v>
      </c>
    </row>
    <row r="784" spans="1:58" s="62" customFormat="1" ht="30">
      <c r="A784" s="23" t="s">
        <v>1247</v>
      </c>
      <c r="B784" s="24">
        <v>93653</v>
      </c>
      <c r="C784" s="23" t="s">
        <v>1729</v>
      </c>
      <c r="D784" s="25" t="s">
        <v>12</v>
      </c>
      <c r="E784" s="25" t="s">
        <v>17</v>
      </c>
      <c r="F784" s="26">
        <v>1</v>
      </c>
      <c r="G784" s="26">
        <f t="shared" si="458"/>
        <v>9.2735000000000003</v>
      </c>
      <c r="H784" s="26">
        <f t="shared" si="495"/>
        <v>11.76</v>
      </c>
      <c r="I784" s="26">
        <f t="shared" ref="I784:I793" si="499">ROUND(H784*F784,2)</f>
        <v>11.76</v>
      </c>
      <c r="J784" s="64" t="e">
        <f>IF(B784&lt;&gt;0,VLOOKUP(B784,#REF!,4,FALSE),"")</f>
        <v>#REF!</v>
      </c>
      <c r="K784" s="362" t="s">
        <v>3229</v>
      </c>
      <c r="L784" s="362">
        <f t="shared" si="460"/>
        <v>9.2735000000000003</v>
      </c>
      <c r="M784" s="64"/>
      <c r="N784" s="65" t="e">
        <f>IF(B784&lt;&gt;0,VLOOKUP(B784,#REF!,2,FALSE),"")</f>
        <v>#REF!</v>
      </c>
      <c r="AY784" s="221"/>
      <c r="AZ784" s="481"/>
      <c r="BA784" s="481"/>
      <c r="BB784" s="481"/>
      <c r="BC784" s="481"/>
      <c r="BD784" s="163">
        <f t="shared" si="467"/>
        <v>10.33</v>
      </c>
      <c r="BE784" s="163">
        <f t="shared" si="465"/>
        <v>13.1</v>
      </c>
      <c r="BF784" s="163">
        <f t="shared" si="497"/>
        <v>13.1</v>
      </c>
    </row>
    <row r="785" spans="1:58" s="62" customFormat="1" ht="45">
      <c r="A785" s="23" t="s">
        <v>1248</v>
      </c>
      <c r="B785" s="24">
        <f>B772</f>
        <v>7996</v>
      </c>
      <c r="C785" s="23" t="str">
        <f>C772</f>
        <v>DISJUNTOR BIPOLAR DR 25 A - DISPOSITIVO RESIDUAL DIFERENCIAL, TIPO AC, 30MA, REF.5SM1 312-OMB, SIEMENS OU SIMILAR</v>
      </c>
      <c r="D785" s="25" t="str">
        <f>D772</f>
        <v>ORSE</v>
      </c>
      <c r="E785" s="25" t="s">
        <v>17</v>
      </c>
      <c r="F785" s="26">
        <v>3</v>
      </c>
      <c r="G785" s="26">
        <f t="shared" si="458"/>
        <v>127.449</v>
      </c>
      <c r="H785" s="26">
        <f t="shared" si="495"/>
        <v>161.62</v>
      </c>
      <c r="I785" s="26">
        <f t="shared" si="499"/>
        <v>484.86</v>
      </c>
      <c r="J785" s="64">
        <f>J772</f>
        <v>127.45</v>
      </c>
      <c r="K785" s="362">
        <v>149.94</v>
      </c>
      <c r="L785" s="362">
        <f t="shared" si="460"/>
        <v>382.34699999999998</v>
      </c>
      <c r="M785" s="64"/>
      <c r="N785" s="65"/>
      <c r="AY785" s="221"/>
      <c r="AZ785" s="481"/>
      <c r="BA785" s="481"/>
      <c r="BB785" s="481"/>
      <c r="BC785" s="481"/>
      <c r="BD785" s="163">
        <f t="shared" si="467"/>
        <v>141.97999999999999</v>
      </c>
      <c r="BE785" s="163">
        <f t="shared" si="465"/>
        <v>180.04</v>
      </c>
      <c r="BF785" s="163">
        <f t="shared" si="497"/>
        <v>540.12</v>
      </c>
    </row>
    <row r="786" spans="1:58" s="62" customFormat="1" ht="30">
      <c r="A786" s="23" t="s">
        <v>1249</v>
      </c>
      <c r="B786" s="24">
        <v>93653</v>
      </c>
      <c r="C786" s="23" t="s">
        <v>1729</v>
      </c>
      <c r="D786" s="25" t="s">
        <v>12</v>
      </c>
      <c r="E786" s="25" t="s">
        <v>17</v>
      </c>
      <c r="F786" s="26">
        <v>14</v>
      </c>
      <c r="G786" s="26">
        <f t="shared" si="458"/>
        <v>9.2735000000000003</v>
      </c>
      <c r="H786" s="26">
        <f t="shared" si="495"/>
        <v>11.76</v>
      </c>
      <c r="I786" s="26">
        <f t="shared" si="499"/>
        <v>164.64</v>
      </c>
      <c r="J786" s="64" t="e">
        <f>IF(B786&lt;&gt;0,VLOOKUP(B786,#REF!,4,FALSE),"")</f>
        <v>#REF!</v>
      </c>
      <c r="K786" s="362" t="s">
        <v>3229</v>
      </c>
      <c r="L786" s="362">
        <f t="shared" si="460"/>
        <v>129.82900000000001</v>
      </c>
      <c r="M786" s="64"/>
      <c r="N786" s="65" t="e">
        <f>IF(B786&lt;&gt;0,VLOOKUP(B786,#REF!,2,FALSE),"")</f>
        <v>#REF!</v>
      </c>
      <c r="AY786" s="221"/>
      <c r="AZ786" s="481"/>
      <c r="BA786" s="481"/>
      <c r="BB786" s="481"/>
      <c r="BC786" s="481"/>
      <c r="BD786" s="163">
        <f t="shared" si="467"/>
        <v>10.33</v>
      </c>
      <c r="BE786" s="163">
        <f t="shared" si="465"/>
        <v>13.1</v>
      </c>
      <c r="BF786" s="163">
        <f t="shared" si="497"/>
        <v>183.4</v>
      </c>
    </row>
    <row r="787" spans="1:58" s="62" customFormat="1" ht="30">
      <c r="A787" s="23" t="s">
        <v>1250</v>
      </c>
      <c r="B787" s="24">
        <v>93654</v>
      </c>
      <c r="C787" s="23" t="s">
        <v>1730</v>
      </c>
      <c r="D787" s="25" t="s">
        <v>12</v>
      </c>
      <c r="E787" s="25" t="s">
        <v>17</v>
      </c>
      <c r="F787" s="26">
        <v>8</v>
      </c>
      <c r="G787" s="26">
        <f t="shared" si="458"/>
        <v>9.6050000000000004</v>
      </c>
      <c r="H787" s="26">
        <f t="shared" si="495"/>
        <v>12.18</v>
      </c>
      <c r="I787" s="26">
        <f t="shared" si="499"/>
        <v>97.44</v>
      </c>
      <c r="J787" s="64" t="e">
        <f>IF(B787&lt;&gt;0,VLOOKUP(B787,#REF!,4,FALSE),"")</f>
        <v>#REF!</v>
      </c>
      <c r="K787" s="362" t="s">
        <v>3243</v>
      </c>
      <c r="L787" s="362">
        <f t="shared" si="460"/>
        <v>76.84</v>
      </c>
      <c r="M787" s="64"/>
      <c r="N787" s="65" t="e">
        <f>IF(B787&lt;&gt;0,VLOOKUP(B787,#REF!,2,FALSE),"")</f>
        <v>#REF!</v>
      </c>
      <c r="AY787" s="221"/>
      <c r="AZ787" s="481"/>
      <c r="BA787" s="481"/>
      <c r="BB787" s="481"/>
      <c r="BC787" s="481"/>
      <c r="BD787" s="163">
        <f t="shared" si="467"/>
        <v>10.7</v>
      </c>
      <c r="BE787" s="163">
        <f t="shared" si="465"/>
        <v>13.57</v>
      </c>
      <c r="BF787" s="163">
        <f t="shared" si="497"/>
        <v>108.56</v>
      </c>
    </row>
    <row r="788" spans="1:58" s="62" customFormat="1">
      <c r="A788" s="23" t="s">
        <v>1251</v>
      </c>
      <c r="B788" s="24">
        <v>101894</v>
      </c>
      <c r="C788" s="23" t="s">
        <v>266</v>
      </c>
      <c r="D788" s="25" t="s">
        <v>12</v>
      </c>
      <c r="E788" s="25" t="s">
        <v>17</v>
      </c>
      <c r="F788" s="26">
        <v>1</v>
      </c>
      <c r="G788" s="26">
        <f t="shared" si="458"/>
        <v>120.09649999999999</v>
      </c>
      <c r="H788" s="26">
        <f t="shared" si="495"/>
        <v>152.29</v>
      </c>
      <c r="I788" s="26">
        <f t="shared" si="499"/>
        <v>152.29</v>
      </c>
      <c r="J788" s="64" t="e">
        <f>IF(B788&lt;&gt;0,VLOOKUP(B788,#REF!,4,FALSE),"")</f>
        <v>#REF!</v>
      </c>
      <c r="K788" s="362" t="s">
        <v>3253</v>
      </c>
      <c r="L788" s="362">
        <f t="shared" si="460"/>
        <v>120.09649999999999</v>
      </c>
      <c r="M788" s="64"/>
      <c r="N788" s="65" t="e">
        <f>IF(B788&lt;&gt;0,VLOOKUP(B788,#REF!,2,FALSE),"")</f>
        <v>#REF!</v>
      </c>
      <c r="AY788" s="221"/>
      <c r="AZ788" s="481"/>
      <c r="BA788" s="481"/>
      <c r="BB788" s="481"/>
      <c r="BC788" s="481"/>
      <c r="BD788" s="163">
        <f t="shared" si="467"/>
        <v>133.79</v>
      </c>
      <c r="BE788" s="163">
        <f t="shared" si="465"/>
        <v>169.66</v>
      </c>
      <c r="BF788" s="163">
        <f t="shared" si="497"/>
        <v>169.66</v>
      </c>
    </row>
    <row r="789" spans="1:58" s="62" customFormat="1" ht="45">
      <c r="A789" s="41" t="s">
        <v>3657</v>
      </c>
      <c r="B789" s="24">
        <v>1570</v>
      </c>
      <c r="C789" s="470" t="s">
        <v>3757</v>
      </c>
      <c r="D789" s="25" t="s">
        <v>12</v>
      </c>
      <c r="E789" s="25" t="s">
        <v>17</v>
      </c>
      <c r="F789" s="26">
        <v>88</v>
      </c>
      <c r="G789" s="26">
        <f t="shared" si="458"/>
        <v>0.77350000000000008</v>
      </c>
      <c r="H789" s="26">
        <f t="shared" si="495"/>
        <v>0.98</v>
      </c>
      <c r="I789" s="26">
        <f t="shared" si="499"/>
        <v>86.24</v>
      </c>
      <c r="J789" s="64" t="e">
        <f>IF(B789&lt;&gt;0,VLOOKUP(B789,#REF!,4,FALSE),"")</f>
        <v>#REF!</v>
      </c>
      <c r="K789" s="362" t="s">
        <v>1859</v>
      </c>
      <c r="L789" s="362">
        <f t="shared" si="460"/>
        <v>68.068000000000012</v>
      </c>
      <c r="M789" s="64"/>
      <c r="N789" s="65" t="e">
        <f>IF(B789&lt;&gt;0,VLOOKUP(B789,#REF!,2,FALSE),"")</f>
        <v>#REF!</v>
      </c>
      <c r="AY789" s="221"/>
      <c r="AZ789" s="481"/>
      <c r="BA789" s="481"/>
      <c r="BB789" s="481"/>
      <c r="BC789" s="481"/>
      <c r="BD789" s="163">
        <f t="shared" si="467"/>
        <v>0.86</v>
      </c>
      <c r="BE789" s="163">
        <f t="shared" si="465"/>
        <v>1.0900000000000001</v>
      </c>
      <c r="BF789" s="163">
        <f t="shared" si="497"/>
        <v>95.92</v>
      </c>
    </row>
    <row r="790" spans="1:58" s="62" customFormat="1" ht="45">
      <c r="A790" s="41" t="s">
        <v>3658</v>
      </c>
      <c r="B790" s="24">
        <v>1573</v>
      </c>
      <c r="C790" s="470" t="s">
        <v>3758</v>
      </c>
      <c r="D790" s="25" t="s">
        <v>12</v>
      </c>
      <c r="E790" s="25" t="s">
        <v>17</v>
      </c>
      <c r="F790" s="26">
        <v>22</v>
      </c>
      <c r="G790" s="26">
        <f t="shared" si="458"/>
        <v>1.1984999999999999</v>
      </c>
      <c r="H790" s="26">
        <f t="shared" si="495"/>
        <v>1.52</v>
      </c>
      <c r="I790" s="26">
        <f t="shared" si="499"/>
        <v>33.44</v>
      </c>
      <c r="J790" s="64" t="e">
        <f>IF(B790&lt;&gt;0,VLOOKUP(B790,#REF!,4,FALSE),"")</f>
        <v>#REF!</v>
      </c>
      <c r="K790" s="362" t="s">
        <v>3191</v>
      </c>
      <c r="L790" s="362">
        <f t="shared" si="460"/>
        <v>26.366999999999997</v>
      </c>
      <c r="M790" s="64"/>
      <c r="N790" s="65" t="e">
        <f>IF(B790&lt;&gt;0,VLOOKUP(B790,#REF!,2,FALSE),"")</f>
        <v>#REF!</v>
      </c>
      <c r="AY790" s="221"/>
      <c r="AZ790" s="481"/>
      <c r="BA790" s="481"/>
      <c r="BB790" s="481"/>
      <c r="BC790" s="481"/>
      <c r="BD790" s="163">
        <f t="shared" si="467"/>
        <v>1.34</v>
      </c>
      <c r="BE790" s="163">
        <f t="shared" si="465"/>
        <v>1.7</v>
      </c>
      <c r="BF790" s="163">
        <f t="shared" si="497"/>
        <v>37.4</v>
      </c>
    </row>
    <row r="791" spans="1:58" s="62" customFormat="1" ht="30">
      <c r="A791" s="41" t="s">
        <v>3659</v>
      </c>
      <c r="B791" s="24">
        <v>1585</v>
      </c>
      <c r="C791" s="470" t="s">
        <v>3755</v>
      </c>
      <c r="D791" s="25" t="s">
        <v>12</v>
      </c>
      <c r="E791" s="25" t="s">
        <v>17</v>
      </c>
      <c r="F791" s="26">
        <v>1</v>
      </c>
      <c r="G791" s="26">
        <f t="shared" si="458"/>
        <v>4.1820000000000004</v>
      </c>
      <c r="H791" s="26">
        <f t="shared" si="495"/>
        <v>5.3</v>
      </c>
      <c r="I791" s="26">
        <f t="shared" si="499"/>
        <v>5.3</v>
      </c>
      <c r="J791" s="64" t="e">
        <f>IF(B791&lt;&gt;0,VLOOKUP(B791,#REF!,4,FALSE),"")</f>
        <v>#REF!</v>
      </c>
      <c r="K791" s="362" t="s">
        <v>3144</v>
      </c>
      <c r="L791" s="362">
        <f t="shared" si="460"/>
        <v>4.1820000000000004</v>
      </c>
      <c r="M791" s="64"/>
      <c r="N791" s="65" t="e">
        <f>IF(B791&lt;&gt;0,VLOOKUP(B791,#REF!,2,FALSE),"")</f>
        <v>#REF!</v>
      </c>
      <c r="AY791" s="221"/>
      <c r="AZ791" s="481"/>
      <c r="BA791" s="481"/>
      <c r="BB791" s="481"/>
      <c r="BC791" s="481"/>
      <c r="BD791" s="163">
        <f t="shared" si="467"/>
        <v>4.66</v>
      </c>
      <c r="BE791" s="163">
        <f t="shared" si="465"/>
        <v>5.91</v>
      </c>
      <c r="BF791" s="163">
        <f t="shared" si="497"/>
        <v>5.91</v>
      </c>
    </row>
    <row r="792" spans="1:58" s="62" customFormat="1" ht="45">
      <c r="A792" s="41" t="s">
        <v>3660</v>
      </c>
      <c r="B792" s="24">
        <v>1577</v>
      </c>
      <c r="C792" s="470" t="s">
        <v>3753</v>
      </c>
      <c r="D792" s="25" t="s">
        <v>12</v>
      </c>
      <c r="E792" s="25" t="s">
        <v>17</v>
      </c>
      <c r="F792" s="26">
        <v>10</v>
      </c>
      <c r="G792" s="26">
        <f t="shared" ref="G792:G855" si="500">K792-(K792*$K$15)</f>
        <v>2.4055</v>
      </c>
      <c r="H792" s="26">
        <f t="shared" si="495"/>
        <v>3.05</v>
      </c>
      <c r="I792" s="26">
        <f t="shared" si="499"/>
        <v>30.5</v>
      </c>
      <c r="J792" s="64" t="e">
        <f>IF(B792&lt;&gt;0,VLOOKUP(B792,#REF!,4,FALSE),"")</f>
        <v>#REF!</v>
      </c>
      <c r="K792" s="362" t="s">
        <v>1895</v>
      </c>
      <c r="L792" s="362">
        <f t="shared" ref="L792:L855" si="501">F792*G792</f>
        <v>24.055</v>
      </c>
      <c r="M792" s="64"/>
      <c r="N792" s="65" t="e">
        <f>IF(B792&lt;&gt;0,VLOOKUP(B792,#REF!,2,FALSE),"")</f>
        <v>#REF!</v>
      </c>
      <c r="AY792" s="221"/>
      <c r="AZ792" s="481"/>
      <c r="BA792" s="481"/>
      <c r="BB792" s="481"/>
      <c r="BC792" s="481"/>
      <c r="BD792" s="163">
        <f t="shared" si="467"/>
        <v>2.68</v>
      </c>
      <c r="BE792" s="163">
        <f t="shared" si="465"/>
        <v>3.4</v>
      </c>
      <c r="BF792" s="163">
        <f t="shared" si="497"/>
        <v>34</v>
      </c>
    </row>
    <row r="793" spans="1:58" s="62" customFormat="1" ht="45">
      <c r="A793" s="23" t="s">
        <v>1252</v>
      </c>
      <c r="B793" s="24">
        <v>91930</v>
      </c>
      <c r="C793" s="23" t="s">
        <v>1731</v>
      </c>
      <c r="D793" s="25" t="s">
        <v>12</v>
      </c>
      <c r="E793" s="25" t="s">
        <v>52</v>
      </c>
      <c r="F793" s="26">
        <v>2</v>
      </c>
      <c r="G793" s="26">
        <f t="shared" si="500"/>
        <v>7.0379999999999994</v>
      </c>
      <c r="H793" s="26">
        <f t="shared" si="495"/>
        <v>8.92</v>
      </c>
      <c r="I793" s="26">
        <f t="shared" si="499"/>
        <v>17.84</v>
      </c>
      <c r="J793" s="64" t="e">
        <f>IF(B793&lt;&gt;0,VLOOKUP(B793,#REF!,4,FALSE),"")</f>
        <v>#REF!</v>
      </c>
      <c r="K793" s="362" t="s">
        <v>3113</v>
      </c>
      <c r="L793" s="362">
        <f t="shared" si="501"/>
        <v>14.075999999999999</v>
      </c>
      <c r="M793" s="64"/>
      <c r="N793" s="65" t="e">
        <f>IF(B793&lt;&gt;0,VLOOKUP(B793,#REF!,2,FALSE),"")</f>
        <v>#REF!</v>
      </c>
      <c r="AY793" s="221"/>
      <c r="AZ793" s="481"/>
      <c r="BA793" s="481"/>
      <c r="BB793" s="481"/>
      <c r="BC793" s="481"/>
      <c r="BD793" s="163">
        <f t="shared" si="467"/>
        <v>7.84</v>
      </c>
      <c r="BE793" s="163">
        <f t="shared" si="465"/>
        <v>9.94</v>
      </c>
      <c r="BF793" s="163">
        <f t="shared" si="497"/>
        <v>19.88</v>
      </c>
    </row>
    <row r="794" spans="1:58" s="62" customFormat="1" ht="15" customHeight="1">
      <c r="A794" s="356" t="s">
        <v>1253</v>
      </c>
      <c r="B794" s="356"/>
      <c r="C794" s="356" t="s">
        <v>268</v>
      </c>
      <c r="D794" s="357"/>
      <c r="E794" s="357"/>
      <c r="F794" s="357"/>
      <c r="G794" s="26"/>
      <c r="H794" s="357"/>
      <c r="I794" s="96"/>
      <c r="J794" s="65"/>
      <c r="K794" s="362"/>
      <c r="L794" s="362">
        <f t="shared" si="501"/>
        <v>0</v>
      </c>
      <c r="M794" s="65"/>
      <c r="N794" s="65"/>
      <c r="AY794" s="221"/>
      <c r="AZ794" s="481"/>
      <c r="BA794" s="481"/>
      <c r="BB794" s="481"/>
      <c r="BC794" s="481"/>
      <c r="BD794" s="163"/>
      <c r="BE794" s="163"/>
      <c r="BF794" s="163"/>
    </row>
    <row r="795" spans="1:58" s="62" customFormat="1" ht="75">
      <c r="A795" s="41" t="s">
        <v>3661</v>
      </c>
      <c r="B795" s="24">
        <v>101881</v>
      </c>
      <c r="C795" s="470" t="s">
        <v>3756</v>
      </c>
      <c r="D795" s="25" t="s">
        <v>12</v>
      </c>
      <c r="E795" s="25" t="s">
        <v>17</v>
      </c>
      <c r="F795" s="26">
        <v>1</v>
      </c>
      <c r="G795" s="26">
        <f t="shared" si="500"/>
        <v>765.94350000000009</v>
      </c>
      <c r="H795" s="26">
        <f t="shared" ref="H795:H805" si="502">ROUND(G795*(1+$J$14),2)</f>
        <v>971.29</v>
      </c>
      <c r="I795" s="26">
        <f t="shared" ref="I795" si="503">ROUND(H795*F795,2)</f>
        <v>971.29</v>
      </c>
      <c r="J795" s="64" t="e">
        <f>IF(B795&lt;&gt;0,VLOOKUP(B795,#REF!,4,FALSE),"")</f>
        <v>#REF!</v>
      </c>
      <c r="K795" s="362" t="s">
        <v>3251</v>
      </c>
      <c r="L795" s="362">
        <f t="shared" si="501"/>
        <v>765.94350000000009</v>
      </c>
      <c r="M795" s="64"/>
      <c r="N795" s="65" t="e">
        <f>IF(B795&lt;&gt;0,VLOOKUP(B795,#REF!,2,FALSE),"")</f>
        <v>#REF!</v>
      </c>
      <c r="AY795" s="221"/>
      <c r="AZ795" s="481"/>
      <c r="BA795" s="481"/>
      <c r="BB795" s="481"/>
      <c r="BC795" s="481"/>
      <c r="BD795" s="163">
        <f t="shared" si="467"/>
        <v>853.27</v>
      </c>
      <c r="BE795" s="163">
        <f t="shared" si="465"/>
        <v>1082.03</v>
      </c>
      <c r="BF795" s="163">
        <f t="shared" ref="BF795:BF805" si="504">ROUND(BE795*F795,2)</f>
        <v>1082.03</v>
      </c>
    </row>
    <row r="796" spans="1:58" s="62" customFormat="1" ht="30">
      <c r="A796" s="23" t="s">
        <v>1255</v>
      </c>
      <c r="B796" s="24">
        <f>B783</f>
        <v>9041</v>
      </c>
      <c r="C796" s="42" t="str">
        <f>C783</f>
        <v>DISPOSITIVO DE PROTEÇÃO CONTRA SURTO DE TENSÃO DPS 60KA - 275V</v>
      </c>
      <c r="D796" s="25" t="s">
        <v>44</v>
      </c>
      <c r="E796" s="25" t="s">
        <v>17</v>
      </c>
      <c r="F796" s="26">
        <v>4</v>
      </c>
      <c r="G796" s="26">
        <f t="shared" si="500"/>
        <v>97.393000000000001</v>
      </c>
      <c r="H796" s="26">
        <f t="shared" si="502"/>
        <v>123.5</v>
      </c>
      <c r="I796" s="26">
        <f t="shared" ref="I796" si="505">ROUND(H796*F796,2)</f>
        <v>494</v>
      </c>
      <c r="J796" s="64">
        <f>J783</f>
        <v>97.39</v>
      </c>
      <c r="K796" s="362">
        <v>114.58</v>
      </c>
      <c r="L796" s="362">
        <f t="shared" si="501"/>
        <v>389.572</v>
      </c>
      <c r="M796" s="64"/>
      <c r="N796" s="65"/>
      <c r="AY796" s="221"/>
      <c r="AZ796" s="481"/>
      <c r="BA796" s="481"/>
      <c r="BB796" s="481"/>
      <c r="BC796" s="481"/>
      <c r="BD796" s="163">
        <f t="shared" si="467"/>
        <v>108.5</v>
      </c>
      <c r="BE796" s="163">
        <f t="shared" ref="BE796:BE859" si="506">ROUND(BD796*(1+$J$14),2)</f>
        <v>137.59</v>
      </c>
      <c r="BF796" s="163">
        <f t="shared" si="504"/>
        <v>550.36</v>
      </c>
    </row>
    <row r="797" spans="1:58" s="62" customFormat="1" ht="30">
      <c r="A797" s="23" t="s">
        <v>1256</v>
      </c>
      <c r="B797" s="24">
        <v>93654</v>
      </c>
      <c r="C797" s="23" t="s">
        <v>1730</v>
      </c>
      <c r="D797" s="25" t="s">
        <v>12</v>
      </c>
      <c r="E797" s="25" t="s">
        <v>17</v>
      </c>
      <c r="F797" s="26">
        <v>17</v>
      </c>
      <c r="G797" s="26">
        <f t="shared" si="500"/>
        <v>9.6050000000000004</v>
      </c>
      <c r="H797" s="26">
        <f t="shared" si="502"/>
        <v>12.18</v>
      </c>
      <c r="I797" s="26">
        <f t="shared" ref="I797:I798" si="507">ROUND(H797*F797,2)</f>
        <v>207.06</v>
      </c>
      <c r="J797" s="64" t="e">
        <f>IF(B797&lt;&gt;0,VLOOKUP(B797,#REF!,4,FALSE),"")</f>
        <v>#REF!</v>
      </c>
      <c r="K797" s="362" t="s">
        <v>3243</v>
      </c>
      <c r="L797" s="362">
        <f t="shared" si="501"/>
        <v>163.285</v>
      </c>
      <c r="M797" s="64"/>
      <c r="N797" s="65" t="e">
        <f>IF(B797&lt;&gt;0,VLOOKUP(B797,#REF!,2,FALSE),"")</f>
        <v>#REF!</v>
      </c>
      <c r="AY797" s="221"/>
      <c r="AZ797" s="481"/>
      <c r="BA797" s="481"/>
      <c r="BB797" s="481"/>
      <c r="BC797" s="481"/>
      <c r="BD797" s="163">
        <f t="shared" ref="BD797:BD860" si="508">ROUND(G797*$BH$19,2)</f>
        <v>10.7</v>
      </c>
      <c r="BE797" s="163">
        <f t="shared" si="506"/>
        <v>13.57</v>
      </c>
      <c r="BF797" s="163">
        <f t="shared" si="504"/>
        <v>230.69</v>
      </c>
    </row>
    <row r="798" spans="1:58" s="62" customFormat="1" ht="30">
      <c r="A798" s="23" t="s">
        <v>1257</v>
      </c>
      <c r="B798" s="24">
        <v>93669</v>
      </c>
      <c r="C798" s="23" t="s">
        <v>1732</v>
      </c>
      <c r="D798" s="25" t="s">
        <v>12</v>
      </c>
      <c r="E798" s="25" t="s">
        <v>17</v>
      </c>
      <c r="F798" s="26">
        <v>8</v>
      </c>
      <c r="G798" s="26">
        <f t="shared" si="500"/>
        <v>61.429499999999997</v>
      </c>
      <c r="H798" s="26">
        <f t="shared" si="502"/>
        <v>77.900000000000006</v>
      </c>
      <c r="I798" s="26">
        <f t="shared" si="507"/>
        <v>623.20000000000005</v>
      </c>
      <c r="J798" s="64" t="e">
        <f>IF(B798&lt;&gt;0,VLOOKUP(B798,#REF!,4,FALSE),"")</f>
        <v>#REF!</v>
      </c>
      <c r="K798" s="362" t="s">
        <v>3245</v>
      </c>
      <c r="L798" s="362">
        <f t="shared" si="501"/>
        <v>491.43599999999998</v>
      </c>
      <c r="M798" s="64"/>
      <c r="N798" s="65" t="e">
        <f>IF(B798&lt;&gt;0,VLOOKUP(B798,#REF!,2,FALSE),"")</f>
        <v>#REF!</v>
      </c>
      <c r="AY798" s="221"/>
      <c r="AZ798" s="481"/>
      <c r="BA798" s="481"/>
      <c r="BB798" s="481"/>
      <c r="BC798" s="481"/>
      <c r="BD798" s="163">
        <f t="shared" si="508"/>
        <v>68.430000000000007</v>
      </c>
      <c r="BE798" s="163">
        <f t="shared" si="506"/>
        <v>86.78</v>
      </c>
      <c r="BF798" s="163">
        <f t="shared" si="504"/>
        <v>694.24</v>
      </c>
    </row>
    <row r="799" spans="1:58" s="62" customFormat="1" ht="45">
      <c r="A799" s="41" t="s">
        <v>3662</v>
      </c>
      <c r="B799" s="24">
        <v>101895</v>
      </c>
      <c r="C799" s="470" t="s">
        <v>3759</v>
      </c>
      <c r="D799" s="25" t="s">
        <v>12</v>
      </c>
      <c r="E799" s="25" t="s">
        <v>17</v>
      </c>
      <c r="F799" s="26">
        <v>1</v>
      </c>
      <c r="G799" s="26">
        <f t="shared" si="500"/>
        <v>337.58600000000001</v>
      </c>
      <c r="H799" s="26">
        <f t="shared" si="502"/>
        <v>428.09</v>
      </c>
      <c r="I799" s="26">
        <f t="shared" ref="I799" si="509">ROUND(H799*F799,2)</f>
        <v>428.09</v>
      </c>
      <c r="J799" s="64" t="e">
        <f>IF(B799&lt;&gt;0,VLOOKUP(B799,#REF!,4,FALSE),"")</f>
        <v>#REF!</v>
      </c>
      <c r="K799" s="362" t="s">
        <v>3254</v>
      </c>
      <c r="L799" s="362">
        <f t="shared" si="501"/>
        <v>337.58600000000001</v>
      </c>
      <c r="M799" s="64"/>
      <c r="N799" s="65" t="e">
        <f>IF(B799&lt;&gt;0,VLOOKUP(B799,#REF!,2,FALSE),"")</f>
        <v>#REF!</v>
      </c>
      <c r="AY799" s="221"/>
      <c r="AZ799" s="481"/>
      <c r="BA799" s="481"/>
      <c r="BB799" s="481"/>
      <c r="BC799" s="481"/>
      <c r="BD799" s="163">
        <f t="shared" si="508"/>
        <v>376.07</v>
      </c>
      <c r="BE799" s="163">
        <f t="shared" si="506"/>
        <v>476.89</v>
      </c>
      <c r="BF799" s="163">
        <f t="shared" si="504"/>
        <v>476.89</v>
      </c>
    </row>
    <row r="800" spans="1:58" s="62" customFormat="1" ht="45">
      <c r="A800" s="41" t="s">
        <v>3663</v>
      </c>
      <c r="B800" s="24">
        <v>1570</v>
      </c>
      <c r="C800" s="470" t="s">
        <v>3757</v>
      </c>
      <c r="D800" s="25" t="s">
        <v>12</v>
      </c>
      <c r="E800" s="25" t="s">
        <v>17</v>
      </c>
      <c r="F800" s="26">
        <v>44</v>
      </c>
      <c r="G800" s="26">
        <f t="shared" si="500"/>
        <v>0.77350000000000008</v>
      </c>
      <c r="H800" s="26">
        <f t="shared" si="502"/>
        <v>0.98</v>
      </c>
      <c r="I800" s="26">
        <f t="shared" ref="I800:I804" si="510">ROUND(H800*F800,2)</f>
        <v>43.12</v>
      </c>
      <c r="J800" s="64" t="e">
        <f>IF(B800&lt;&gt;0,VLOOKUP(B800,#REF!,4,FALSE),"")</f>
        <v>#REF!</v>
      </c>
      <c r="K800" s="362" t="s">
        <v>1859</v>
      </c>
      <c r="L800" s="362">
        <f t="shared" si="501"/>
        <v>34.034000000000006</v>
      </c>
      <c r="M800" s="64"/>
      <c r="N800" s="65" t="e">
        <f>IF(B800&lt;&gt;0,VLOOKUP(B800,#REF!,2,FALSE),"")</f>
        <v>#REF!</v>
      </c>
      <c r="AY800" s="221"/>
      <c r="AZ800" s="481"/>
      <c r="BA800" s="481"/>
      <c r="BB800" s="481"/>
      <c r="BC800" s="481"/>
      <c r="BD800" s="163">
        <f t="shared" si="508"/>
        <v>0.86</v>
      </c>
      <c r="BE800" s="163">
        <f t="shared" si="506"/>
        <v>1.0900000000000001</v>
      </c>
      <c r="BF800" s="163">
        <f t="shared" si="504"/>
        <v>47.96</v>
      </c>
    </row>
    <row r="801" spans="1:58" s="62" customFormat="1" ht="45">
      <c r="A801" s="41" t="s">
        <v>3664</v>
      </c>
      <c r="B801" s="24">
        <v>1571</v>
      </c>
      <c r="C801" s="470" t="s">
        <v>3760</v>
      </c>
      <c r="D801" s="25" t="s">
        <v>12</v>
      </c>
      <c r="E801" s="25" t="s">
        <v>17</v>
      </c>
      <c r="F801" s="26">
        <v>40</v>
      </c>
      <c r="G801" s="26">
        <f t="shared" si="500"/>
        <v>1.0114999999999998</v>
      </c>
      <c r="H801" s="26">
        <f t="shared" si="502"/>
        <v>1.28</v>
      </c>
      <c r="I801" s="26">
        <f t="shared" si="510"/>
        <v>51.2</v>
      </c>
      <c r="J801" s="64" t="e">
        <f>IF(B801&lt;&gt;0,VLOOKUP(B801,#REF!,4,FALSE),"")</f>
        <v>#REF!</v>
      </c>
      <c r="K801" s="362" t="s">
        <v>1844</v>
      </c>
      <c r="L801" s="362">
        <f t="shared" si="501"/>
        <v>40.459999999999994</v>
      </c>
      <c r="M801" s="64"/>
      <c r="N801" s="65" t="e">
        <f>IF(B801&lt;&gt;0,VLOOKUP(B801,#REF!,2,FALSE),"")</f>
        <v>#REF!</v>
      </c>
      <c r="AY801" s="221"/>
      <c r="AZ801" s="481"/>
      <c r="BA801" s="481"/>
      <c r="BB801" s="481"/>
      <c r="BC801" s="481"/>
      <c r="BD801" s="163">
        <f t="shared" si="508"/>
        <v>1.1299999999999999</v>
      </c>
      <c r="BE801" s="163">
        <f t="shared" si="506"/>
        <v>1.43</v>
      </c>
      <c r="BF801" s="163">
        <f t="shared" si="504"/>
        <v>57.2</v>
      </c>
    </row>
    <row r="802" spans="1:58" s="62" customFormat="1" ht="45">
      <c r="A802" s="41" t="s">
        <v>3665</v>
      </c>
      <c r="B802" s="24">
        <v>1573</v>
      </c>
      <c r="C802" s="470" t="s">
        <v>3758</v>
      </c>
      <c r="D802" s="25" t="s">
        <v>12</v>
      </c>
      <c r="E802" s="25" t="s">
        <v>17</v>
      </c>
      <c r="F802" s="26">
        <v>22</v>
      </c>
      <c r="G802" s="26">
        <f t="shared" si="500"/>
        <v>1.1984999999999999</v>
      </c>
      <c r="H802" s="26">
        <f t="shared" si="502"/>
        <v>1.52</v>
      </c>
      <c r="I802" s="26">
        <f t="shared" si="510"/>
        <v>33.44</v>
      </c>
      <c r="J802" s="64" t="e">
        <f>IF(B802&lt;&gt;0,VLOOKUP(B802,#REF!,4,FALSE),"")</f>
        <v>#REF!</v>
      </c>
      <c r="K802" s="362" t="s">
        <v>3191</v>
      </c>
      <c r="L802" s="362">
        <f t="shared" si="501"/>
        <v>26.366999999999997</v>
      </c>
      <c r="M802" s="64"/>
      <c r="N802" s="65" t="e">
        <f>IF(B802&lt;&gt;0,VLOOKUP(B802,#REF!,2,FALSE),"")</f>
        <v>#REF!</v>
      </c>
      <c r="AY802" s="221"/>
      <c r="AZ802" s="481"/>
      <c r="BA802" s="481"/>
      <c r="BB802" s="481"/>
      <c r="BC802" s="481"/>
      <c r="BD802" s="163">
        <f t="shared" si="508"/>
        <v>1.34</v>
      </c>
      <c r="BE802" s="163">
        <f t="shared" si="506"/>
        <v>1.7</v>
      </c>
      <c r="BF802" s="163">
        <f t="shared" si="504"/>
        <v>37.4</v>
      </c>
    </row>
    <row r="803" spans="1:58" s="62" customFormat="1" ht="45">
      <c r="A803" s="41" t="s">
        <v>3666</v>
      </c>
      <c r="B803" s="24">
        <v>1577</v>
      </c>
      <c r="C803" s="470" t="s">
        <v>3753</v>
      </c>
      <c r="D803" s="25" t="s">
        <v>12</v>
      </c>
      <c r="E803" s="25" t="s">
        <v>17</v>
      </c>
      <c r="F803" s="26">
        <v>1</v>
      </c>
      <c r="G803" s="26">
        <f t="shared" si="500"/>
        <v>2.4055</v>
      </c>
      <c r="H803" s="26">
        <f t="shared" si="502"/>
        <v>3.05</v>
      </c>
      <c r="I803" s="26">
        <f t="shared" si="510"/>
        <v>3.05</v>
      </c>
      <c r="J803" s="64" t="e">
        <f>IF(B803&lt;&gt;0,VLOOKUP(B803,#REF!,4,FALSE),"")</f>
        <v>#REF!</v>
      </c>
      <c r="K803" s="362" t="s">
        <v>1895</v>
      </c>
      <c r="L803" s="362">
        <f t="shared" si="501"/>
        <v>2.4055</v>
      </c>
      <c r="M803" s="64"/>
      <c r="N803" s="65" t="e">
        <f>IF(B803&lt;&gt;0,VLOOKUP(B803,#REF!,2,FALSE),"")</f>
        <v>#REF!</v>
      </c>
      <c r="AY803" s="221"/>
      <c r="AZ803" s="481"/>
      <c r="BA803" s="481"/>
      <c r="BB803" s="481"/>
      <c r="BC803" s="481"/>
      <c r="BD803" s="163">
        <f t="shared" si="508"/>
        <v>2.68</v>
      </c>
      <c r="BE803" s="163">
        <f t="shared" si="506"/>
        <v>3.4</v>
      </c>
      <c r="BF803" s="163">
        <f t="shared" si="504"/>
        <v>3.4</v>
      </c>
    </row>
    <row r="804" spans="1:58" s="62" customFormat="1" ht="45">
      <c r="A804" s="41" t="s">
        <v>3667</v>
      </c>
      <c r="B804" s="24">
        <v>1579</v>
      </c>
      <c r="C804" s="470" t="s">
        <v>3761</v>
      </c>
      <c r="D804" s="25" t="s">
        <v>12</v>
      </c>
      <c r="E804" s="25" t="s">
        <v>17</v>
      </c>
      <c r="F804" s="26">
        <v>10</v>
      </c>
      <c r="G804" s="26">
        <f t="shared" si="500"/>
        <v>5.2104999999999997</v>
      </c>
      <c r="H804" s="26">
        <f t="shared" si="502"/>
        <v>6.61</v>
      </c>
      <c r="I804" s="26">
        <f t="shared" si="510"/>
        <v>66.099999999999994</v>
      </c>
      <c r="J804" s="64" t="e">
        <f>IF(B804&lt;&gt;0,VLOOKUP(B804,#REF!,4,FALSE),"")</f>
        <v>#REF!</v>
      </c>
      <c r="K804" s="362" t="s">
        <v>1847</v>
      </c>
      <c r="L804" s="362">
        <f t="shared" si="501"/>
        <v>52.104999999999997</v>
      </c>
      <c r="M804" s="64"/>
      <c r="N804" s="65" t="e">
        <f>IF(B804&lt;&gt;0,VLOOKUP(B804,#REF!,2,FALSE),"")</f>
        <v>#REF!</v>
      </c>
      <c r="AY804" s="221"/>
      <c r="AZ804" s="481"/>
      <c r="BA804" s="481"/>
      <c r="BB804" s="481"/>
      <c r="BC804" s="481"/>
      <c r="BD804" s="163">
        <f t="shared" si="508"/>
        <v>5.8</v>
      </c>
      <c r="BE804" s="163">
        <f t="shared" si="506"/>
        <v>7.35</v>
      </c>
      <c r="BF804" s="163">
        <f t="shared" si="504"/>
        <v>73.5</v>
      </c>
    </row>
    <row r="805" spans="1:58" s="62" customFormat="1" ht="45">
      <c r="A805" s="23" t="s">
        <v>1263</v>
      </c>
      <c r="B805" s="24">
        <v>91930</v>
      </c>
      <c r="C805" s="23" t="s">
        <v>1731</v>
      </c>
      <c r="D805" s="25" t="s">
        <v>12</v>
      </c>
      <c r="E805" s="25" t="s">
        <v>52</v>
      </c>
      <c r="F805" s="26">
        <v>2</v>
      </c>
      <c r="G805" s="26">
        <f t="shared" si="500"/>
        <v>7.0379999999999994</v>
      </c>
      <c r="H805" s="26">
        <f t="shared" si="502"/>
        <v>8.92</v>
      </c>
      <c r="I805" s="26">
        <f t="shared" ref="I805" si="511">ROUND(H805*F805,2)</f>
        <v>17.84</v>
      </c>
      <c r="J805" s="64" t="e">
        <f>IF(B805&lt;&gt;0,VLOOKUP(B805,#REF!,4,FALSE),"")</f>
        <v>#REF!</v>
      </c>
      <c r="K805" s="362" t="s">
        <v>3113</v>
      </c>
      <c r="L805" s="362">
        <f t="shared" si="501"/>
        <v>14.075999999999999</v>
      </c>
      <c r="M805" s="64"/>
      <c r="N805" s="65" t="e">
        <f>IF(B805&lt;&gt;0,VLOOKUP(B805,#REF!,2,FALSE),"")</f>
        <v>#REF!</v>
      </c>
      <c r="AY805" s="221"/>
      <c r="AZ805" s="481"/>
      <c r="BA805" s="481"/>
      <c r="BB805" s="481"/>
      <c r="BC805" s="481"/>
      <c r="BD805" s="163">
        <f t="shared" si="508"/>
        <v>7.84</v>
      </c>
      <c r="BE805" s="163">
        <f t="shared" si="506"/>
        <v>9.94</v>
      </c>
      <c r="BF805" s="163">
        <f t="shared" si="504"/>
        <v>19.88</v>
      </c>
    </row>
    <row r="806" spans="1:58" s="62" customFormat="1" ht="15" customHeight="1">
      <c r="A806" s="356" t="s">
        <v>1264</v>
      </c>
      <c r="B806" s="356"/>
      <c r="C806" s="356" t="s">
        <v>269</v>
      </c>
      <c r="D806" s="357"/>
      <c r="E806" s="357"/>
      <c r="F806" s="357"/>
      <c r="G806" s="26"/>
      <c r="H806" s="357"/>
      <c r="I806" s="96"/>
      <c r="J806" s="65"/>
      <c r="K806" s="362"/>
      <c r="L806" s="362">
        <f t="shared" si="501"/>
        <v>0</v>
      </c>
      <c r="M806" s="65"/>
      <c r="N806" s="65"/>
      <c r="AY806" s="221"/>
      <c r="AZ806" s="481"/>
      <c r="BA806" s="481"/>
      <c r="BB806" s="481"/>
      <c r="BC806" s="481"/>
      <c r="BD806" s="163"/>
      <c r="BE806" s="163"/>
      <c r="BF806" s="163"/>
    </row>
    <row r="807" spans="1:58" s="62" customFormat="1" ht="78" customHeight="1">
      <c r="A807" s="23" t="s">
        <v>1265</v>
      </c>
      <c r="B807" s="24">
        <v>12233</v>
      </c>
      <c r="C807" s="23" t="str">
        <f>'COMPOSIÇÃO DE CUSTOS'!A1888</f>
        <v>QUADRO DE DISTRIBUICAO DE ENERGIA DE EMBUTIR, EM CHAPA METALICA, PARA 70 DISJUNTORES TERMOMAGNETICOS MONOPOLARES, COM BARRAMENTO TRIFASICO E NEUTRO, FORNECIMENTO E INSTALACAO</v>
      </c>
      <c r="D807" s="25" t="s">
        <v>44</v>
      </c>
      <c r="E807" s="25" t="s">
        <v>17</v>
      </c>
      <c r="F807" s="26">
        <v>1</v>
      </c>
      <c r="G807" s="26">
        <f t="shared" si="500"/>
        <v>930.77549999999997</v>
      </c>
      <c r="H807" s="26">
        <f t="shared" ref="H807:H818" si="512">ROUND(G807*(1+$J$14),2)</f>
        <v>1180.32</v>
      </c>
      <c r="I807" s="26">
        <f t="shared" ref="I807" si="513">ROUND(H807*F807,2)</f>
        <v>1180.32</v>
      </c>
      <c r="J807" s="64">
        <f>'COMPOSIÇÃO DE CUSTOS'!G1895</f>
        <v>930.78</v>
      </c>
      <c r="K807" s="362">
        <v>1095.03</v>
      </c>
      <c r="L807" s="362">
        <f t="shared" si="501"/>
        <v>930.77549999999997</v>
      </c>
      <c r="M807" s="64"/>
      <c r="N807" s="65"/>
      <c r="AY807" s="221"/>
      <c r="AZ807" s="481"/>
      <c r="BA807" s="481"/>
      <c r="BB807" s="481"/>
      <c r="BC807" s="481"/>
      <c r="BD807" s="163">
        <f t="shared" si="508"/>
        <v>1036.8900000000001</v>
      </c>
      <c r="BE807" s="163">
        <f t="shared" si="506"/>
        <v>1314.88</v>
      </c>
      <c r="BF807" s="163">
        <f t="shared" ref="BF807:BF818" si="514">ROUND(BE807*F807,2)</f>
        <v>1314.88</v>
      </c>
    </row>
    <row r="808" spans="1:58" s="62" customFormat="1" ht="30">
      <c r="A808" s="23" t="s">
        <v>1266</v>
      </c>
      <c r="B808" s="24">
        <f>B796</f>
        <v>9041</v>
      </c>
      <c r="C808" s="42" t="str">
        <f>C796</f>
        <v>DISPOSITIVO DE PROTEÇÃO CONTRA SURTO DE TENSÃO DPS 60KA - 275V</v>
      </c>
      <c r="D808" s="25" t="s">
        <v>44</v>
      </c>
      <c r="E808" s="25" t="s">
        <v>17</v>
      </c>
      <c r="F808" s="26">
        <v>4</v>
      </c>
      <c r="G808" s="26">
        <f t="shared" si="500"/>
        <v>97.393000000000001</v>
      </c>
      <c r="H808" s="26">
        <f t="shared" si="512"/>
        <v>123.5</v>
      </c>
      <c r="I808" s="26">
        <f t="shared" ref="I808" si="515">ROUND(H808*F808,2)</f>
        <v>494</v>
      </c>
      <c r="J808" s="64">
        <f>J796</f>
        <v>97.39</v>
      </c>
      <c r="K808" s="362">
        <v>114.58</v>
      </c>
      <c r="L808" s="362">
        <f t="shared" si="501"/>
        <v>389.572</v>
      </c>
      <c r="M808" s="64"/>
      <c r="N808" s="65"/>
      <c r="AY808" s="221"/>
      <c r="AZ808" s="481"/>
      <c r="BA808" s="481"/>
      <c r="BB808" s="481"/>
      <c r="BC808" s="481"/>
      <c r="BD808" s="163">
        <f t="shared" si="508"/>
        <v>108.5</v>
      </c>
      <c r="BE808" s="163">
        <f t="shared" si="506"/>
        <v>137.59</v>
      </c>
      <c r="BF808" s="163">
        <f t="shared" si="514"/>
        <v>550.36</v>
      </c>
    </row>
    <row r="809" spans="1:58" s="62" customFormat="1" ht="30">
      <c r="A809" s="23" t="s">
        <v>1267</v>
      </c>
      <c r="B809" s="24">
        <v>93653</v>
      </c>
      <c r="C809" s="23" t="s">
        <v>1729</v>
      </c>
      <c r="D809" s="25" t="s">
        <v>12</v>
      </c>
      <c r="E809" s="25" t="s">
        <v>17</v>
      </c>
      <c r="F809" s="26">
        <v>6</v>
      </c>
      <c r="G809" s="26">
        <f t="shared" si="500"/>
        <v>9.2735000000000003</v>
      </c>
      <c r="H809" s="26">
        <f t="shared" si="512"/>
        <v>11.76</v>
      </c>
      <c r="I809" s="26">
        <f t="shared" ref="I809:I811" si="516">ROUND(H809*F809,2)</f>
        <v>70.56</v>
      </c>
      <c r="J809" s="64" t="e">
        <f>IF(B809&lt;&gt;0,VLOOKUP(B809,#REF!,4,FALSE),"")</f>
        <v>#REF!</v>
      </c>
      <c r="K809" s="362" t="s">
        <v>3229</v>
      </c>
      <c r="L809" s="362">
        <f t="shared" si="501"/>
        <v>55.641000000000005</v>
      </c>
      <c r="M809" s="64"/>
      <c r="N809" s="65" t="e">
        <f>IF(B809&lt;&gt;0,VLOOKUP(B809,#REF!,2,FALSE),"")</f>
        <v>#REF!</v>
      </c>
      <c r="AY809" s="221"/>
      <c r="AZ809" s="481"/>
      <c r="BA809" s="481"/>
      <c r="BB809" s="481"/>
      <c r="BC809" s="481"/>
      <c r="BD809" s="163">
        <f t="shared" si="508"/>
        <v>10.33</v>
      </c>
      <c r="BE809" s="163">
        <f t="shared" si="506"/>
        <v>13.1</v>
      </c>
      <c r="BF809" s="163">
        <f t="shared" si="514"/>
        <v>78.599999999999994</v>
      </c>
    </row>
    <row r="810" spans="1:58" s="62" customFormat="1" ht="30">
      <c r="A810" s="23" t="s">
        <v>1268</v>
      </c>
      <c r="B810" s="24">
        <v>93654</v>
      </c>
      <c r="C810" s="23" t="s">
        <v>1730</v>
      </c>
      <c r="D810" s="25" t="s">
        <v>12</v>
      </c>
      <c r="E810" s="25" t="s">
        <v>17</v>
      </c>
      <c r="F810" s="26">
        <v>34</v>
      </c>
      <c r="G810" s="26">
        <f t="shared" si="500"/>
        <v>9.6050000000000004</v>
      </c>
      <c r="H810" s="26">
        <f t="shared" si="512"/>
        <v>12.18</v>
      </c>
      <c r="I810" s="26">
        <f t="shared" si="516"/>
        <v>414.12</v>
      </c>
      <c r="J810" s="64" t="e">
        <f>IF(B810&lt;&gt;0,VLOOKUP(B810,#REF!,4,FALSE),"")</f>
        <v>#REF!</v>
      </c>
      <c r="K810" s="362" t="s">
        <v>3243</v>
      </c>
      <c r="L810" s="362">
        <f t="shared" si="501"/>
        <v>326.57</v>
      </c>
      <c r="M810" s="64"/>
      <c r="N810" s="65" t="e">
        <f>IF(B810&lt;&gt;0,VLOOKUP(B810,#REF!,2,FALSE),"")</f>
        <v>#REF!</v>
      </c>
      <c r="AY810" s="221"/>
      <c r="AZ810" s="481"/>
      <c r="BA810" s="481"/>
      <c r="BB810" s="481"/>
      <c r="BC810" s="481"/>
      <c r="BD810" s="163">
        <f t="shared" si="508"/>
        <v>10.7</v>
      </c>
      <c r="BE810" s="163">
        <f t="shared" si="506"/>
        <v>13.57</v>
      </c>
      <c r="BF810" s="163">
        <f t="shared" si="514"/>
        <v>461.38</v>
      </c>
    </row>
    <row r="811" spans="1:58" s="62" customFormat="1" ht="30">
      <c r="A811" s="23" t="s">
        <v>1269</v>
      </c>
      <c r="B811" s="24">
        <v>93669</v>
      </c>
      <c r="C811" s="23" t="s">
        <v>1732</v>
      </c>
      <c r="D811" s="25" t="s">
        <v>12</v>
      </c>
      <c r="E811" s="25" t="s">
        <v>17</v>
      </c>
      <c r="F811" s="26">
        <v>3</v>
      </c>
      <c r="G811" s="26">
        <f t="shared" si="500"/>
        <v>61.429499999999997</v>
      </c>
      <c r="H811" s="26">
        <f t="shared" si="512"/>
        <v>77.900000000000006</v>
      </c>
      <c r="I811" s="26">
        <f t="shared" si="516"/>
        <v>233.7</v>
      </c>
      <c r="J811" s="64" t="e">
        <f>IF(B811&lt;&gt;0,VLOOKUP(B811,#REF!,4,FALSE),"")</f>
        <v>#REF!</v>
      </c>
      <c r="K811" s="362" t="s">
        <v>3245</v>
      </c>
      <c r="L811" s="362">
        <f t="shared" si="501"/>
        <v>184.2885</v>
      </c>
      <c r="M811" s="64"/>
      <c r="N811" s="65" t="e">
        <f>IF(B811&lt;&gt;0,VLOOKUP(B811,#REF!,2,FALSE),"")</f>
        <v>#REF!</v>
      </c>
      <c r="AY811" s="221"/>
      <c r="AZ811" s="481"/>
      <c r="BA811" s="481"/>
      <c r="BB811" s="481"/>
      <c r="BC811" s="481"/>
      <c r="BD811" s="163">
        <f t="shared" si="508"/>
        <v>68.430000000000007</v>
      </c>
      <c r="BE811" s="163">
        <f t="shared" si="506"/>
        <v>86.78</v>
      </c>
      <c r="BF811" s="163">
        <f t="shared" si="514"/>
        <v>260.33999999999997</v>
      </c>
    </row>
    <row r="812" spans="1:58" s="62" customFormat="1" ht="45">
      <c r="A812" s="41" t="s">
        <v>3668</v>
      </c>
      <c r="B812" s="24">
        <v>101896</v>
      </c>
      <c r="C812" s="470" t="s">
        <v>3762</v>
      </c>
      <c r="D812" s="25" t="s">
        <v>12</v>
      </c>
      <c r="E812" s="25" t="s">
        <v>17</v>
      </c>
      <c r="F812" s="26">
        <v>1</v>
      </c>
      <c r="G812" s="26">
        <f t="shared" si="500"/>
        <v>515.48250000000007</v>
      </c>
      <c r="H812" s="26">
        <f t="shared" si="512"/>
        <v>653.67999999999995</v>
      </c>
      <c r="I812" s="26">
        <f t="shared" ref="I812" si="517">ROUND(H812*F812,2)</f>
        <v>653.67999999999995</v>
      </c>
      <c r="J812" s="64" t="e">
        <f>IF(B812&lt;&gt;0,VLOOKUP(B812,#REF!,4,FALSE),"")</f>
        <v>#REF!</v>
      </c>
      <c r="K812" s="362" t="s">
        <v>3155</v>
      </c>
      <c r="L812" s="362">
        <f t="shared" si="501"/>
        <v>515.48250000000007</v>
      </c>
      <c r="M812" s="64"/>
      <c r="N812" s="65" t="e">
        <f>IF(B812&lt;&gt;0,VLOOKUP(B812,#REF!,2,FALSE),"")</f>
        <v>#REF!</v>
      </c>
      <c r="AY812" s="221"/>
      <c r="AZ812" s="481"/>
      <c r="BA812" s="481"/>
      <c r="BB812" s="481"/>
      <c r="BC812" s="481"/>
      <c r="BD812" s="163">
        <f t="shared" si="508"/>
        <v>574.25</v>
      </c>
      <c r="BE812" s="163">
        <f t="shared" si="506"/>
        <v>728.21</v>
      </c>
      <c r="BF812" s="163">
        <f t="shared" si="514"/>
        <v>728.21</v>
      </c>
    </row>
    <row r="813" spans="1:58" s="62" customFormat="1" ht="45">
      <c r="A813" s="41" t="s">
        <v>3669</v>
      </c>
      <c r="B813" s="24">
        <v>1570</v>
      </c>
      <c r="C813" s="470" t="s">
        <v>3757</v>
      </c>
      <c r="D813" s="25" t="s">
        <v>12</v>
      </c>
      <c r="E813" s="25" t="s">
        <v>17</v>
      </c>
      <c r="F813" s="26">
        <v>68</v>
      </c>
      <c r="G813" s="26">
        <f t="shared" si="500"/>
        <v>0.77350000000000008</v>
      </c>
      <c r="H813" s="26">
        <f t="shared" si="512"/>
        <v>0.98</v>
      </c>
      <c r="I813" s="26">
        <f t="shared" ref="I813:I815" si="518">ROUND(H813*F813,2)</f>
        <v>66.64</v>
      </c>
      <c r="J813" s="64" t="e">
        <f>IF(B813&lt;&gt;0,VLOOKUP(B813,#REF!,4,FALSE),"")</f>
        <v>#REF!</v>
      </c>
      <c r="K813" s="362" t="s">
        <v>1859</v>
      </c>
      <c r="L813" s="362">
        <f t="shared" si="501"/>
        <v>52.598000000000006</v>
      </c>
      <c r="M813" s="64"/>
      <c r="N813" s="65" t="e">
        <f>IF(B813&lt;&gt;0,VLOOKUP(B813,#REF!,2,FALSE),"")</f>
        <v>#REF!</v>
      </c>
      <c r="AY813" s="221"/>
      <c r="AZ813" s="481"/>
      <c r="BA813" s="481"/>
      <c r="BB813" s="481"/>
      <c r="BC813" s="481"/>
      <c r="BD813" s="163">
        <f t="shared" si="508"/>
        <v>0.86</v>
      </c>
      <c r="BE813" s="163">
        <f t="shared" si="506"/>
        <v>1.0900000000000001</v>
      </c>
      <c r="BF813" s="163">
        <f t="shared" si="514"/>
        <v>74.12</v>
      </c>
    </row>
    <row r="814" spans="1:58" s="62" customFormat="1" ht="45">
      <c r="A814" s="41" t="s">
        <v>3670</v>
      </c>
      <c r="B814" s="24">
        <v>1571</v>
      </c>
      <c r="C814" s="470" t="s">
        <v>3760</v>
      </c>
      <c r="D814" s="25" t="s">
        <v>12</v>
      </c>
      <c r="E814" s="25" t="s">
        <v>17</v>
      </c>
      <c r="F814" s="26">
        <v>80</v>
      </c>
      <c r="G814" s="26">
        <f t="shared" si="500"/>
        <v>1.0114999999999998</v>
      </c>
      <c r="H814" s="26">
        <f t="shared" si="512"/>
        <v>1.28</v>
      </c>
      <c r="I814" s="26">
        <f t="shared" si="518"/>
        <v>102.4</v>
      </c>
      <c r="J814" s="64" t="e">
        <f>IF(B814&lt;&gt;0,VLOOKUP(B814,#REF!,4,FALSE),"")</f>
        <v>#REF!</v>
      </c>
      <c r="K814" s="362" t="s">
        <v>1844</v>
      </c>
      <c r="L814" s="362">
        <f t="shared" si="501"/>
        <v>80.919999999999987</v>
      </c>
      <c r="M814" s="64"/>
      <c r="N814" s="65" t="e">
        <f>IF(B814&lt;&gt;0,VLOOKUP(B814,#REF!,2,FALSE),"")</f>
        <v>#REF!</v>
      </c>
      <c r="AY814" s="221"/>
      <c r="AZ814" s="481"/>
      <c r="BA814" s="481"/>
      <c r="BB814" s="481"/>
      <c r="BC814" s="481"/>
      <c r="BD814" s="163">
        <f t="shared" si="508"/>
        <v>1.1299999999999999</v>
      </c>
      <c r="BE814" s="163">
        <f t="shared" si="506"/>
        <v>1.43</v>
      </c>
      <c r="BF814" s="163">
        <f t="shared" si="514"/>
        <v>114.4</v>
      </c>
    </row>
    <row r="815" spans="1:58" s="62" customFormat="1" ht="45">
      <c r="A815" s="41" t="s">
        <v>3671</v>
      </c>
      <c r="B815" s="24">
        <v>1573</v>
      </c>
      <c r="C815" s="470" t="s">
        <v>3758</v>
      </c>
      <c r="D815" s="25" t="s">
        <v>12</v>
      </c>
      <c r="E815" s="25" t="s">
        <v>17</v>
      </c>
      <c r="F815" s="26">
        <v>22</v>
      </c>
      <c r="G815" s="26">
        <f t="shared" si="500"/>
        <v>1.1984999999999999</v>
      </c>
      <c r="H815" s="26">
        <f t="shared" si="512"/>
        <v>1.52</v>
      </c>
      <c r="I815" s="26">
        <f t="shared" si="518"/>
        <v>33.44</v>
      </c>
      <c r="J815" s="64" t="e">
        <f>IF(B815&lt;&gt;0,VLOOKUP(B815,#REF!,4,FALSE),"")</f>
        <v>#REF!</v>
      </c>
      <c r="K815" s="362" t="s">
        <v>3191</v>
      </c>
      <c r="L815" s="362">
        <f t="shared" si="501"/>
        <v>26.366999999999997</v>
      </c>
      <c r="M815" s="64"/>
      <c r="N815" s="65" t="e">
        <f>IF(B815&lt;&gt;0,VLOOKUP(B815,#REF!,2,FALSE),"")</f>
        <v>#REF!</v>
      </c>
      <c r="AY815" s="221"/>
      <c r="AZ815" s="481"/>
      <c r="BA815" s="481"/>
      <c r="BB815" s="481"/>
      <c r="BC815" s="481"/>
      <c r="BD815" s="163">
        <f t="shared" si="508"/>
        <v>1.34</v>
      </c>
      <c r="BE815" s="163">
        <f t="shared" si="506"/>
        <v>1.7</v>
      </c>
      <c r="BF815" s="163">
        <f t="shared" si="514"/>
        <v>37.4</v>
      </c>
    </row>
    <row r="816" spans="1:58" s="62" customFormat="1" ht="45">
      <c r="A816" s="41" t="s">
        <v>3672</v>
      </c>
      <c r="B816" s="24">
        <v>1578</v>
      </c>
      <c r="C816" s="470" t="s">
        <v>3752</v>
      </c>
      <c r="D816" s="25" t="s">
        <v>12</v>
      </c>
      <c r="E816" s="25" t="s">
        <v>17</v>
      </c>
      <c r="F816" s="26">
        <v>1</v>
      </c>
      <c r="G816" s="26">
        <f t="shared" si="500"/>
        <v>4.1820000000000004</v>
      </c>
      <c r="H816" s="26">
        <f t="shared" si="512"/>
        <v>5.3</v>
      </c>
      <c r="I816" s="26">
        <f t="shared" ref="I816" si="519">ROUND(H816*F816,2)</f>
        <v>5.3</v>
      </c>
      <c r="J816" s="64" t="e">
        <f>IF(B816&lt;&gt;0,VLOOKUP(B816,#REF!,4,FALSE),"")</f>
        <v>#REF!</v>
      </c>
      <c r="K816" s="362" t="s">
        <v>3144</v>
      </c>
      <c r="L816" s="362">
        <f t="shared" si="501"/>
        <v>4.1820000000000004</v>
      </c>
      <c r="M816" s="64"/>
      <c r="N816" s="65" t="e">
        <f>IF(B816&lt;&gt;0,VLOOKUP(B816,#REF!,2,FALSE),"")</f>
        <v>#REF!</v>
      </c>
      <c r="AY816" s="221"/>
      <c r="AZ816" s="481"/>
      <c r="BA816" s="481"/>
      <c r="BB816" s="481"/>
      <c r="BC816" s="481"/>
      <c r="BD816" s="163">
        <f t="shared" si="508"/>
        <v>4.66</v>
      </c>
      <c r="BE816" s="163">
        <f t="shared" si="506"/>
        <v>5.91</v>
      </c>
      <c r="BF816" s="163">
        <f t="shared" si="514"/>
        <v>5.91</v>
      </c>
    </row>
    <row r="817" spans="1:58" s="62" customFormat="1" ht="45">
      <c r="A817" s="41" t="s">
        <v>3673</v>
      </c>
      <c r="B817" s="24">
        <v>1580</v>
      </c>
      <c r="C817" s="470" t="s">
        <v>3763</v>
      </c>
      <c r="D817" s="25" t="s">
        <v>12</v>
      </c>
      <c r="E817" s="25" t="s">
        <v>17</v>
      </c>
      <c r="F817" s="26">
        <v>10</v>
      </c>
      <c r="G817" s="26">
        <f t="shared" si="500"/>
        <v>6.4175000000000004</v>
      </c>
      <c r="H817" s="26">
        <f t="shared" si="512"/>
        <v>8.14</v>
      </c>
      <c r="I817" s="26">
        <f t="shared" ref="I817" si="520">ROUND(H817*F817,2)</f>
        <v>81.400000000000006</v>
      </c>
      <c r="J817" s="64" t="e">
        <f>IF(B817&lt;&gt;0,VLOOKUP(B817,#REF!,4,FALSE),"")</f>
        <v>#REF!</v>
      </c>
      <c r="K817" s="362" t="s">
        <v>3158</v>
      </c>
      <c r="L817" s="362">
        <f t="shared" si="501"/>
        <v>64.175000000000011</v>
      </c>
      <c r="M817" s="64"/>
      <c r="N817" s="65" t="e">
        <f>IF(B817&lt;&gt;0,VLOOKUP(B817,#REF!,2,FALSE),"")</f>
        <v>#REF!</v>
      </c>
      <c r="AY817" s="221"/>
      <c r="AZ817" s="481"/>
      <c r="BA817" s="481"/>
      <c r="BB817" s="481"/>
      <c r="BC817" s="481"/>
      <c r="BD817" s="163">
        <f t="shared" si="508"/>
        <v>7.15</v>
      </c>
      <c r="BE817" s="163">
        <f t="shared" si="506"/>
        <v>9.07</v>
      </c>
      <c r="BF817" s="163">
        <f t="shared" si="514"/>
        <v>90.7</v>
      </c>
    </row>
    <row r="818" spans="1:58" s="62" customFormat="1" ht="45">
      <c r="A818" s="23" t="s">
        <v>1270</v>
      </c>
      <c r="B818" s="24">
        <v>91930</v>
      </c>
      <c r="C818" s="23" t="s">
        <v>1731</v>
      </c>
      <c r="D818" s="25" t="s">
        <v>12</v>
      </c>
      <c r="E818" s="25" t="s">
        <v>52</v>
      </c>
      <c r="F818" s="26">
        <v>2</v>
      </c>
      <c r="G818" s="26">
        <f t="shared" si="500"/>
        <v>7.0379999999999994</v>
      </c>
      <c r="H818" s="26">
        <f t="shared" si="512"/>
        <v>8.92</v>
      </c>
      <c r="I818" s="26">
        <f t="shared" ref="I818" si="521">ROUND(H818*F818,2)</f>
        <v>17.84</v>
      </c>
      <c r="J818" s="64" t="e">
        <f>IF(B818&lt;&gt;0,VLOOKUP(B818,#REF!,4,FALSE),"")</f>
        <v>#REF!</v>
      </c>
      <c r="K818" s="362" t="s">
        <v>3113</v>
      </c>
      <c r="L818" s="362">
        <f t="shared" si="501"/>
        <v>14.075999999999999</v>
      </c>
      <c r="M818" s="64"/>
      <c r="N818" s="65" t="e">
        <f>IF(B818&lt;&gt;0,VLOOKUP(B818,#REF!,2,FALSE),"")</f>
        <v>#REF!</v>
      </c>
      <c r="AY818" s="221"/>
      <c r="AZ818" s="481"/>
      <c r="BA818" s="481"/>
      <c r="BB818" s="481"/>
      <c r="BC818" s="481"/>
      <c r="BD818" s="163">
        <f t="shared" si="508"/>
        <v>7.84</v>
      </c>
      <c r="BE818" s="163">
        <f t="shared" si="506"/>
        <v>9.94</v>
      </c>
      <c r="BF818" s="163">
        <f t="shared" si="514"/>
        <v>19.88</v>
      </c>
    </row>
    <row r="819" spans="1:58" s="62" customFormat="1" ht="15" customHeight="1">
      <c r="A819" s="356" t="s">
        <v>1271</v>
      </c>
      <c r="B819" s="356"/>
      <c r="C819" s="356" t="s">
        <v>271</v>
      </c>
      <c r="D819" s="357"/>
      <c r="E819" s="357"/>
      <c r="F819" s="357"/>
      <c r="G819" s="26"/>
      <c r="H819" s="357"/>
      <c r="I819" s="96"/>
      <c r="J819" s="65"/>
      <c r="K819" s="362"/>
      <c r="L819" s="362">
        <f t="shared" si="501"/>
        <v>0</v>
      </c>
      <c r="M819" s="65"/>
      <c r="N819" s="65"/>
      <c r="AY819" s="221"/>
      <c r="AZ819" s="481"/>
      <c r="BA819" s="481"/>
      <c r="BB819" s="481"/>
      <c r="BC819" s="481"/>
      <c r="BD819" s="163"/>
      <c r="BE819" s="163"/>
      <c r="BF819" s="163"/>
    </row>
    <row r="820" spans="1:58" s="62" customFormat="1" ht="75">
      <c r="A820" s="41" t="s">
        <v>3674</v>
      </c>
      <c r="B820" s="24">
        <v>101878</v>
      </c>
      <c r="C820" s="470" t="s">
        <v>3764</v>
      </c>
      <c r="D820" s="25" t="s">
        <v>12</v>
      </c>
      <c r="E820" s="25" t="s">
        <v>17</v>
      </c>
      <c r="F820" s="26">
        <v>1</v>
      </c>
      <c r="G820" s="26">
        <f t="shared" si="500"/>
        <v>428.91849999999999</v>
      </c>
      <c r="H820" s="26">
        <f t="shared" ref="H820:H833" si="522">ROUND(G820*(1+$J$14),2)</f>
        <v>543.91</v>
      </c>
      <c r="I820" s="26">
        <f t="shared" ref="I820" si="523">ROUND(H820*F820,2)</f>
        <v>543.91</v>
      </c>
      <c r="J820" s="64" t="e">
        <f>IF(B820&lt;&gt;0,VLOOKUP(B820,#REF!,4,FALSE),"")</f>
        <v>#REF!</v>
      </c>
      <c r="K820" s="362" t="s">
        <v>3249</v>
      </c>
      <c r="L820" s="362">
        <f t="shared" si="501"/>
        <v>428.91849999999999</v>
      </c>
      <c r="M820" s="64"/>
      <c r="N820" s="65" t="e">
        <f>IF(B820&lt;&gt;0,VLOOKUP(B820,#REF!,2,FALSE),"")</f>
        <v>#REF!</v>
      </c>
      <c r="AY820" s="221"/>
      <c r="AZ820" s="481"/>
      <c r="BA820" s="481"/>
      <c r="BB820" s="481"/>
      <c r="BC820" s="481"/>
      <c r="BD820" s="163">
        <f t="shared" si="508"/>
        <v>477.82</v>
      </c>
      <c r="BE820" s="163">
        <f t="shared" si="506"/>
        <v>605.91999999999996</v>
      </c>
      <c r="BF820" s="163">
        <f t="shared" ref="BF820:BF833" si="524">ROUND(BE820*F820,2)</f>
        <v>605.91999999999996</v>
      </c>
    </row>
    <row r="821" spans="1:58" s="62" customFormat="1" ht="30">
      <c r="A821" s="23" t="s">
        <v>1272</v>
      </c>
      <c r="B821" s="24">
        <f>B808</f>
        <v>9041</v>
      </c>
      <c r="C821" s="42" t="str">
        <f>C808</f>
        <v>DISPOSITIVO DE PROTEÇÃO CONTRA SURTO DE TENSÃO DPS 60KA - 275V</v>
      </c>
      <c r="D821" s="25" t="s">
        <v>44</v>
      </c>
      <c r="E821" s="25" t="s">
        <v>17</v>
      </c>
      <c r="F821" s="26">
        <v>4</v>
      </c>
      <c r="G821" s="26">
        <f t="shared" si="500"/>
        <v>97.393000000000001</v>
      </c>
      <c r="H821" s="26">
        <f t="shared" si="522"/>
        <v>123.5</v>
      </c>
      <c r="I821" s="26">
        <f t="shared" ref="I821" si="525">ROUND(H821*F821,2)</f>
        <v>494</v>
      </c>
      <c r="J821" s="64">
        <f>J808</f>
        <v>97.39</v>
      </c>
      <c r="K821" s="362">
        <v>114.58</v>
      </c>
      <c r="L821" s="362">
        <f t="shared" si="501"/>
        <v>389.572</v>
      </c>
      <c r="M821" s="64"/>
      <c r="N821" s="65"/>
      <c r="AY821" s="221"/>
      <c r="AZ821" s="481"/>
      <c r="BA821" s="481"/>
      <c r="BB821" s="481"/>
      <c r="BC821" s="481"/>
      <c r="BD821" s="163">
        <f t="shared" si="508"/>
        <v>108.5</v>
      </c>
      <c r="BE821" s="163">
        <f t="shared" si="506"/>
        <v>137.59</v>
      </c>
      <c r="BF821" s="163">
        <f t="shared" si="524"/>
        <v>550.36</v>
      </c>
    </row>
    <row r="822" spans="1:58" s="62" customFormat="1" ht="30">
      <c r="A822" s="23" t="s">
        <v>1273</v>
      </c>
      <c r="B822" s="24">
        <v>93669</v>
      </c>
      <c r="C822" s="23" t="s">
        <v>1732</v>
      </c>
      <c r="D822" s="25" t="s">
        <v>12</v>
      </c>
      <c r="E822" s="25" t="s">
        <v>17</v>
      </c>
      <c r="F822" s="26">
        <v>4</v>
      </c>
      <c r="G822" s="26">
        <f t="shared" si="500"/>
        <v>61.429499999999997</v>
      </c>
      <c r="H822" s="26">
        <f t="shared" si="522"/>
        <v>77.900000000000006</v>
      </c>
      <c r="I822" s="26">
        <f t="shared" ref="I822:I823" si="526">ROUND(H822*F822,2)</f>
        <v>311.60000000000002</v>
      </c>
      <c r="J822" s="64" t="e">
        <f>IF(B822&lt;&gt;0,VLOOKUP(B822,#REF!,4,FALSE),"")</f>
        <v>#REF!</v>
      </c>
      <c r="K822" s="362" t="s">
        <v>3245</v>
      </c>
      <c r="L822" s="362">
        <f t="shared" si="501"/>
        <v>245.71799999999999</v>
      </c>
      <c r="M822" s="64"/>
      <c r="N822" s="65" t="e">
        <f>IF(B822&lt;&gt;0,VLOOKUP(B822,#REF!,2,FALSE),"")</f>
        <v>#REF!</v>
      </c>
      <c r="AY822" s="221"/>
      <c r="AZ822" s="481"/>
      <c r="BA822" s="481"/>
      <c r="BB822" s="481"/>
      <c r="BC822" s="481"/>
      <c r="BD822" s="163">
        <f t="shared" si="508"/>
        <v>68.430000000000007</v>
      </c>
      <c r="BE822" s="163">
        <f t="shared" si="506"/>
        <v>86.78</v>
      </c>
      <c r="BF822" s="163">
        <f t="shared" si="524"/>
        <v>347.12</v>
      </c>
    </row>
    <row r="823" spans="1:58" s="62" customFormat="1" ht="45">
      <c r="A823" s="41" t="s">
        <v>3675</v>
      </c>
      <c r="B823" s="24">
        <v>101895</v>
      </c>
      <c r="C823" s="470" t="s">
        <v>3759</v>
      </c>
      <c r="D823" s="25" t="s">
        <v>12</v>
      </c>
      <c r="E823" s="25" t="s">
        <v>17</v>
      </c>
      <c r="F823" s="26">
        <v>2</v>
      </c>
      <c r="G823" s="26">
        <f t="shared" si="500"/>
        <v>337.58600000000001</v>
      </c>
      <c r="H823" s="26">
        <f t="shared" si="522"/>
        <v>428.09</v>
      </c>
      <c r="I823" s="26">
        <f t="shared" si="526"/>
        <v>856.18</v>
      </c>
      <c r="J823" s="64" t="e">
        <f>IF(B823&lt;&gt;0,VLOOKUP(B823,#REF!,4,FALSE),"")</f>
        <v>#REF!</v>
      </c>
      <c r="K823" s="362" t="s">
        <v>3254</v>
      </c>
      <c r="L823" s="362">
        <f t="shared" si="501"/>
        <v>675.17200000000003</v>
      </c>
      <c r="M823" s="64"/>
      <c r="N823" s="65" t="e">
        <f>IF(B823&lt;&gt;0,VLOOKUP(B823,#REF!,2,FALSE),"")</f>
        <v>#REF!</v>
      </c>
      <c r="AY823" s="221"/>
      <c r="AZ823" s="481"/>
      <c r="BA823" s="481"/>
      <c r="BB823" s="481"/>
      <c r="BC823" s="481"/>
      <c r="BD823" s="163">
        <f t="shared" si="508"/>
        <v>376.07</v>
      </c>
      <c r="BE823" s="163">
        <f t="shared" si="506"/>
        <v>476.89</v>
      </c>
      <c r="BF823" s="163">
        <f t="shared" si="524"/>
        <v>953.78</v>
      </c>
    </row>
    <row r="824" spans="1:58" s="62" customFormat="1" ht="45">
      <c r="A824" s="41" t="s">
        <v>3676</v>
      </c>
      <c r="B824" s="24">
        <v>101896</v>
      </c>
      <c r="C824" s="470" t="s">
        <v>3762</v>
      </c>
      <c r="D824" s="25" t="s">
        <v>12</v>
      </c>
      <c r="E824" s="25" t="s">
        <v>17</v>
      </c>
      <c r="F824" s="26">
        <v>1</v>
      </c>
      <c r="G824" s="26">
        <f t="shared" si="500"/>
        <v>515.48250000000007</v>
      </c>
      <c r="H824" s="26">
        <f t="shared" si="522"/>
        <v>653.67999999999995</v>
      </c>
      <c r="I824" s="26">
        <f t="shared" ref="I824" si="527">ROUND(H824*F824,2)</f>
        <v>653.67999999999995</v>
      </c>
      <c r="J824" s="64" t="e">
        <f>IF(B824&lt;&gt;0,VLOOKUP(B824,#REF!,4,FALSE),"")</f>
        <v>#REF!</v>
      </c>
      <c r="K824" s="362" t="s">
        <v>3155</v>
      </c>
      <c r="L824" s="362">
        <f t="shared" si="501"/>
        <v>515.48250000000007</v>
      </c>
      <c r="M824" s="64"/>
      <c r="N824" s="65" t="e">
        <f>IF(B824&lt;&gt;0,VLOOKUP(B824,#REF!,2,FALSE),"")</f>
        <v>#REF!</v>
      </c>
      <c r="AY824" s="221"/>
      <c r="AZ824" s="481"/>
      <c r="BA824" s="481"/>
      <c r="BB824" s="481"/>
      <c r="BC824" s="481"/>
      <c r="BD824" s="163">
        <f t="shared" si="508"/>
        <v>574.25</v>
      </c>
      <c r="BE824" s="163">
        <f t="shared" si="506"/>
        <v>728.21</v>
      </c>
      <c r="BF824" s="163">
        <f t="shared" si="524"/>
        <v>728.21</v>
      </c>
    </row>
    <row r="825" spans="1:58" s="62" customFormat="1" ht="45">
      <c r="A825" s="41" t="s">
        <v>3677</v>
      </c>
      <c r="B825" s="24">
        <v>1571</v>
      </c>
      <c r="C825" s="470" t="s">
        <v>3760</v>
      </c>
      <c r="D825" s="25" t="s">
        <v>12</v>
      </c>
      <c r="E825" s="25" t="s">
        <v>17</v>
      </c>
      <c r="F825" s="26">
        <v>8</v>
      </c>
      <c r="G825" s="26">
        <f t="shared" si="500"/>
        <v>1.0114999999999998</v>
      </c>
      <c r="H825" s="26">
        <f t="shared" si="522"/>
        <v>1.28</v>
      </c>
      <c r="I825" s="26">
        <f t="shared" ref="I825:I833" si="528">ROUND(H825*F825,2)</f>
        <v>10.24</v>
      </c>
      <c r="J825" s="64" t="e">
        <f>IF(B825&lt;&gt;0,VLOOKUP(B825,#REF!,4,FALSE),"")</f>
        <v>#REF!</v>
      </c>
      <c r="K825" s="362" t="s">
        <v>1844</v>
      </c>
      <c r="L825" s="362">
        <f t="shared" si="501"/>
        <v>8.0919999999999987</v>
      </c>
      <c r="M825" s="64"/>
      <c r="N825" s="65" t="e">
        <f>IF(B825&lt;&gt;0,VLOOKUP(B825,#REF!,2,FALSE),"")</f>
        <v>#REF!</v>
      </c>
      <c r="AY825" s="221"/>
      <c r="AZ825" s="481"/>
      <c r="BA825" s="481"/>
      <c r="BB825" s="481"/>
      <c r="BC825" s="481"/>
      <c r="BD825" s="163">
        <f t="shared" si="508"/>
        <v>1.1299999999999999</v>
      </c>
      <c r="BE825" s="163">
        <f t="shared" si="506"/>
        <v>1.43</v>
      </c>
      <c r="BF825" s="163">
        <f t="shared" si="524"/>
        <v>11.44</v>
      </c>
    </row>
    <row r="826" spans="1:58" s="62" customFormat="1" ht="45">
      <c r="A826" s="41" t="s">
        <v>3678</v>
      </c>
      <c r="B826" s="24">
        <v>1573</v>
      </c>
      <c r="C826" s="470" t="s">
        <v>3758</v>
      </c>
      <c r="D826" s="25" t="s">
        <v>12</v>
      </c>
      <c r="E826" s="25" t="s">
        <v>17</v>
      </c>
      <c r="F826" s="26">
        <v>22</v>
      </c>
      <c r="G826" s="26">
        <f t="shared" si="500"/>
        <v>1.1984999999999999</v>
      </c>
      <c r="H826" s="26">
        <f t="shared" si="522"/>
        <v>1.52</v>
      </c>
      <c r="I826" s="26">
        <f t="shared" si="528"/>
        <v>33.44</v>
      </c>
      <c r="J826" s="64" t="e">
        <f>IF(B826&lt;&gt;0,VLOOKUP(B826,#REF!,4,FALSE),"")</f>
        <v>#REF!</v>
      </c>
      <c r="K826" s="362" t="s">
        <v>3191</v>
      </c>
      <c r="L826" s="362">
        <f t="shared" si="501"/>
        <v>26.366999999999997</v>
      </c>
      <c r="M826" s="64"/>
      <c r="N826" s="65" t="e">
        <f>IF(B826&lt;&gt;0,VLOOKUP(B826,#REF!,2,FALSE),"")</f>
        <v>#REF!</v>
      </c>
      <c r="AY826" s="221"/>
      <c r="AZ826" s="481"/>
      <c r="BA826" s="481"/>
      <c r="BB826" s="481"/>
      <c r="BC826" s="481"/>
      <c r="BD826" s="163">
        <f t="shared" si="508"/>
        <v>1.34</v>
      </c>
      <c r="BE826" s="163">
        <f t="shared" si="506"/>
        <v>1.7</v>
      </c>
      <c r="BF826" s="163">
        <f t="shared" si="524"/>
        <v>37.4</v>
      </c>
    </row>
    <row r="827" spans="1:58" s="62" customFormat="1" ht="45">
      <c r="A827" s="41" t="s">
        <v>3679</v>
      </c>
      <c r="B827" s="24">
        <v>1575</v>
      </c>
      <c r="C827" s="470" t="s">
        <v>3765</v>
      </c>
      <c r="D827" s="25" t="s">
        <v>12</v>
      </c>
      <c r="E827" s="25" t="s">
        <v>17</v>
      </c>
      <c r="F827" s="26">
        <v>1</v>
      </c>
      <c r="G827" s="26">
        <f t="shared" si="500"/>
        <v>1.5470000000000002</v>
      </c>
      <c r="H827" s="26">
        <f t="shared" si="522"/>
        <v>1.96</v>
      </c>
      <c r="I827" s="26">
        <f t="shared" si="528"/>
        <v>1.96</v>
      </c>
      <c r="J827" s="64" t="e">
        <f>IF(B827&lt;&gt;0,VLOOKUP(B827,#REF!,4,FALSE),"")</f>
        <v>#REF!</v>
      </c>
      <c r="K827" s="362" t="s">
        <v>1862</v>
      </c>
      <c r="L827" s="362">
        <f t="shared" si="501"/>
        <v>1.5470000000000002</v>
      </c>
      <c r="M827" s="64"/>
      <c r="N827" s="65" t="e">
        <f>IF(B827&lt;&gt;0,VLOOKUP(B827,#REF!,2,FALSE),"")</f>
        <v>#REF!</v>
      </c>
      <c r="AY827" s="221"/>
      <c r="AZ827" s="481"/>
      <c r="BA827" s="481"/>
      <c r="BB827" s="481"/>
      <c r="BC827" s="481"/>
      <c r="BD827" s="163">
        <f t="shared" si="508"/>
        <v>1.72</v>
      </c>
      <c r="BE827" s="163">
        <f t="shared" si="506"/>
        <v>2.1800000000000002</v>
      </c>
      <c r="BF827" s="163">
        <f t="shared" si="524"/>
        <v>2.1800000000000002</v>
      </c>
    </row>
    <row r="828" spans="1:58" s="62" customFormat="1" ht="45">
      <c r="A828" s="41" t="s">
        <v>3680</v>
      </c>
      <c r="B828" s="24">
        <v>1576</v>
      </c>
      <c r="C828" s="470" t="s">
        <v>3766</v>
      </c>
      <c r="D828" s="25" t="s">
        <v>12</v>
      </c>
      <c r="E828" s="25" t="s">
        <v>17</v>
      </c>
      <c r="F828" s="26">
        <v>1</v>
      </c>
      <c r="G828" s="26">
        <f t="shared" si="500"/>
        <v>2.1334999999999997</v>
      </c>
      <c r="H828" s="26">
        <f t="shared" si="522"/>
        <v>2.71</v>
      </c>
      <c r="I828" s="26">
        <f t="shared" si="528"/>
        <v>2.71</v>
      </c>
      <c r="J828" s="64" t="e">
        <f>IF(B828&lt;&gt;0,VLOOKUP(B828,#REF!,4,FALSE),"")</f>
        <v>#REF!</v>
      </c>
      <c r="K828" s="362" t="s">
        <v>3142</v>
      </c>
      <c r="L828" s="362">
        <f t="shared" si="501"/>
        <v>2.1334999999999997</v>
      </c>
      <c r="M828" s="64"/>
      <c r="N828" s="65" t="e">
        <f>IF(B828&lt;&gt;0,VLOOKUP(B828,#REF!,2,FALSE),"")</f>
        <v>#REF!</v>
      </c>
      <c r="AY828" s="221"/>
      <c r="AZ828" s="481"/>
      <c r="BA828" s="481"/>
      <c r="BB828" s="481"/>
      <c r="BC828" s="481"/>
      <c r="BD828" s="163">
        <f t="shared" si="508"/>
        <v>2.38</v>
      </c>
      <c r="BE828" s="163">
        <f t="shared" si="506"/>
        <v>3.02</v>
      </c>
      <c r="BF828" s="163">
        <f t="shared" si="524"/>
        <v>3.02</v>
      </c>
    </row>
    <row r="829" spans="1:58" s="62" customFormat="1" ht="45">
      <c r="A829" s="41" t="s">
        <v>3681</v>
      </c>
      <c r="B829" s="24">
        <v>1577</v>
      </c>
      <c r="C829" s="470" t="s">
        <v>3753</v>
      </c>
      <c r="D829" s="25" t="s">
        <v>12</v>
      </c>
      <c r="E829" s="25" t="s">
        <v>17</v>
      </c>
      <c r="F829" s="26">
        <v>10</v>
      </c>
      <c r="G829" s="26">
        <f t="shared" si="500"/>
        <v>2.4055</v>
      </c>
      <c r="H829" s="26">
        <f t="shared" si="522"/>
        <v>3.05</v>
      </c>
      <c r="I829" s="26">
        <f t="shared" si="528"/>
        <v>30.5</v>
      </c>
      <c r="J829" s="64" t="e">
        <f>IF(B829&lt;&gt;0,VLOOKUP(B829,#REF!,4,FALSE),"")</f>
        <v>#REF!</v>
      </c>
      <c r="K829" s="362" t="s">
        <v>1895</v>
      </c>
      <c r="L829" s="362">
        <f t="shared" si="501"/>
        <v>24.055</v>
      </c>
      <c r="M829" s="64"/>
      <c r="N829" s="65" t="e">
        <f>IF(B829&lt;&gt;0,VLOOKUP(B829,#REF!,2,FALSE),"")</f>
        <v>#REF!</v>
      </c>
      <c r="AY829" s="221"/>
      <c r="AZ829" s="481"/>
      <c r="BA829" s="481"/>
      <c r="BB829" s="481"/>
      <c r="BC829" s="481"/>
      <c r="BD829" s="163">
        <f t="shared" si="508"/>
        <v>2.68</v>
      </c>
      <c r="BE829" s="163">
        <f t="shared" si="506"/>
        <v>3.4</v>
      </c>
      <c r="BF829" s="163">
        <f t="shared" si="524"/>
        <v>34</v>
      </c>
    </row>
    <row r="830" spans="1:58" s="62" customFormat="1" ht="45">
      <c r="A830" s="41" t="s">
        <v>3682</v>
      </c>
      <c r="B830" s="24">
        <v>1578</v>
      </c>
      <c r="C830" s="470" t="s">
        <v>3752</v>
      </c>
      <c r="D830" s="25" t="s">
        <v>12</v>
      </c>
      <c r="E830" s="25" t="s">
        <v>17</v>
      </c>
      <c r="F830" s="26">
        <v>10</v>
      </c>
      <c r="G830" s="26">
        <f t="shared" si="500"/>
        <v>4.1820000000000004</v>
      </c>
      <c r="H830" s="26">
        <f t="shared" si="522"/>
        <v>5.3</v>
      </c>
      <c r="I830" s="26">
        <f t="shared" si="528"/>
        <v>53</v>
      </c>
      <c r="J830" s="64" t="e">
        <f>IF(B830&lt;&gt;0,VLOOKUP(B830,#REF!,4,FALSE),"")</f>
        <v>#REF!</v>
      </c>
      <c r="K830" s="362" t="s">
        <v>3144</v>
      </c>
      <c r="L830" s="362">
        <f t="shared" si="501"/>
        <v>41.820000000000007</v>
      </c>
      <c r="M830" s="64"/>
      <c r="N830" s="65" t="e">
        <f>IF(B830&lt;&gt;0,VLOOKUP(B830,#REF!,2,FALSE),"")</f>
        <v>#REF!</v>
      </c>
      <c r="AY830" s="221"/>
      <c r="AZ830" s="481"/>
      <c r="BA830" s="481"/>
      <c r="BB830" s="481"/>
      <c r="BC830" s="481"/>
      <c r="BD830" s="163">
        <f t="shared" si="508"/>
        <v>4.66</v>
      </c>
      <c r="BE830" s="163">
        <f t="shared" si="506"/>
        <v>5.91</v>
      </c>
      <c r="BF830" s="163">
        <f t="shared" si="524"/>
        <v>59.1</v>
      </c>
    </row>
    <row r="831" spans="1:58" s="62" customFormat="1" ht="45">
      <c r="A831" s="41" t="s">
        <v>3683</v>
      </c>
      <c r="B831" s="24">
        <v>1579</v>
      </c>
      <c r="C831" s="470" t="s">
        <v>3761</v>
      </c>
      <c r="D831" s="25" t="s">
        <v>12</v>
      </c>
      <c r="E831" s="25" t="s">
        <v>17</v>
      </c>
      <c r="F831" s="26">
        <v>1</v>
      </c>
      <c r="G831" s="26">
        <f t="shared" si="500"/>
        <v>5.2104999999999997</v>
      </c>
      <c r="H831" s="26">
        <f t="shared" si="522"/>
        <v>6.61</v>
      </c>
      <c r="I831" s="26">
        <f t="shared" si="528"/>
        <v>6.61</v>
      </c>
      <c r="J831" s="64" t="e">
        <f>IF(B831&lt;&gt;0,VLOOKUP(B831,#REF!,4,FALSE),"")</f>
        <v>#REF!</v>
      </c>
      <c r="K831" s="362" t="s">
        <v>1847</v>
      </c>
      <c r="L831" s="362">
        <f t="shared" si="501"/>
        <v>5.2104999999999997</v>
      </c>
      <c r="M831" s="64"/>
      <c r="N831" s="65" t="e">
        <f>IF(B831&lt;&gt;0,VLOOKUP(B831,#REF!,2,FALSE),"")</f>
        <v>#REF!</v>
      </c>
      <c r="AY831" s="221"/>
      <c r="AZ831" s="481"/>
      <c r="BA831" s="481"/>
      <c r="BB831" s="481"/>
      <c r="BC831" s="481"/>
      <c r="BD831" s="163">
        <f t="shared" si="508"/>
        <v>5.8</v>
      </c>
      <c r="BE831" s="163">
        <f t="shared" si="506"/>
        <v>7.35</v>
      </c>
      <c r="BF831" s="163">
        <f t="shared" si="524"/>
        <v>7.35</v>
      </c>
    </row>
    <row r="832" spans="1:58" s="62" customFormat="1" ht="60">
      <c r="A832" s="41" t="s">
        <v>3684</v>
      </c>
      <c r="B832" s="24">
        <v>1581</v>
      </c>
      <c r="C832" s="470" t="s">
        <v>3767</v>
      </c>
      <c r="D832" s="25" t="s">
        <v>12</v>
      </c>
      <c r="E832" s="25" t="s">
        <v>17</v>
      </c>
      <c r="F832" s="26">
        <v>10</v>
      </c>
      <c r="G832" s="26">
        <f t="shared" si="500"/>
        <v>9.0269999999999992</v>
      </c>
      <c r="H832" s="26">
        <f t="shared" si="522"/>
        <v>11.45</v>
      </c>
      <c r="I832" s="26">
        <f t="shared" si="528"/>
        <v>114.5</v>
      </c>
      <c r="J832" s="64" t="e">
        <f>IF(B832&lt;&gt;0,VLOOKUP(B832,#REF!,4,FALSE),"")</f>
        <v>#REF!</v>
      </c>
      <c r="K832" s="362" t="s">
        <v>3148</v>
      </c>
      <c r="L832" s="362">
        <f t="shared" si="501"/>
        <v>90.27</v>
      </c>
      <c r="M832" s="64"/>
      <c r="N832" s="65" t="e">
        <f>IF(B832&lt;&gt;0,VLOOKUP(B832,#REF!,2,FALSE),"")</f>
        <v>#REF!</v>
      </c>
      <c r="AY832" s="221"/>
      <c r="AZ832" s="481"/>
      <c r="BA832" s="481"/>
      <c r="BB832" s="481"/>
      <c r="BC832" s="481"/>
      <c r="BD832" s="163">
        <f t="shared" si="508"/>
        <v>10.06</v>
      </c>
      <c r="BE832" s="163">
        <f t="shared" si="506"/>
        <v>12.76</v>
      </c>
      <c r="BF832" s="163">
        <f t="shared" si="524"/>
        <v>127.6</v>
      </c>
    </row>
    <row r="833" spans="1:58" s="62" customFormat="1" ht="45">
      <c r="A833" s="23" t="s">
        <v>1274</v>
      </c>
      <c r="B833" s="24">
        <v>91930</v>
      </c>
      <c r="C833" s="23" t="s">
        <v>1731</v>
      </c>
      <c r="D833" s="25" t="s">
        <v>12</v>
      </c>
      <c r="E833" s="25" t="s">
        <v>52</v>
      </c>
      <c r="F833" s="26">
        <v>2</v>
      </c>
      <c r="G833" s="26">
        <f t="shared" si="500"/>
        <v>7.0379999999999994</v>
      </c>
      <c r="H833" s="26">
        <f t="shared" si="522"/>
        <v>8.92</v>
      </c>
      <c r="I833" s="26">
        <f t="shared" si="528"/>
        <v>17.84</v>
      </c>
      <c r="J833" s="64" t="e">
        <f>IF(B833&lt;&gt;0,VLOOKUP(B833,#REF!,4,FALSE),"")</f>
        <v>#REF!</v>
      </c>
      <c r="K833" s="362" t="s">
        <v>3113</v>
      </c>
      <c r="L833" s="362">
        <f t="shared" si="501"/>
        <v>14.075999999999999</v>
      </c>
      <c r="M833" s="64"/>
      <c r="N833" s="65" t="e">
        <f>IF(B833&lt;&gt;0,VLOOKUP(B833,#REF!,2,FALSE),"")</f>
        <v>#REF!</v>
      </c>
      <c r="AY833" s="221"/>
      <c r="AZ833" s="481"/>
      <c r="BA833" s="481"/>
      <c r="BB833" s="481"/>
      <c r="BC833" s="481"/>
      <c r="BD833" s="163">
        <f t="shared" si="508"/>
        <v>7.84</v>
      </c>
      <c r="BE833" s="163">
        <f t="shared" si="506"/>
        <v>9.94</v>
      </c>
      <c r="BF833" s="163">
        <f t="shared" si="524"/>
        <v>19.88</v>
      </c>
    </row>
    <row r="834" spans="1:58" s="62" customFormat="1" ht="15" customHeight="1">
      <c r="A834" s="356" t="s">
        <v>1275</v>
      </c>
      <c r="B834" s="356"/>
      <c r="C834" s="356" t="s">
        <v>272</v>
      </c>
      <c r="D834" s="357"/>
      <c r="E834" s="357"/>
      <c r="F834" s="357"/>
      <c r="G834" s="26"/>
      <c r="H834" s="357"/>
      <c r="I834" s="96"/>
      <c r="J834" s="65"/>
      <c r="K834" s="362"/>
      <c r="L834" s="362">
        <f t="shared" si="501"/>
        <v>0</v>
      </c>
      <c r="M834" s="65"/>
      <c r="N834" s="65"/>
      <c r="AY834" s="221"/>
      <c r="AZ834" s="481"/>
      <c r="BA834" s="481"/>
      <c r="BB834" s="481"/>
      <c r="BC834" s="481"/>
      <c r="BD834" s="163"/>
      <c r="BE834" s="163"/>
      <c r="BF834" s="163"/>
    </row>
    <row r="835" spans="1:58" s="62" customFormat="1" ht="75">
      <c r="A835" s="41" t="s">
        <v>3686</v>
      </c>
      <c r="B835" s="24">
        <v>101878</v>
      </c>
      <c r="C835" s="470" t="s">
        <v>3764</v>
      </c>
      <c r="D835" s="25" t="s">
        <v>12</v>
      </c>
      <c r="E835" s="25" t="s">
        <v>17</v>
      </c>
      <c r="F835" s="26">
        <v>1</v>
      </c>
      <c r="G835" s="26">
        <f t="shared" si="500"/>
        <v>428.91849999999999</v>
      </c>
      <c r="H835" s="26">
        <f t="shared" ref="H835:H848" si="529">ROUND(G835*(1+$J$14),2)</f>
        <v>543.91</v>
      </c>
      <c r="I835" s="26">
        <f t="shared" ref="I835" si="530">ROUND(H835*F835,2)</f>
        <v>543.91</v>
      </c>
      <c r="J835" s="64" t="e">
        <f>IF(B835&lt;&gt;0,VLOOKUP(B835,#REF!,4,FALSE),"")</f>
        <v>#REF!</v>
      </c>
      <c r="K835" s="362" t="s">
        <v>3249</v>
      </c>
      <c r="L835" s="362">
        <f t="shared" si="501"/>
        <v>428.91849999999999</v>
      </c>
      <c r="M835" s="64"/>
      <c r="N835" s="65" t="e">
        <f>IF(B835&lt;&gt;0,VLOOKUP(B835,#REF!,2,FALSE),"")</f>
        <v>#REF!</v>
      </c>
      <c r="AY835" s="221"/>
      <c r="AZ835" s="481"/>
      <c r="BA835" s="481"/>
      <c r="BB835" s="481"/>
      <c r="BC835" s="481"/>
      <c r="BD835" s="163">
        <f t="shared" si="508"/>
        <v>477.82</v>
      </c>
      <c r="BE835" s="163">
        <f t="shared" si="506"/>
        <v>605.91999999999996</v>
      </c>
      <c r="BF835" s="163">
        <f t="shared" ref="BF835:BF848" si="531">ROUND(BE835*F835,2)</f>
        <v>605.91999999999996</v>
      </c>
    </row>
    <row r="836" spans="1:58" s="62" customFormat="1" ht="30">
      <c r="A836" s="23" t="s">
        <v>1276</v>
      </c>
      <c r="B836" s="24">
        <f>B821</f>
        <v>9041</v>
      </c>
      <c r="C836" s="42" t="str">
        <f>C821</f>
        <v>DISPOSITIVO DE PROTEÇÃO CONTRA SURTO DE TENSÃO DPS 60KA - 275V</v>
      </c>
      <c r="D836" s="25" t="s">
        <v>44</v>
      </c>
      <c r="E836" s="25" t="s">
        <v>17</v>
      </c>
      <c r="F836" s="26">
        <v>4</v>
      </c>
      <c r="G836" s="26">
        <f t="shared" si="500"/>
        <v>97.393000000000001</v>
      </c>
      <c r="H836" s="26">
        <f t="shared" si="529"/>
        <v>123.5</v>
      </c>
      <c r="I836" s="26">
        <f t="shared" ref="I836" si="532">ROUND(H836*F836,2)</f>
        <v>494</v>
      </c>
      <c r="J836" s="64">
        <f>J821</f>
        <v>97.39</v>
      </c>
      <c r="K836" s="362">
        <v>114.58</v>
      </c>
      <c r="L836" s="362">
        <f t="shared" si="501"/>
        <v>389.572</v>
      </c>
      <c r="M836" s="64"/>
      <c r="N836" s="65"/>
      <c r="AY836" s="221"/>
      <c r="AZ836" s="481"/>
      <c r="BA836" s="481"/>
      <c r="BB836" s="481"/>
      <c r="BC836" s="481"/>
      <c r="BD836" s="163">
        <f t="shared" si="508"/>
        <v>108.5</v>
      </c>
      <c r="BE836" s="163">
        <f t="shared" si="506"/>
        <v>137.59</v>
      </c>
      <c r="BF836" s="163">
        <f t="shared" si="531"/>
        <v>550.36</v>
      </c>
    </row>
    <row r="837" spans="1:58" s="62" customFormat="1" ht="30">
      <c r="A837" s="23" t="s">
        <v>1277</v>
      </c>
      <c r="B837" s="24">
        <v>93669</v>
      </c>
      <c r="C837" s="23" t="s">
        <v>1732</v>
      </c>
      <c r="D837" s="25" t="s">
        <v>12</v>
      </c>
      <c r="E837" s="25" t="s">
        <v>17</v>
      </c>
      <c r="F837" s="26">
        <v>4</v>
      </c>
      <c r="G837" s="26">
        <f t="shared" si="500"/>
        <v>61.429499999999997</v>
      </c>
      <c r="H837" s="26">
        <f t="shared" si="529"/>
        <v>77.900000000000006</v>
      </c>
      <c r="I837" s="26">
        <f t="shared" ref="I837" si="533">ROUND(H837*F837,2)</f>
        <v>311.60000000000002</v>
      </c>
      <c r="J837" s="64" t="e">
        <f>IF(B837&lt;&gt;0,VLOOKUP(B837,#REF!,4,FALSE),"")</f>
        <v>#REF!</v>
      </c>
      <c r="K837" s="362" t="s">
        <v>3245</v>
      </c>
      <c r="L837" s="362">
        <f t="shared" si="501"/>
        <v>245.71799999999999</v>
      </c>
      <c r="M837" s="64"/>
      <c r="N837" s="65" t="e">
        <f>IF(B837&lt;&gt;0,VLOOKUP(B837,#REF!,2,FALSE),"")</f>
        <v>#REF!</v>
      </c>
      <c r="AY837" s="221"/>
      <c r="AZ837" s="481"/>
      <c r="BA837" s="481"/>
      <c r="BB837" s="481"/>
      <c r="BC837" s="481"/>
      <c r="BD837" s="163">
        <f t="shared" si="508"/>
        <v>68.430000000000007</v>
      </c>
      <c r="BE837" s="163">
        <f t="shared" si="506"/>
        <v>86.78</v>
      </c>
      <c r="BF837" s="163">
        <f t="shared" si="531"/>
        <v>347.12</v>
      </c>
    </row>
    <row r="838" spans="1:58" s="62" customFormat="1" ht="45">
      <c r="A838" s="23" t="s">
        <v>1278</v>
      </c>
      <c r="B838" s="24">
        <v>101894</v>
      </c>
      <c r="C838" s="23" t="s">
        <v>273</v>
      </c>
      <c r="D838" s="25" t="s">
        <v>12</v>
      </c>
      <c r="E838" s="25" t="s">
        <v>17</v>
      </c>
      <c r="F838" s="26">
        <v>1</v>
      </c>
      <c r="G838" s="26">
        <f t="shared" si="500"/>
        <v>120.09649999999999</v>
      </c>
      <c r="H838" s="26">
        <f t="shared" si="529"/>
        <v>152.29</v>
      </c>
      <c r="I838" s="26">
        <f t="shared" ref="I838" si="534">ROUND(H838*F838,2)</f>
        <v>152.29</v>
      </c>
      <c r="J838" s="64" t="e">
        <f>IF(B838&lt;&gt;0,VLOOKUP(B838,#REF!,4,FALSE),"")</f>
        <v>#REF!</v>
      </c>
      <c r="K838" s="362" t="s">
        <v>3253</v>
      </c>
      <c r="L838" s="362">
        <f t="shared" si="501"/>
        <v>120.09649999999999</v>
      </c>
      <c r="M838" s="64"/>
      <c r="N838" s="65" t="e">
        <f>IF(B838&lt;&gt;0,VLOOKUP(B838,#REF!,2,FALSE),"")</f>
        <v>#REF!</v>
      </c>
      <c r="AY838" s="221"/>
      <c r="AZ838" s="481"/>
      <c r="BA838" s="481"/>
      <c r="BB838" s="481"/>
      <c r="BC838" s="481"/>
      <c r="BD838" s="163">
        <f t="shared" si="508"/>
        <v>133.79</v>
      </c>
      <c r="BE838" s="163">
        <f t="shared" si="506"/>
        <v>169.66</v>
      </c>
      <c r="BF838" s="163">
        <f t="shared" si="531"/>
        <v>169.66</v>
      </c>
    </row>
    <row r="839" spans="1:58" s="62" customFormat="1" ht="45">
      <c r="A839" s="41" t="s">
        <v>3687</v>
      </c>
      <c r="B839" s="24">
        <v>101895</v>
      </c>
      <c r="C839" s="470" t="s">
        <v>3759</v>
      </c>
      <c r="D839" s="25" t="s">
        <v>12</v>
      </c>
      <c r="E839" s="25" t="s">
        <v>17</v>
      </c>
      <c r="F839" s="26">
        <v>1</v>
      </c>
      <c r="G839" s="26">
        <f t="shared" si="500"/>
        <v>337.58600000000001</v>
      </c>
      <c r="H839" s="26">
        <f t="shared" si="529"/>
        <v>428.09</v>
      </c>
      <c r="I839" s="26">
        <f t="shared" ref="I839:I840" si="535">ROUND(H839*F839,2)</f>
        <v>428.09</v>
      </c>
      <c r="J839" s="64" t="e">
        <f>IF(B839&lt;&gt;0,VLOOKUP(B839,#REF!,4,FALSE),"")</f>
        <v>#REF!</v>
      </c>
      <c r="K839" s="362" t="s">
        <v>3254</v>
      </c>
      <c r="L839" s="362">
        <f t="shared" si="501"/>
        <v>337.58600000000001</v>
      </c>
      <c r="M839" s="64"/>
      <c r="N839" s="65" t="e">
        <f>IF(B839&lt;&gt;0,VLOOKUP(B839,#REF!,2,FALSE),"")</f>
        <v>#REF!</v>
      </c>
      <c r="AY839" s="221"/>
      <c r="AZ839" s="481"/>
      <c r="BA839" s="481"/>
      <c r="BB839" s="481"/>
      <c r="BC839" s="481"/>
      <c r="BD839" s="163">
        <f t="shared" si="508"/>
        <v>376.07</v>
      </c>
      <c r="BE839" s="163">
        <f t="shared" si="506"/>
        <v>476.89</v>
      </c>
      <c r="BF839" s="163">
        <f t="shared" si="531"/>
        <v>476.89</v>
      </c>
    </row>
    <row r="840" spans="1:58" s="62" customFormat="1" ht="45">
      <c r="A840" s="41" t="s">
        <v>3688</v>
      </c>
      <c r="B840" s="24">
        <v>101896</v>
      </c>
      <c r="C840" s="470" t="s">
        <v>3762</v>
      </c>
      <c r="D840" s="25" t="s">
        <v>12</v>
      </c>
      <c r="E840" s="25" t="s">
        <v>17</v>
      </c>
      <c r="F840" s="26">
        <v>1</v>
      </c>
      <c r="G840" s="26">
        <f t="shared" si="500"/>
        <v>515.48250000000007</v>
      </c>
      <c r="H840" s="26">
        <f t="shared" si="529"/>
        <v>653.67999999999995</v>
      </c>
      <c r="I840" s="26">
        <f t="shared" si="535"/>
        <v>653.67999999999995</v>
      </c>
      <c r="J840" s="64" t="e">
        <f>IF(B840&lt;&gt;0,VLOOKUP(B840,#REF!,4,FALSE),"")</f>
        <v>#REF!</v>
      </c>
      <c r="K840" s="362" t="s">
        <v>3155</v>
      </c>
      <c r="L840" s="362">
        <f t="shared" si="501"/>
        <v>515.48250000000007</v>
      </c>
      <c r="M840" s="64"/>
      <c r="N840" s="65" t="e">
        <f>IF(B840&lt;&gt;0,VLOOKUP(B840,#REF!,2,FALSE),"")</f>
        <v>#REF!</v>
      </c>
      <c r="AY840" s="221"/>
      <c r="AZ840" s="481"/>
      <c r="BA840" s="481"/>
      <c r="BB840" s="481"/>
      <c r="BC840" s="481"/>
      <c r="BD840" s="163">
        <f t="shared" si="508"/>
        <v>574.25</v>
      </c>
      <c r="BE840" s="163">
        <f t="shared" si="506"/>
        <v>728.21</v>
      </c>
      <c r="BF840" s="163">
        <f t="shared" si="531"/>
        <v>728.21</v>
      </c>
    </row>
    <row r="841" spans="1:58" s="62" customFormat="1" ht="45">
      <c r="A841" s="41" t="s">
        <v>3689</v>
      </c>
      <c r="B841" s="24">
        <v>1571</v>
      </c>
      <c r="C841" s="470" t="s">
        <v>3760</v>
      </c>
      <c r="D841" s="25" t="s">
        <v>12</v>
      </c>
      <c r="E841" s="25" t="s">
        <v>17</v>
      </c>
      <c r="F841" s="26">
        <v>8</v>
      </c>
      <c r="G841" s="26">
        <f t="shared" si="500"/>
        <v>1.0114999999999998</v>
      </c>
      <c r="H841" s="26">
        <f t="shared" si="529"/>
        <v>1.28</v>
      </c>
      <c r="I841" s="26">
        <f t="shared" ref="I841:I847" si="536">ROUND(H841*F841,2)</f>
        <v>10.24</v>
      </c>
      <c r="J841" s="64" t="e">
        <f>IF(B841&lt;&gt;0,VLOOKUP(B841,#REF!,4,FALSE),"")</f>
        <v>#REF!</v>
      </c>
      <c r="K841" s="362" t="s">
        <v>1844</v>
      </c>
      <c r="L841" s="362">
        <f t="shared" si="501"/>
        <v>8.0919999999999987</v>
      </c>
      <c r="M841" s="64"/>
      <c r="N841" s="65" t="e">
        <f>IF(B841&lt;&gt;0,VLOOKUP(B841,#REF!,2,FALSE),"")</f>
        <v>#REF!</v>
      </c>
      <c r="AY841" s="221"/>
      <c r="AZ841" s="481"/>
      <c r="BA841" s="481"/>
      <c r="BB841" s="481"/>
      <c r="BC841" s="481"/>
      <c r="BD841" s="163">
        <f t="shared" si="508"/>
        <v>1.1299999999999999</v>
      </c>
      <c r="BE841" s="163">
        <f t="shared" si="506"/>
        <v>1.43</v>
      </c>
      <c r="BF841" s="163">
        <f t="shared" si="531"/>
        <v>11.44</v>
      </c>
    </row>
    <row r="842" spans="1:58" s="62" customFormat="1" ht="45">
      <c r="A842" s="41" t="s">
        <v>3690</v>
      </c>
      <c r="B842" s="24">
        <v>1573</v>
      </c>
      <c r="C842" s="470" t="s">
        <v>3758</v>
      </c>
      <c r="D842" s="25" t="s">
        <v>12</v>
      </c>
      <c r="E842" s="25" t="s">
        <v>17</v>
      </c>
      <c r="F842" s="26">
        <v>22</v>
      </c>
      <c r="G842" s="26">
        <f t="shared" si="500"/>
        <v>1.1984999999999999</v>
      </c>
      <c r="H842" s="26">
        <f t="shared" si="529"/>
        <v>1.52</v>
      </c>
      <c r="I842" s="26">
        <f t="shared" si="536"/>
        <v>33.44</v>
      </c>
      <c r="J842" s="64" t="e">
        <f>IF(B842&lt;&gt;0,VLOOKUP(B842,#REF!,4,FALSE),"")</f>
        <v>#REF!</v>
      </c>
      <c r="K842" s="362" t="s">
        <v>3191</v>
      </c>
      <c r="L842" s="362">
        <f t="shared" si="501"/>
        <v>26.366999999999997</v>
      </c>
      <c r="M842" s="64"/>
      <c r="N842" s="65" t="e">
        <f>IF(B842&lt;&gt;0,VLOOKUP(B842,#REF!,2,FALSE),"")</f>
        <v>#REF!</v>
      </c>
      <c r="AY842" s="221"/>
      <c r="AZ842" s="481"/>
      <c r="BA842" s="481"/>
      <c r="BB842" s="481"/>
      <c r="BC842" s="481"/>
      <c r="BD842" s="163">
        <f t="shared" si="508"/>
        <v>1.34</v>
      </c>
      <c r="BE842" s="163">
        <f t="shared" si="506"/>
        <v>1.7</v>
      </c>
      <c r="BF842" s="163">
        <f t="shared" si="531"/>
        <v>37.4</v>
      </c>
    </row>
    <row r="843" spans="1:58" s="62" customFormat="1" ht="45">
      <c r="A843" s="41" t="s">
        <v>3691</v>
      </c>
      <c r="B843" s="24">
        <v>1575</v>
      </c>
      <c r="C843" s="470" t="s">
        <v>3765</v>
      </c>
      <c r="D843" s="25" t="s">
        <v>12</v>
      </c>
      <c r="E843" s="25" t="s">
        <v>17</v>
      </c>
      <c r="F843" s="26">
        <v>1</v>
      </c>
      <c r="G843" s="26">
        <f t="shared" si="500"/>
        <v>1.5470000000000002</v>
      </c>
      <c r="H843" s="26">
        <f t="shared" si="529"/>
        <v>1.96</v>
      </c>
      <c r="I843" s="26">
        <f t="shared" si="536"/>
        <v>1.96</v>
      </c>
      <c r="J843" s="64" t="e">
        <f>IF(B843&lt;&gt;0,VLOOKUP(B843,#REF!,4,FALSE),"")</f>
        <v>#REF!</v>
      </c>
      <c r="K843" s="362" t="s">
        <v>1862</v>
      </c>
      <c r="L843" s="362">
        <f t="shared" si="501"/>
        <v>1.5470000000000002</v>
      </c>
      <c r="M843" s="64"/>
      <c r="N843" s="65" t="e">
        <f>IF(B843&lt;&gt;0,VLOOKUP(B843,#REF!,2,FALSE),"")</f>
        <v>#REF!</v>
      </c>
      <c r="AY843" s="221"/>
      <c r="AZ843" s="481"/>
      <c r="BA843" s="481"/>
      <c r="BB843" s="481"/>
      <c r="BC843" s="481"/>
      <c r="BD843" s="163">
        <f t="shared" si="508"/>
        <v>1.72</v>
      </c>
      <c r="BE843" s="163">
        <f t="shared" si="506"/>
        <v>2.1800000000000002</v>
      </c>
      <c r="BF843" s="163">
        <f t="shared" si="531"/>
        <v>2.1800000000000002</v>
      </c>
    </row>
    <row r="844" spans="1:58" s="62" customFormat="1" ht="75">
      <c r="A844" s="41" t="s">
        <v>3692</v>
      </c>
      <c r="B844" s="24">
        <v>1576</v>
      </c>
      <c r="C844" s="470" t="s">
        <v>3566</v>
      </c>
      <c r="D844" s="25" t="s">
        <v>12</v>
      </c>
      <c r="E844" s="25" t="s">
        <v>17</v>
      </c>
      <c r="F844" s="26">
        <v>11</v>
      </c>
      <c r="G844" s="26">
        <f t="shared" si="500"/>
        <v>2.1334999999999997</v>
      </c>
      <c r="H844" s="26">
        <f t="shared" si="529"/>
        <v>2.71</v>
      </c>
      <c r="I844" s="26">
        <f t="shared" si="536"/>
        <v>29.81</v>
      </c>
      <c r="J844" s="64" t="e">
        <f>IF(B844&lt;&gt;0,VLOOKUP(B844,#REF!,4,FALSE),"")</f>
        <v>#REF!</v>
      </c>
      <c r="K844" s="362" t="s">
        <v>3142</v>
      </c>
      <c r="L844" s="362">
        <f t="shared" si="501"/>
        <v>23.468499999999999</v>
      </c>
      <c r="M844" s="64"/>
      <c r="N844" s="65" t="e">
        <f>IF(B844&lt;&gt;0,VLOOKUP(B844,#REF!,2,FALSE),"")</f>
        <v>#REF!</v>
      </c>
      <c r="AY844" s="221"/>
      <c r="AZ844" s="481"/>
      <c r="BA844" s="481"/>
      <c r="BB844" s="481"/>
      <c r="BC844" s="481"/>
      <c r="BD844" s="163">
        <f t="shared" si="508"/>
        <v>2.38</v>
      </c>
      <c r="BE844" s="163">
        <f t="shared" si="506"/>
        <v>3.02</v>
      </c>
      <c r="BF844" s="163">
        <f t="shared" si="531"/>
        <v>33.22</v>
      </c>
    </row>
    <row r="845" spans="1:58" s="62" customFormat="1" ht="75">
      <c r="A845" s="41" t="s">
        <v>3693</v>
      </c>
      <c r="B845" s="24">
        <v>1578</v>
      </c>
      <c r="C845" s="470" t="s">
        <v>3568</v>
      </c>
      <c r="D845" s="25" t="s">
        <v>12</v>
      </c>
      <c r="E845" s="25" t="s">
        <v>17</v>
      </c>
      <c r="F845" s="26">
        <v>10</v>
      </c>
      <c r="G845" s="26">
        <f t="shared" si="500"/>
        <v>4.1820000000000004</v>
      </c>
      <c r="H845" s="26">
        <f t="shared" si="529"/>
        <v>5.3</v>
      </c>
      <c r="I845" s="26">
        <f t="shared" si="536"/>
        <v>53</v>
      </c>
      <c r="J845" s="64" t="e">
        <f>IF(B845&lt;&gt;0,VLOOKUP(B845,#REF!,4,FALSE),"")</f>
        <v>#REF!</v>
      </c>
      <c r="K845" s="362" t="s">
        <v>3144</v>
      </c>
      <c r="L845" s="362">
        <f t="shared" si="501"/>
        <v>41.820000000000007</v>
      </c>
      <c r="M845" s="64"/>
      <c r="N845" s="65" t="e">
        <f>IF(B845&lt;&gt;0,VLOOKUP(B845,#REF!,2,FALSE),"")</f>
        <v>#REF!</v>
      </c>
      <c r="AY845" s="221"/>
      <c r="AZ845" s="481"/>
      <c r="BA845" s="481"/>
      <c r="BB845" s="481"/>
      <c r="BC845" s="481"/>
      <c r="BD845" s="163">
        <f t="shared" si="508"/>
        <v>4.66</v>
      </c>
      <c r="BE845" s="163">
        <f t="shared" si="506"/>
        <v>5.91</v>
      </c>
      <c r="BF845" s="163">
        <f t="shared" si="531"/>
        <v>59.1</v>
      </c>
    </row>
    <row r="846" spans="1:58" s="62" customFormat="1" ht="75">
      <c r="A846" s="41" t="s">
        <v>3694</v>
      </c>
      <c r="B846" s="24">
        <v>1579</v>
      </c>
      <c r="C846" s="470" t="s">
        <v>3624</v>
      </c>
      <c r="D846" s="25" t="s">
        <v>12</v>
      </c>
      <c r="E846" s="25" t="s">
        <v>17</v>
      </c>
      <c r="F846" s="26">
        <v>1</v>
      </c>
      <c r="G846" s="26">
        <f t="shared" si="500"/>
        <v>5.2104999999999997</v>
      </c>
      <c r="H846" s="26">
        <f t="shared" si="529"/>
        <v>6.61</v>
      </c>
      <c r="I846" s="26">
        <f t="shared" si="536"/>
        <v>6.61</v>
      </c>
      <c r="J846" s="64" t="e">
        <f>IF(B846&lt;&gt;0,VLOOKUP(B846,#REF!,4,FALSE),"")</f>
        <v>#REF!</v>
      </c>
      <c r="K846" s="362" t="s">
        <v>1847</v>
      </c>
      <c r="L846" s="362">
        <f t="shared" si="501"/>
        <v>5.2104999999999997</v>
      </c>
      <c r="M846" s="64"/>
      <c r="N846" s="65" t="e">
        <f>IF(B846&lt;&gt;0,VLOOKUP(B846,#REF!,2,FALSE),"")</f>
        <v>#REF!</v>
      </c>
      <c r="AY846" s="221"/>
      <c r="AZ846" s="481"/>
      <c r="BA846" s="481"/>
      <c r="BB846" s="481"/>
      <c r="BC846" s="481"/>
      <c r="BD846" s="163">
        <f t="shared" si="508"/>
        <v>5.8</v>
      </c>
      <c r="BE846" s="163">
        <f t="shared" si="506"/>
        <v>7.35</v>
      </c>
      <c r="BF846" s="163">
        <f t="shared" si="531"/>
        <v>7.35</v>
      </c>
    </row>
    <row r="847" spans="1:58" s="62" customFormat="1" ht="60">
      <c r="A847" s="41" t="s">
        <v>3695</v>
      </c>
      <c r="B847" s="24">
        <v>1581</v>
      </c>
      <c r="C847" s="470" t="s">
        <v>3685</v>
      </c>
      <c r="D847" s="25" t="s">
        <v>12</v>
      </c>
      <c r="E847" s="25" t="s">
        <v>17</v>
      </c>
      <c r="F847" s="26">
        <v>10</v>
      </c>
      <c r="G847" s="26">
        <f t="shared" si="500"/>
        <v>9.0269999999999992</v>
      </c>
      <c r="H847" s="26">
        <f t="shared" si="529"/>
        <v>11.45</v>
      </c>
      <c r="I847" s="26">
        <f t="shared" si="536"/>
        <v>114.5</v>
      </c>
      <c r="J847" s="64" t="e">
        <f>IF(B847&lt;&gt;0,VLOOKUP(B847,#REF!,4,FALSE),"")</f>
        <v>#REF!</v>
      </c>
      <c r="K847" s="362" t="s">
        <v>3148</v>
      </c>
      <c r="L847" s="362">
        <f t="shared" si="501"/>
        <v>90.27</v>
      </c>
      <c r="M847" s="64"/>
      <c r="N847" s="65" t="e">
        <f>IF(B847&lt;&gt;0,VLOOKUP(B847,#REF!,2,FALSE),"")</f>
        <v>#REF!</v>
      </c>
      <c r="AY847" s="221"/>
      <c r="AZ847" s="481"/>
      <c r="BA847" s="481"/>
      <c r="BB847" s="481"/>
      <c r="BC847" s="481"/>
      <c r="BD847" s="163">
        <f t="shared" si="508"/>
        <v>10.06</v>
      </c>
      <c r="BE847" s="163">
        <f t="shared" si="506"/>
        <v>12.76</v>
      </c>
      <c r="BF847" s="163">
        <f t="shared" si="531"/>
        <v>127.6</v>
      </c>
    </row>
    <row r="848" spans="1:58" s="62" customFormat="1" ht="45">
      <c r="A848" s="23" t="s">
        <v>1279</v>
      </c>
      <c r="B848" s="24">
        <v>91930</v>
      </c>
      <c r="C848" s="470" t="s">
        <v>1731</v>
      </c>
      <c r="D848" s="25" t="s">
        <v>12</v>
      </c>
      <c r="E848" s="25" t="s">
        <v>52</v>
      </c>
      <c r="F848" s="26">
        <v>2</v>
      </c>
      <c r="G848" s="26">
        <f t="shared" si="500"/>
        <v>7.0379999999999994</v>
      </c>
      <c r="H848" s="26">
        <f t="shared" si="529"/>
        <v>8.92</v>
      </c>
      <c r="I848" s="26">
        <f t="shared" ref="I848" si="537">ROUND(H848*F848,2)</f>
        <v>17.84</v>
      </c>
      <c r="J848" s="64" t="e">
        <f>IF(B848&lt;&gt;0,VLOOKUP(B848,#REF!,4,FALSE),"")</f>
        <v>#REF!</v>
      </c>
      <c r="K848" s="362" t="s">
        <v>3113</v>
      </c>
      <c r="L848" s="362">
        <f t="shared" si="501"/>
        <v>14.075999999999999</v>
      </c>
      <c r="M848" s="64"/>
      <c r="N848" s="65" t="e">
        <f>IF(B848&lt;&gt;0,VLOOKUP(B848,#REF!,2,FALSE),"")</f>
        <v>#REF!</v>
      </c>
      <c r="AY848" s="221"/>
      <c r="AZ848" s="481"/>
      <c r="BA848" s="481"/>
      <c r="BB848" s="481"/>
      <c r="BC848" s="481"/>
      <c r="BD848" s="163">
        <f t="shared" si="508"/>
        <v>7.84</v>
      </c>
      <c r="BE848" s="163">
        <f t="shared" si="506"/>
        <v>9.94</v>
      </c>
      <c r="BF848" s="163">
        <f t="shared" si="531"/>
        <v>19.88</v>
      </c>
    </row>
    <row r="849" spans="1:58" s="62" customFormat="1" ht="15" customHeight="1">
      <c r="A849" s="356" t="s">
        <v>1280</v>
      </c>
      <c r="B849" s="356"/>
      <c r="C849" s="356" t="s">
        <v>274</v>
      </c>
      <c r="D849" s="357"/>
      <c r="E849" s="357"/>
      <c r="F849" s="357"/>
      <c r="G849" s="26"/>
      <c r="H849" s="357"/>
      <c r="I849" s="96"/>
      <c r="J849" s="65"/>
      <c r="K849" s="362"/>
      <c r="L849" s="362">
        <f t="shared" si="501"/>
        <v>0</v>
      </c>
      <c r="M849" s="65"/>
      <c r="N849" s="65"/>
      <c r="AY849" s="221"/>
      <c r="AZ849" s="481"/>
      <c r="BA849" s="481"/>
      <c r="BB849" s="481"/>
      <c r="BC849" s="481"/>
      <c r="BD849" s="163"/>
      <c r="BE849" s="163"/>
      <c r="BF849" s="163"/>
    </row>
    <row r="850" spans="1:58" s="62" customFormat="1" ht="75">
      <c r="A850" s="41" t="s">
        <v>3696</v>
      </c>
      <c r="B850" s="24">
        <v>101878</v>
      </c>
      <c r="C850" s="470" t="s">
        <v>3764</v>
      </c>
      <c r="D850" s="25" t="s">
        <v>12</v>
      </c>
      <c r="E850" s="25" t="s">
        <v>17</v>
      </c>
      <c r="F850" s="26">
        <v>1</v>
      </c>
      <c r="G850" s="26">
        <f t="shared" si="500"/>
        <v>428.91849999999999</v>
      </c>
      <c r="H850" s="26">
        <f t="shared" ref="H850:H860" si="538">ROUND(G850*(1+$J$14),2)</f>
        <v>543.91</v>
      </c>
      <c r="I850" s="26">
        <f t="shared" ref="I850" si="539">ROUND(H850*F850,2)</f>
        <v>543.91</v>
      </c>
      <c r="J850" s="64" t="e">
        <f>IF(B850&lt;&gt;0,VLOOKUP(B850,#REF!,4,FALSE),"")</f>
        <v>#REF!</v>
      </c>
      <c r="K850" s="362" t="s">
        <v>3249</v>
      </c>
      <c r="L850" s="362">
        <f t="shared" si="501"/>
        <v>428.91849999999999</v>
      </c>
      <c r="M850" s="64"/>
      <c r="N850" s="65" t="e">
        <f>IF(B850&lt;&gt;0,VLOOKUP(B850,#REF!,2,FALSE),"")</f>
        <v>#REF!</v>
      </c>
      <c r="AY850" s="221"/>
      <c r="AZ850" s="481"/>
      <c r="BA850" s="481"/>
      <c r="BB850" s="481"/>
      <c r="BC850" s="481"/>
      <c r="BD850" s="163">
        <f t="shared" si="508"/>
        <v>477.82</v>
      </c>
      <c r="BE850" s="163">
        <f t="shared" si="506"/>
        <v>605.91999999999996</v>
      </c>
      <c r="BF850" s="163">
        <f t="shared" ref="BF850:BF860" si="540">ROUND(BE850*F850,2)</f>
        <v>605.91999999999996</v>
      </c>
    </row>
    <row r="851" spans="1:58" s="62" customFormat="1" ht="30">
      <c r="A851" s="23" t="s">
        <v>1281</v>
      </c>
      <c r="B851" s="24">
        <f>B836</f>
        <v>9041</v>
      </c>
      <c r="C851" s="23" t="str">
        <f>C836</f>
        <v>DISPOSITIVO DE PROTEÇÃO CONTRA SURTO DE TENSÃO DPS 60KA - 275V</v>
      </c>
      <c r="D851" s="25" t="s">
        <v>44</v>
      </c>
      <c r="E851" s="25" t="s">
        <v>17</v>
      </c>
      <c r="F851" s="26">
        <v>4</v>
      </c>
      <c r="G851" s="26">
        <f t="shared" si="500"/>
        <v>97.393000000000001</v>
      </c>
      <c r="H851" s="26">
        <f t="shared" si="538"/>
        <v>123.5</v>
      </c>
      <c r="I851" s="26">
        <f t="shared" ref="I851" si="541">ROUND(H851*F851,2)</f>
        <v>494</v>
      </c>
      <c r="J851" s="64">
        <f>J836</f>
        <v>97.39</v>
      </c>
      <c r="K851" s="362">
        <v>114.58</v>
      </c>
      <c r="L851" s="362">
        <f t="shared" si="501"/>
        <v>389.572</v>
      </c>
      <c r="M851" s="64"/>
      <c r="N851" s="65"/>
      <c r="AY851" s="221"/>
      <c r="AZ851" s="481"/>
      <c r="BA851" s="481"/>
      <c r="BB851" s="481"/>
      <c r="BC851" s="481"/>
      <c r="BD851" s="163">
        <f t="shared" si="508"/>
        <v>108.5</v>
      </c>
      <c r="BE851" s="163">
        <f t="shared" si="506"/>
        <v>137.59</v>
      </c>
      <c r="BF851" s="163">
        <f t="shared" si="540"/>
        <v>550.36</v>
      </c>
    </row>
    <row r="852" spans="1:58" s="62" customFormat="1" ht="30">
      <c r="A852" s="23" t="s">
        <v>1282</v>
      </c>
      <c r="B852" s="24">
        <v>93654</v>
      </c>
      <c r="C852" s="23" t="s">
        <v>1730</v>
      </c>
      <c r="D852" s="25" t="s">
        <v>12</v>
      </c>
      <c r="E852" s="25" t="s">
        <v>17</v>
      </c>
      <c r="F852" s="26">
        <v>2</v>
      </c>
      <c r="G852" s="26">
        <f t="shared" si="500"/>
        <v>9.6050000000000004</v>
      </c>
      <c r="H852" s="26">
        <f t="shared" si="538"/>
        <v>12.18</v>
      </c>
      <c r="I852" s="26">
        <f t="shared" ref="I852:I855" si="542">ROUND(H852*F852,2)</f>
        <v>24.36</v>
      </c>
      <c r="J852" s="64" t="e">
        <f>IF(B852&lt;&gt;0,VLOOKUP(B852,#REF!,4,FALSE),"")</f>
        <v>#REF!</v>
      </c>
      <c r="K852" s="362" t="s">
        <v>3243</v>
      </c>
      <c r="L852" s="362">
        <f t="shared" si="501"/>
        <v>19.21</v>
      </c>
      <c r="M852" s="64"/>
      <c r="N852" s="65" t="e">
        <f>IF(B852&lt;&gt;0,VLOOKUP(B852,#REF!,2,FALSE),"")</f>
        <v>#REF!</v>
      </c>
      <c r="AY852" s="221"/>
      <c r="AZ852" s="481"/>
      <c r="BA852" s="481"/>
      <c r="BB852" s="481"/>
      <c r="BC852" s="481"/>
      <c r="BD852" s="163">
        <f t="shared" si="508"/>
        <v>10.7</v>
      </c>
      <c r="BE852" s="163">
        <f t="shared" si="506"/>
        <v>13.57</v>
      </c>
      <c r="BF852" s="163">
        <f t="shared" si="540"/>
        <v>27.14</v>
      </c>
    </row>
    <row r="853" spans="1:58" s="62" customFormat="1" ht="30">
      <c r="A853" s="23" t="s">
        <v>1283</v>
      </c>
      <c r="B853" s="24">
        <v>93669</v>
      </c>
      <c r="C853" s="23" t="s">
        <v>1732</v>
      </c>
      <c r="D853" s="25" t="s">
        <v>12</v>
      </c>
      <c r="E853" s="25" t="s">
        <v>17</v>
      </c>
      <c r="F853" s="26">
        <v>1</v>
      </c>
      <c r="G853" s="26">
        <f t="shared" si="500"/>
        <v>61.429499999999997</v>
      </c>
      <c r="H853" s="26">
        <f t="shared" si="538"/>
        <v>77.900000000000006</v>
      </c>
      <c r="I853" s="26">
        <f t="shared" si="542"/>
        <v>77.900000000000006</v>
      </c>
      <c r="J853" s="64" t="e">
        <f>IF(B853&lt;&gt;0,VLOOKUP(B853,#REF!,4,FALSE),"")</f>
        <v>#REF!</v>
      </c>
      <c r="K853" s="362" t="s">
        <v>3245</v>
      </c>
      <c r="L853" s="362">
        <f t="shared" si="501"/>
        <v>61.429499999999997</v>
      </c>
      <c r="M853" s="64"/>
      <c r="N853" s="65" t="e">
        <f>IF(B853&lt;&gt;0,VLOOKUP(B853,#REF!,2,FALSE),"")</f>
        <v>#REF!</v>
      </c>
      <c r="AY853" s="221"/>
      <c r="AZ853" s="481"/>
      <c r="BA853" s="481"/>
      <c r="BB853" s="481"/>
      <c r="BC853" s="481"/>
      <c r="BD853" s="163">
        <f t="shared" si="508"/>
        <v>68.430000000000007</v>
      </c>
      <c r="BE853" s="163">
        <f t="shared" si="506"/>
        <v>86.78</v>
      </c>
      <c r="BF853" s="163">
        <f t="shared" si="540"/>
        <v>86.78</v>
      </c>
    </row>
    <row r="854" spans="1:58" s="62" customFormat="1" ht="30">
      <c r="A854" s="23" t="s">
        <v>1284</v>
      </c>
      <c r="B854" s="24">
        <v>93671</v>
      </c>
      <c r="C854" s="23" t="s">
        <v>1733</v>
      </c>
      <c r="D854" s="25" t="s">
        <v>12</v>
      </c>
      <c r="E854" s="25" t="s">
        <v>17</v>
      </c>
      <c r="F854" s="26">
        <v>1</v>
      </c>
      <c r="G854" s="26">
        <f t="shared" si="500"/>
        <v>64.021999999999991</v>
      </c>
      <c r="H854" s="26">
        <f t="shared" si="538"/>
        <v>81.19</v>
      </c>
      <c r="I854" s="26">
        <f t="shared" si="542"/>
        <v>81.19</v>
      </c>
      <c r="J854" s="64" t="e">
        <f>IF(B854&lt;&gt;0,VLOOKUP(B854,#REF!,4,FALSE),"")</f>
        <v>#REF!</v>
      </c>
      <c r="K854" s="362" t="s">
        <v>3181</v>
      </c>
      <c r="L854" s="362">
        <f t="shared" si="501"/>
        <v>64.021999999999991</v>
      </c>
      <c r="M854" s="64"/>
      <c r="N854" s="65" t="e">
        <f>IF(B854&lt;&gt;0,VLOOKUP(B854,#REF!,2,FALSE),"")</f>
        <v>#REF!</v>
      </c>
      <c r="AY854" s="221"/>
      <c r="AZ854" s="481"/>
      <c r="BA854" s="481"/>
      <c r="BB854" s="481"/>
      <c r="BC854" s="481"/>
      <c r="BD854" s="163">
        <f t="shared" si="508"/>
        <v>71.319999999999993</v>
      </c>
      <c r="BE854" s="163">
        <f t="shared" si="506"/>
        <v>90.44</v>
      </c>
      <c r="BF854" s="163">
        <f t="shared" si="540"/>
        <v>90.44</v>
      </c>
    </row>
    <row r="855" spans="1:58" s="62" customFormat="1" ht="30">
      <c r="A855" s="23" t="s">
        <v>1285</v>
      </c>
      <c r="B855" s="24">
        <v>93672</v>
      </c>
      <c r="C855" s="23" t="s">
        <v>1734</v>
      </c>
      <c r="D855" s="25" t="s">
        <v>12</v>
      </c>
      <c r="E855" s="25" t="s">
        <v>17</v>
      </c>
      <c r="F855" s="26">
        <v>1</v>
      </c>
      <c r="G855" s="26">
        <f t="shared" si="500"/>
        <v>67.915000000000006</v>
      </c>
      <c r="H855" s="26">
        <f t="shared" si="538"/>
        <v>86.12</v>
      </c>
      <c r="I855" s="26">
        <f t="shared" si="542"/>
        <v>86.12</v>
      </c>
      <c r="J855" s="64" t="e">
        <f>IF(B855&lt;&gt;0,VLOOKUP(B855,#REF!,4,FALSE),"")</f>
        <v>#REF!</v>
      </c>
      <c r="K855" s="362" t="s">
        <v>3246</v>
      </c>
      <c r="L855" s="362">
        <f t="shared" si="501"/>
        <v>67.915000000000006</v>
      </c>
      <c r="M855" s="64"/>
      <c r="N855" s="65" t="e">
        <f>IF(B855&lt;&gt;0,VLOOKUP(B855,#REF!,2,FALSE),"")</f>
        <v>#REF!</v>
      </c>
      <c r="AY855" s="221"/>
      <c r="AZ855" s="481"/>
      <c r="BA855" s="481"/>
      <c r="BB855" s="481"/>
      <c r="BC855" s="481"/>
      <c r="BD855" s="163">
        <f t="shared" si="508"/>
        <v>75.66</v>
      </c>
      <c r="BE855" s="163">
        <f t="shared" si="506"/>
        <v>95.94</v>
      </c>
      <c r="BF855" s="163">
        <f t="shared" si="540"/>
        <v>95.94</v>
      </c>
    </row>
    <row r="856" spans="1:58" s="62" customFormat="1" ht="45">
      <c r="A856" s="41" t="s">
        <v>3697</v>
      </c>
      <c r="B856" s="24">
        <v>1571</v>
      </c>
      <c r="C856" s="470" t="s">
        <v>3760</v>
      </c>
      <c r="D856" s="25" t="s">
        <v>12</v>
      </c>
      <c r="E856" s="25" t="s">
        <v>17</v>
      </c>
      <c r="F856" s="26">
        <v>4</v>
      </c>
      <c r="G856" s="26">
        <f t="shared" ref="G856:G919" si="543">K856-(K856*$K$15)</f>
        <v>1.0114999999999998</v>
      </c>
      <c r="H856" s="26">
        <f t="shared" si="538"/>
        <v>1.28</v>
      </c>
      <c r="I856" s="26">
        <f t="shared" ref="I856:I859" si="544">ROUND(H856*F856,2)</f>
        <v>5.12</v>
      </c>
      <c r="J856" s="64" t="e">
        <f>IF(B856&lt;&gt;0,VLOOKUP(B856,#REF!,4,FALSE),"")</f>
        <v>#REF!</v>
      </c>
      <c r="K856" s="362" t="s">
        <v>1844</v>
      </c>
      <c r="L856" s="362">
        <f t="shared" ref="L856:L919" si="545">F856*G856</f>
        <v>4.0459999999999994</v>
      </c>
      <c r="M856" s="64"/>
      <c r="N856" s="65" t="e">
        <f>IF(B856&lt;&gt;0,VLOOKUP(B856,#REF!,2,FALSE),"")</f>
        <v>#REF!</v>
      </c>
      <c r="AY856" s="221"/>
      <c r="AZ856" s="481"/>
      <c r="BA856" s="481"/>
      <c r="BB856" s="481"/>
      <c r="BC856" s="481"/>
      <c r="BD856" s="163">
        <f t="shared" si="508"/>
        <v>1.1299999999999999</v>
      </c>
      <c r="BE856" s="163">
        <f t="shared" si="506"/>
        <v>1.43</v>
      </c>
      <c r="BF856" s="163">
        <f t="shared" si="540"/>
        <v>5.72</v>
      </c>
    </row>
    <row r="857" spans="1:58" s="62" customFormat="1" ht="45">
      <c r="A857" s="41" t="s">
        <v>3698</v>
      </c>
      <c r="B857" s="24">
        <v>1573</v>
      </c>
      <c r="C857" s="470" t="s">
        <v>3758</v>
      </c>
      <c r="D857" s="25" t="s">
        <v>12</v>
      </c>
      <c r="E857" s="25" t="s">
        <v>17</v>
      </c>
      <c r="F857" s="26">
        <v>22</v>
      </c>
      <c r="G857" s="26">
        <f t="shared" si="543"/>
        <v>1.1984999999999999</v>
      </c>
      <c r="H857" s="26">
        <f t="shared" si="538"/>
        <v>1.52</v>
      </c>
      <c r="I857" s="26">
        <f t="shared" si="544"/>
        <v>33.44</v>
      </c>
      <c r="J857" s="64" t="e">
        <f>IF(B857&lt;&gt;0,VLOOKUP(B857,#REF!,4,FALSE),"")</f>
        <v>#REF!</v>
      </c>
      <c r="K857" s="362" t="s">
        <v>3191</v>
      </c>
      <c r="L857" s="362">
        <f t="shared" si="545"/>
        <v>26.366999999999997</v>
      </c>
      <c r="M857" s="64"/>
      <c r="N857" s="65" t="e">
        <f>IF(B857&lt;&gt;0,VLOOKUP(B857,#REF!,2,FALSE),"")</f>
        <v>#REF!</v>
      </c>
      <c r="AY857" s="221"/>
      <c r="AZ857" s="481"/>
      <c r="BA857" s="481"/>
      <c r="BB857" s="481"/>
      <c r="BC857" s="481"/>
      <c r="BD857" s="163">
        <f t="shared" si="508"/>
        <v>1.34</v>
      </c>
      <c r="BE857" s="163">
        <f t="shared" si="506"/>
        <v>1.7</v>
      </c>
      <c r="BF857" s="163">
        <f t="shared" si="540"/>
        <v>37.4</v>
      </c>
    </row>
    <row r="858" spans="1:58" s="62" customFormat="1" ht="45">
      <c r="A858" s="41" t="s">
        <v>3699</v>
      </c>
      <c r="B858" s="24">
        <v>1574</v>
      </c>
      <c r="C858" s="470" t="s">
        <v>3768</v>
      </c>
      <c r="D858" s="25" t="s">
        <v>12</v>
      </c>
      <c r="E858" s="25" t="s">
        <v>17</v>
      </c>
      <c r="F858" s="26">
        <v>11</v>
      </c>
      <c r="G858" s="26">
        <f t="shared" si="543"/>
        <v>1.3005</v>
      </c>
      <c r="H858" s="26">
        <f t="shared" si="538"/>
        <v>1.65</v>
      </c>
      <c r="I858" s="26">
        <f t="shared" si="544"/>
        <v>18.149999999999999</v>
      </c>
      <c r="J858" s="64" t="e">
        <f>IF(B858&lt;&gt;0,VLOOKUP(B858,#REF!,4,FALSE),"")</f>
        <v>#REF!</v>
      </c>
      <c r="K858" s="362" t="s">
        <v>3036</v>
      </c>
      <c r="L858" s="362">
        <f t="shared" si="545"/>
        <v>14.3055</v>
      </c>
      <c r="M858" s="64"/>
      <c r="N858" s="65" t="e">
        <f>IF(B858&lt;&gt;0,VLOOKUP(B858,#REF!,2,FALSE),"")</f>
        <v>#REF!</v>
      </c>
      <c r="AY858" s="221"/>
      <c r="AZ858" s="481"/>
      <c r="BA858" s="481"/>
      <c r="BB858" s="481"/>
      <c r="BC858" s="481"/>
      <c r="BD858" s="163">
        <f t="shared" si="508"/>
        <v>1.45</v>
      </c>
      <c r="BE858" s="163">
        <f t="shared" si="506"/>
        <v>1.84</v>
      </c>
      <c r="BF858" s="163">
        <f t="shared" si="540"/>
        <v>20.239999999999998</v>
      </c>
    </row>
    <row r="859" spans="1:58" s="62" customFormat="1" ht="45">
      <c r="A859" s="41" t="s">
        <v>3700</v>
      </c>
      <c r="B859" s="24">
        <v>1575</v>
      </c>
      <c r="C859" s="470" t="s">
        <v>3765</v>
      </c>
      <c r="D859" s="25" t="s">
        <v>12</v>
      </c>
      <c r="E859" s="25" t="s">
        <v>17</v>
      </c>
      <c r="F859" s="26">
        <v>11</v>
      </c>
      <c r="G859" s="26">
        <f t="shared" si="543"/>
        <v>1.5470000000000002</v>
      </c>
      <c r="H859" s="26">
        <f t="shared" si="538"/>
        <v>1.96</v>
      </c>
      <c r="I859" s="26">
        <f t="shared" si="544"/>
        <v>21.56</v>
      </c>
      <c r="J859" s="64" t="e">
        <f>IF(B859&lt;&gt;0,VLOOKUP(B859,#REF!,4,FALSE),"")</f>
        <v>#REF!</v>
      </c>
      <c r="K859" s="362" t="s">
        <v>1862</v>
      </c>
      <c r="L859" s="362">
        <f t="shared" si="545"/>
        <v>17.017000000000003</v>
      </c>
      <c r="M859" s="64"/>
      <c r="N859" s="65" t="e">
        <f>IF(B859&lt;&gt;0,VLOOKUP(B859,#REF!,2,FALSE),"")</f>
        <v>#REF!</v>
      </c>
      <c r="AY859" s="221"/>
      <c r="AZ859" s="481"/>
      <c r="BA859" s="481"/>
      <c r="BB859" s="481"/>
      <c r="BC859" s="481"/>
      <c r="BD859" s="163">
        <f t="shared" si="508"/>
        <v>1.72</v>
      </c>
      <c r="BE859" s="163">
        <f t="shared" si="506"/>
        <v>2.1800000000000002</v>
      </c>
      <c r="BF859" s="163">
        <f t="shared" si="540"/>
        <v>23.98</v>
      </c>
    </row>
    <row r="860" spans="1:58" s="62" customFormat="1" ht="45">
      <c r="A860" s="23" t="s">
        <v>1286</v>
      </c>
      <c r="B860" s="24">
        <v>91930</v>
      </c>
      <c r="C860" s="23" t="s">
        <v>1731</v>
      </c>
      <c r="D860" s="25" t="s">
        <v>12</v>
      </c>
      <c r="E860" s="25" t="s">
        <v>52</v>
      </c>
      <c r="F860" s="26">
        <v>2</v>
      </c>
      <c r="G860" s="26">
        <f t="shared" si="543"/>
        <v>7.0379999999999994</v>
      </c>
      <c r="H860" s="26">
        <f t="shared" si="538"/>
        <v>8.92</v>
      </c>
      <c r="I860" s="26">
        <f t="shared" ref="I860" si="546">ROUND(H860*F860,2)</f>
        <v>17.84</v>
      </c>
      <c r="J860" s="64" t="e">
        <f>IF(B860&lt;&gt;0,VLOOKUP(B860,#REF!,4,FALSE),"")</f>
        <v>#REF!</v>
      </c>
      <c r="K860" s="362" t="s">
        <v>3113</v>
      </c>
      <c r="L860" s="362">
        <f t="shared" si="545"/>
        <v>14.075999999999999</v>
      </c>
      <c r="M860" s="64"/>
      <c r="N860" s="65" t="e">
        <f>IF(B860&lt;&gt;0,VLOOKUP(B860,#REF!,2,FALSE),"")</f>
        <v>#REF!</v>
      </c>
      <c r="AY860" s="221"/>
      <c r="AZ860" s="481"/>
      <c r="BA860" s="481"/>
      <c r="BB860" s="481"/>
      <c r="BC860" s="481"/>
      <c r="BD860" s="163">
        <f t="shared" si="508"/>
        <v>7.84</v>
      </c>
      <c r="BE860" s="163">
        <f t="shared" ref="BE860:BE923" si="547">ROUND(BD860*(1+$J$14),2)</f>
        <v>9.94</v>
      </c>
      <c r="BF860" s="163">
        <f t="shared" si="540"/>
        <v>19.88</v>
      </c>
    </row>
    <row r="861" spans="1:58" s="62" customFormat="1" ht="15" customHeight="1">
      <c r="A861" s="356" t="s">
        <v>1287</v>
      </c>
      <c r="B861" s="356"/>
      <c r="C861" s="356" t="s">
        <v>275</v>
      </c>
      <c r="D861" s="357"/>
      <c r="E861" s="357"/>
      <c r="F861" s="357"/>
      <c r="G861" s="26"/>
      <c r="H861" s="357"/>
      <c r="I861" s="96"/>
      <c r="J861" s="65"/>
      <c r="K861" s="362"/>
      <c r="L861" s="362">
        <f t="shared" si="545"/>
        <v>0</v>
      </c>
      <c r="M861" s="65"/>
      <c r="N861" s="65"/>
      <c r="AY861" s="221"/>
      <c r="AZ861" s="481"/>
      <c r="BA861" s="481"/>
      <c r="BB861" s="481"/>
      <c r="BC861" s="481"/>
      <c r="BD861" s="163"/>
      <c r="BE861" s="163"/>
      <c r="BF861" s="163"/>
    </row>
    <row r="862" spans="1:58" s="62" customFormat="1" ht="75">
      <c r="A862" s="41" t="s">
        <v>3701</v>
      </c>
      <c r="B862" s="24">
        <v>101878</v>
      </c>
      <c r="C862" s="470" t="s">
        <v>3764</v>
      </c>
      <c r="D862" s="25" t="s">
        <v>12</v>
      </c>
      <c r="E862" s="25" t="s">
        <v>17</v>
      </c>
      <c r="F862" s="26">
        <v>1</v>
      </c>
      <c r="G862" s="26">
        <f t="shared" si="543"/>
        <v>428.91849999999999</v>
      </c>
      <c r="H862" s="26">
        <f t="shared" ref="H862:H872" si="548">ROUND(G862*(1+$J$14),2)</f>
        <v>543.91</v>
      </c>
      <c r="I862" s="26">
        <f t="shared" ref="I862" si="549">ROUND(H862*F862,2)</f>
        <v>543.91</v>
      </c>
      <c r="J862" s="64" t="e">
        <f>IF(B862&lt;&gt;0,VLOOKUP(B862,#REF!,4,FALSE),"")</f>
        <v>#REF!</v>
      </c>
      <c r="K862" s="362" t="s">
        <v>3249</v>
      </c>
      <c r="L862" s="362">
        <f t="shared" si="545"/>
        <v>428.91849999999999</v>
      </c>
      <c r="M862" s="64"/>
      <c r="N862" s="65" t="e">
        <f>IF(B862&lt;&gt;0,VLOOKUP(B862,#REF!,2,FALSE),"")</f>
        <v>#REF!</v>
      </c>
      <c r="AY862" s="221"/>
      <c r="AZ862" s="481"/>
      <c r="BA862" s="481"/>
      <c r="BB862" s="481"/>
      <c r="BC862" s="481"/>
      <c r="BD862" s="163">
        <f t="shared" ref="BD862:BD924" si="550">ROUND(G862*$BH$19,2)</f>
        <v>477.82</v>
      </c>
      <c r="BE862" s="163">
        <f t="shared" si="547"/>
        <v>605.91999999999996</v>
      </c>
      <c r="BF862" s="163">
        <f t="shared" ref="BF862:BF872" si="551">ROUND(BE862*F862,2)</f>
        <v>605.91999999999996</v>
      </c>
    </row>
    <row r="863" spans="1:58" s="62" customFormat="1" ht="30">
      <c r="A863" s="23" t="s">
        <v>1288</v>
      </c>
      <c r="B863" s="24">
        <v>9041</v>
      </c>
      <c r="C863" s="42" t="str">
        <f>C851</f>
        <v>DISPOSITIVO DE PROTEÇÃO CONTRA SURTO DE TENSÃO DPS 60KA - 275V</v>
      </c>
      <c r="D863" s="25" t="s">
        <v>44</v>
      </c>
      <c r="E863" s="25" t="s">
        <v>17</v>
      </c>
      <c r="F863" s="26">
        <v>4</v>
      </c>
      <c r="G863" s="26">
        <f t="shared" si="543"/>
        <v>97.393000000000001</v>
      </c>
      <c r="H863" s="26">
        <f t="shared" si="548"/>
        <v>123.5</v>
      </c>
      <c r="I863" s="26">
        <f t="shared" ref="I863" si="552">ROUND(H863*F863,2)</f>
        <v>494</v>
      </c>
      <c r="J863" s="64">
        <f>J851</f>
        <v>97.39</v>
      </c>
      <c r="K863" s="362">
        <v>114.58</v>
      </c>
      <c r="L863" s="362">
        <f t="shared" si="545"/>
        <v>389.572</v>
      </c>
      <c r="M863" s="64"/>
      <c r="N863" s="65"/>
      <c r="AY863" s="221"/>
      <c r="AZ863" s="481"/>
      <c r="BA863" s="481"/>
      <c r="BB863" s="481"/>
      <c r="BC863" s="481"/>
      <c r="BD863" s="163">
        <f t="shared" si="550"/>
        <v>108.5</v>
      </c>
      <c r="BE863" s="163">
        <f t="shared" si="547"/>
        <v>137.59</v>
      </c>
      <c r="BF863" s="163">
        <f t="shared" si="551"/>
        <v>550.36</v>
      </c>
    </row>
    <row r="864" spans="1:58" s="62" customFormat="1" ht="30">
      <c r="A864" s="23" t="s">
        <v>1289</v>
      </c>
      <c r="B864" s="24">
        <v>93654</v>
      </c>
      <c r="C864" s="23" t="s">
        <v>1730</v>
      </c>
      <c r="D864" s="25" t="s">
        <v>12</v>
      </c>
      <c r="E864" s="25" t="s">
        <v>17</v>
      </c>
      <c r="F864" s="26">
        <v>2</v>
      </c>
      <c r="G864" s="26">
        <f t="shared" si="543"/>
        <v>9.6050000000000004</v>
      </c>
      <c r="H864" s="26">
        <f t="shared" si="548"/>
        <v>12.18</v>
      </c>
      <c r="I864" s="26">
        <f t="shared" ref="I864:I867" si="553">ROUND(H864*F864,2)</f>
        <v>24.36</v>
      </c>
      <c r="J864" s="64" t="e">
        <f>IF(B864&lt;&gt;0,VLOOKUP(B864,#REF!,4,FALSE),"")</f>
        <v>#REF!</v>
      </c>
      <c r="K864" s="362" t="s">
        <v>3243</v>
      </c>
      <c r="L864" s="362">
        <f t="shared" si="545"/>
        <v>19.21</v>
      </c>
      <c r="M864" s="64"/>
      <c r="N864" s="65" t="e">
        <f>IF(B864&lt;&gt;0,VLOOKUP(B864,#REF!,2,FALSE),"")</f>
        <v>#REF!</v>
      </c>
      <c r="AY864" s="221"/>
      <c r="AZ864" s="481"/>
      <c r="BA864" s="481"/>
      <c r="BB864" s="481"/>
      <c r="BC864" s="481"/>
      <c r="BD864" s="163">
        <f t="shared" si="550"/>
        <v>10.7</v>
      </c>
      <c r="BE864" s="163">
        <f t="shared" si="547"/>
        <v>13.57</v>
      </c>
      <c r="BF864" s="163">
        <f t="shared" si="551"/>
        <v>27.14</v>
      </c>
    </row>
    <row r="865" spans="1:58" s="62" customFormat="1" ht="30">
      <c r="A865" s="23" t="s">
        <v>1290</v>
      </c>
      <c r="B865" s="24">
        <v>93669</v>
      </c>
      <c r="C865" s="23" t="s">
        <v>1732</v>
      </c>
      <c r="D865" s="25" t="s">
        <v>12</v>
      </c>
      <c r="E865" s="25" t="s">
        <v>17</v>
      </c>
      <c r="F865" s="26">
        <v>1</v>
      </c>
      <c r="G865" s="26">
        <f t="shared" si="543"/>
        <v>61.429499999999997</v>
      </c>
      <c r="H865" s="26">
        <f t="shared" si="548"/>
        <v>77.900000000000006</v>
      </c>
      <c r="I865" s="26">
        <f t="shared" si="553"/>
        <v>77.900000000000006</v>
      </c>
      <c r="J865" s="64" t="e">
        <f>IF(B865&lt;&gt;0,VLOOKUP(B865,#REF!,4,FALSE),"")</f>
        <v>#REF!</v>
      </c>
      <c r="K865" s="362" t="s">
        <v>3245</v>
      </c>
      <c r="L865" s="362">
        <f t="shared" si="545"/>
        <v>61.429499999999997</v>
      </c>
      <c r="M865" s="64"/>
      <c r="N865" s="65" t="e">
        <f>IF(B865&lt;&gt;0,VLOOKUP(B865,#REF!,2,FALSE),"")</f>
        <v>#REF!</v>
      </c>
      <c r="AY865" s="221"/>
      <c r="AZ865" s="481"/>
      <c r="BA865" s="481"/>
      <c r="BB865" s="481"/>
      <c r="BC865" s="481"/>
      <c r="BD865" s="163">
        <f t="shared" si="550"/>
        <v>68.430000000000007</v>
      </c>
      <c r="BE865" s="163">
        <f t="shared" si="547"/>
        <v>86.78</v>
      </c>
      <c r="BF865" s="163">
        <f t="shared" si="551"/>
        <v>86.78</v>
      </c>
    </row>
    <row r="866" spans="1:58" s="62" customFormat="1" ht="30">
      <c r="A866" s="23" t="s">
        <v>1291</v>
      </c>
      <c r="B866" s="24">
        <v>93671</v>
      </c>
      <c r="C866" s="23" t="s">
        <v>1733</v>
      </c>
      <c r="D866" s="25" t="s">
        <v>12</v>
      </c>
      <c r="E866" s="25" t="s">
        <v>17</v>
      </c>
      <c r="F866" s="26">
        <v>1</v>
      </c>
      <c r="G866" s="26">
        <f t="shared" si="543"/>
        <v>64.021999999999991</v>
      </c>
      <c r="H866" s="26">
        <f t="shared" si="548"/>
        <v>81.19</v>
      </c>
      <c r="I866" s="26">
        <f t="shared" si="553"/>
        <v>81.19</v>
      </c>
      <c r="J866" s="64" t="e">
        <f>IF(B866&lt;&gt;0,VLOOKUP(B866,#REF!,4,FALSE),"")</f>
        <v>#REF!</v>
      </c>
      <c r="K866" s="362" t="s">
        <v>3181</v>
      </c>
      <c r="L866" s="362">
        <f t="shared" si="545"/>
        <v>64.021999999999991</v>
      </c>
      <c r="M866" s="64"/>
      <c r="N866" s="65" t="e">
        <f>IF(B866&lt;&gt;0,VLOOKUP(B866,#REF!,2,FALSE),"")</f>
        <v>#REF!</v>
      </c>
      <c r="AY866" s="221"/>
      <c r="AZ866" s="481"/>
      <c r="BA866" s="481"/>
      <c r="BB866" s="481"/>
      <c r="BC866" s="481"/>
      <c r="BD866" s="163">
        <f t="shared" si="550"/>
        <v>71.319999999999993</v>
      </c>
      <c r="BE866" s="163">
        <f t="shared" si="547"/>
        <v>90.44</v>
      </c>
      <c r="BF866" s="163">
        <f t="shared" si="551"/>
        <v>90.44</v>
      </c>
    </row>
    <row r="867" spans="1:58" s="62" customFormat="1" ht="30">
      <c r="A867" s="23" t="s">
        <v>1292</v>
      </c>
      <c r="B867" s="24">
        <v>93672</v>
      </c>
      <c r="C867" s="23" t="s">
        <v>1734</v>
      </c>
      <c r="D867" s="25" t="s">
        <v>12</v>
      </c>
      <c r="E867" s="25" t="s">
        <v>17</v>
      </c>
      <c r="F867" s="26">
        <v>1</v>
      </c>
      <c r="G867" s="26">
        <f t="shared" si="543"/>
        <v>67.915000000000006</v>
      </c>
      <c r="H867" s="26">
        <f t="shared" si="548"/>
        <v>86.12</v>
      </c>
      <c r="I867" s="26">
        <f t="shared" si="553"/>
        <v>86.12</v>
      </c>
      <c r="J867" s="64" t="e">
        <f>IF(B867&lt;&gt;0,VLOOKUP(B867,#REF!,4,FALSE),"")</f>
        <v>#REF!</v>
      </c>
      <c r="K867" s="362" t="s">
        <v>3246</v>
      </c>
      <c r="L867" s="362">
        <f t="shared" si="545"/>
        <v>67.915000000000006</v>
      </c>
      <c r="M867" s="64"/>
      <c r="N867" s="65" t="e">
        <f>IF(B867&lt;&gt;0,VLOOKUP(B867,#REF!,2,FALSE),"")</f>
        <v>#REF!</v>
      </c>
      <c r="AY867" s="221"/>
      <c r="AZ867" s="481"/>
      <c r="BA867" s="481"/>
      <c r="BB867" s="481"/>
      <c r="BC867" s="481"/>
      <c r="BD867" s="163">
        <f t="shared" si="550"/>
        <v>75.66</v>
      </c>
      <c r="BE867" s="163">
        <f t="shared" si="547"/>
        <v>95.94</v>
      </c>
      <c r="BF867" s="163">
        <f t="shared" si="551"/>
        <v>95.94</v>
      </c>
    </row>
    <row r="868" spans="1:58" s="62" customFormat="1" ht="45">
      <c r="A868" s="41" t="s">
        <v>3702</v>
      </c>
      <c r="B868" s="24">
        <v>1571</v>
      </c>
      <c r="C868" s="470" t="s">
        <v>3760</v>
      </c>
      <c r="D868" s="25" t="s">
        <v>12</v>
      </c>
      <c r="E868" s="25" t="s">
        <v>17</v>
      </c>
      <c r="F868" s="26">
        <v>4</v>
      </c>
      <c r="G868" s="26">
        <f t="shared" si="543"/>
        <v>1.0114999999999998</v>
      </c>
      <c r="H868" s="26">
        <f t="shared" si="548"/>
        <v>1.28</v>
      </c>
      <c r="I868" s="26">
        <f t="shared" ref="I868:I872" si="554">ROUND(H868*F868,2)</f>
        <v>5.12</v>
      </c>
      <c r="J868" s="64" t="e">
        <f>IF(B868&lt;&gt;0,VLOOKUP(B868,#REF!,4,FALSE),"")</f>
        <v>#REF!</v>
      </c>
      <c r="K868" s="362" t="s">
        <v>1844</v>
      </c>
      <c r="L868" s="362">
        <f t="shared" si="545"/>
        <v>4.0459999999999994</v>
      </c>
      <c r="M868" s="64"/>
      <c r="N868" s="65" t="e">
        <f>IF(B868&lt;&gt;0,VLOOKUP(B868,#REF!,2,FALSE),"")</f>
        <v>#REF!</v>
      </c>
      <c r="AY868" s="221"/>
      <c r="AZ868" s="481"/>
      <c r="BA868" s="481"/>
      <c r="BB868" s="481"/>
      <c r="BC868" s="481"/>
      <c r="BD868" s="163">
        <f t="shared" si="550"/>
        <v>1.1299999999999999</v>
      </c>
      <c r="BE868" s="163">
        <f t="shared" si="547"/>
        <v>1.43</v>
      </c>
      <c r="BF868" s="163">
        <f t="shared" si="551"/>
        <v>5.72</v>
      </c>
    </row>
    <row r="869" spans="1:58" s="62" customFormat="1" ht="45">
      <c r="A869" s="41" t="s">
        <v>3703</v>
      </c>
      <c r="B869" s="24">
        <v>1573</v>
      </c>
      <c r="C869" s="470" t="s">
        <v>3758</v>
      </c>
      <c r="D869" s="25" t="s">
        <v>12</v>
      </c>
      <c r="E869" s="25" t="s">
        <v>17</v>
      </c>
      <c r="F869" s="26">
        <v>22</v>
      </c>
      <c r="G869" s="26">
        <f t="shared" si="543"/>
        <v>1.1984999999999999</v>
      </c>
      <c r="H869" s="26">
        <f t="shared" si="548"/>
        <v>1.52</v>
      </c>
      <c r="I869" s="26">
        <f t="shared" si="554"/>
        <v>33.44</v>
      </c>
      <c r="J869" s="64" t="e">
        <f>IF(B869&lt;&gt;0,VLOOKUP(B869,#REF!,4,FALSE),"")</f>
        <v>#REF!</v>
      </c>
      <c r="K869" s="362" t="s">
        <v>3191</v>
      </c>
      <c r="L869" s="362">
        <f t="shared" si="545"/>
        <v>26.366999999999997</v>
      </c>
      <c r="M869" s="64"/>
      <c r="N869" s="65" t="e">
        <f>IF(B869&lt;&gt;0,VLOOKUP(B869,#REF!,2,FALSE),"")</f>
        <v>#REF!</v>
      </c>
      <c r="AY869" s="221"/>
      <c r="AZ869" s="481"/>
      <c r="BA869" s="481"/>
      <c r="BB869" s="481"/>
      <c r="BC869" s="481"/>
      <c r="BD869" s="163">
        <f t="shared" si="550"/>
        <v>1.34</v>
      </c>
      <c r="BE869" s="163">
        <f t="shared" si="547"/>
        <v>1.7</v>
      </c>
      <c r="BF869" s="163">
        <f t="shared" si="551"/>
        <v>37.4</v>
      </c>
    </row>
    <row r="870" spans="1:58" s="62" customFormat="1" ht="45">
      <c r="A870" s="41" t="s">
        <v>3704</v>
      </c>
      <c r="B870" s="24">
        <v>1574</v>
      </c>
      <c r="C870" s="470" t="s">
        <v>3768</v>
      </c>
      <c r="D870" s="25" t="s">
        <v>12</v>
      </c>
      <c r="E870" s="25" t="s">
        <v>17</v>
      </c>
      <c r="F870" s="26">
        <v>11</v>
      </c>
      <c r="G870" s="26">
        <f t="shared" si="543"/>
        <v>1.3005</v>
      </c>
      <c r="H870" s="26">
        <f t="shared" si="548"/>
        <v>1.65</v>
      </c>
      <c r="I870" s="26">
        <f t="shared" si="554"/>
        <v>18.149999999999999</v>
      </c>
      <c r="J870" s="64" t="e">
        <f>IF(B870&lt;&gt;0,VLOOKUP(B870,#REF!,4,FALSE),"")</f>
        <v>#REF!</v>
      </c>
      <c r="K870" s="362" t="s">
        <v>3036</v>
      </c>
      <c r="L870" s="362">
        <f t="shared" si="545"/>
        <v>14.3055</v>
      </c>
      <c r="M870" s="64"/>
      <c r="N870" s="65" t="e">
        <f>IF(B870&lt;&gt;0,VLOOKUP(B870,#REF!,2,FALSE),"")</f>
        <v>#REF!</v>
      </c>
      <c r="AY870" s="221"/>
      <c r="AZ870" s="481"/>
      <c r="BA870" s="481"/>
      <c r="BB870" s="481"/>
      <c r="BC870" s="481"/>
      <c r="BD870" s="163">
        <f t="shared" si="550"/>
        <v>1.45</v>
      </c>
      <c r="BE870" s="163">
        <f t="shared" si="547"/>
        <v>1.84</v>
      </c>
      <c r="BF870" s="163">
        <f t="shared" si="551"/>
        <v>20.239999999999998</v>
      </c>
    </row>
    <row r="871" spans="1:58" s="62" customFormat="1" ht="45">
      <c r="A871" s="41" t="s">
        <v>3705</v>
      </c>
      <c r="B871" s="24">
        <v>1575</v>
      </c>
      <c r="C871" s="470" t="s">
        <v>3765</v>
      </c>
      <c r="D871" s="25" t="s">
        <v>12</v>
      </c>
      <c r="E871" s="25" t="s">
        <v>17</v>
      </c>
      <c r="F871" s="26">
        <v>11</v>
      </c>
      <c r="G871" s="26">
        <f t="shared" si="543"/>
        <v>1.5470000000000002</v>
      </c>
      <c r="H871" s="26">
        <f t="shared" si="548"/>
        <v>1.96</v>
      </c>
      <c r="I871" s="26">
        <f t="shared" si="554"/>
        <v>21.56</v>
      </c>
      <c r="J871" s="64" t="e">
        <f>IF(B871&lt;&gt;0,VLOOKUP(B871,#REF!,4,FALSE),"")</f>
        <v>#REF!</v>
      </c>
      <c r="K871" s="362" t="s">
        <v>1862</v>
      </c>
      <c r="L871" s="362">
        <f t="shared" si="545"/>
        <v>17.017000000000003</v>
      </c>
      <c r="M871" s="64"/>
      <c r="N871" s="65" t="e">
        <f>IF(B871&lt;&gt;0,VLOOKUP(B871,#REF!,2,FALSE),"")</f>
        <v>#REF!</v>
      </c>
      <c r="AY871" s="221"/>
      <c r="AZ871" s="481"/>
      <c r="BA871" s="481"/>
      <c r="BB871" s="481"/>
      <c r="BC871" s="481"/>
      <c r="BD871" s="163">
        <f t="shared" si="550"/>
        <v>1.72</v>
      </c>
      <c r="BE871" s="163">
        <f t="shared" si="547"/>
        <v>2.1800000000000002</v>
      </c>
      <c r="BF871" s="163">
        <f t="shared" si="551"/>
        <v>23.98</v>
      </c>
    </row>
    <row r="872" spans="1:58" s="62" customFormat="1" ht="45">
      <c r="A872" s="23" t="s">
        <v>1293</v>
      </c>
      <c r="B872" s="24">
        <v>91930</v>
      </c>
      <c r="C872" s="23" t="s">
        <v>1731</v>
      </c>
      <c r="D872" s="25" t="s">
        <v>12</v>
      </c>
      <c r="E872" s="25" t="s">
        <v>52</v>
      </c>
      <c r="F872" s="26">
        <v>2</v>
      </c>
      <c r="G872" s="26">
        <f t="shared" si="543"/>
        <v>7.0379999999999994</v>
      </c>
      <c r="H872" s="26">
        <f t="shared" si="548"/>
        <v>8.92</v>
      </c>
      <c r="I872" s="26">
        <f t="shared" si="554"/>
        <v>17.84</v>
      </c>
      <c r="J872" s="64" t="e">
        <f>IF(B872&lt;&gt;0,VLOOKUP(B872,#REF!,4,FALSE),"")</f>
        <v>#REF!</v>
      </c>
      <c r="K872" s="362" t="s">
        <v>3113</v>
      </c>
      <c r="L872" s="362">
        <f t="shared" si="545"/>
        <v>14.075999999999999</v>
      </c>
      <c r="M872" s="64"/>
      <c r="N872" s="65" t="e">
        <f>IF(B872&lt;&gt;0,VLOOKUP(B872,#REF!,2,FALSE),"")</f>
        <v>#REF!</v>
      </c>
      <c r="AY872" s="221"/>
      <c r="AZ872" s="481"/>
      <c r="BA872" s="481"/>
      <c r="BB872" s="481"/>
      <c r="BC872" s="481"/>
      <c r="BD872" s="163">
        <f t="shared" si="550"/>
        <v>7.84</v>
      </c>
      <c r="BE872" s="163">
        <f t="shared" si="547"/>
        <v>9.94</v>
      </c>
      <c r="BF872" s="163">
        <f t="shared" si="551"/>
        <v>19.88</v>
      </c>
    </row>
    <row r="873" spans="1:58" s="62" customFormat="1" ht="15" customHeight="1">
      <c r="A873" s="356" t="s">
        <v>1294</v>
      </c>
      <c r="B873" s="356"/>
      <c r="C873" s="356" t="s">
        <v>276</v>
      </c>
      <c r="D873" s="357"/>
      <c r="E873" s="357"/>
      <c r="F873" s="357"/>
      <c r="G873" s="26"/>
      <c r="H873" s="357"/>
      <c r="I873" s="96"/>
      <c r="J873" s="65"/>
      <c r="K873" s="362"/>
      <c r="L873" s="362">
        <f t="shared" si="545"/>
        <v>0</v>
      </c>
      <c r="M873" s="65"/>
      <c r="N873" s="65"/>
      <c r="AY873" s="221"/>
      <c r="AZ873" s="481"/>
      <c r="BA873" s="481"/>
      <c r="BB873" s="481"/>
      <c r="BC873" s="481"/>
      <c r="BD873" s="163"/>
      <c r="BE873" s="163"/>
      <c r="BF873" s="163"/>
    </row>
    <row r="874" spans="1:58" s="62" customFormat="1" ht="75">
      <c r="A874" s="41" t="s">
        <v>3706</v>
      </c>
      <c r="B874" s="24">
        <v>101878</v>
      </c>
      <c r="C874" s="470" t="s">
        <v>3764</v>
      </c>
      <c r="D874" s="25" t="s">
        <v>12</v>
      </c>
      <c r="E874" s="25" t="s">
        <v>17</v>
      </c>
      <c r="F874" s="26">
        <v>1</v>
      </c>
      <c r="G874" s="26">
        <f t="shared" si="543"/>
        <v>428.91849999999999</v>
      </c>
      <c r="H874" s="26">
        <f t="shared" ref="H874:H887" si="555">ROUND(G874*(1+$J$14),2)</f>
        <v>543.91</v>
      </c>
      <c r="I874" s="26">
        <f t="shared" ref="I874" si="556">ROUND(H874*F874,2)</f>
        <v>543.91</v>
      </c>
      <c r="J874" s="64" t="e">
        <f>IF(B874&lt;&gt;0,VLOOKUP(B874,#REF!,4,FALSE),"")</f>
        <v>#REF!</v>
      </c>
      <c r="K874" s="362" t="s">
        <v>3249</v>
      </c>
      <c r="L874" s="362">
        <f t="shared" si="545"/>
        <v>428.91849999999999</v>
      </c>
      <c r="M874" s="64"/>
      <c r="N874" s="65" t="e">
        <f>IF(B874&lt;&gt;0,VLOOKUP(B874,#REF!,2,FALSE),"")</f>
        <v>#REF!</v>
      </c>
      <c r="AY874" s="221"/>
      <c r="AZ874" s="481"/>
      <c r="BA874" s="481"/>
      <c r="BB874" s="481"/>
      <c r="BC874" s="481"/>
      <c r="BD874" s="163">
        <f t="shared" si="550"/>
        <v>477.82</v>
      </c>
      <c r="BE874" s="163">
        <f t="shared" si="547"/>
        <v>605.91999999999996</v>
      </c>
      <c r="BF874" s="163">
        <f t="shared" ref="BF874:BF887" si="557">ROUND(BE874*F874,2)</f>
        <v>605.91999999999996</v>
      </c>
    </row>
    <row r="875" spans="1:58" s="62" customFormat="1" ht="30">
      <c r="A875" s="23" t="s">
        <v>1295</v>
      </c>
      <c r="B875" s="24">
        <f>B863</f>
        <v>9041</v>
      </c>
      <c r="C875" s="23" t="str">
        <f>C863</f>
        <v>DISPOSITIVO DE PROTEÇÃO CONTRA SURTO DE TENSÃO DPS 60KA - 275V</v>
      </c>
      <c r="D875" s="25" t="s">
        <v>44</v>
      </c>
      <c r="E875" s="25" t="s">
        <v>17</v>
      </c>
      <c r="F875" s="26">
        <v>4</v>
      </c>
      <c r="G875" s="26">
        <f t="shared" si="543"/>
        <v>97.393000000000001</v>
      </c>
      <c r="H875" s="26">
        <f t="shared" si="555"/>
        <v>123.5</v>
      </c>
      <c r="I875" s="26">
        <f t="shared" ref="I875" si="558">ROUND(H875*F875,2)</f>
        <v>494</v>
      </c>
      <c r="J875" s="64">
        <f>'COMPOSIÇÃO DE CUSTOS'!G1869</f>
        <v>97.39</v>
      </c>
      <c r="K875" s="362">
        <v>114.58</v>
      </c>
      <c r="L875" s="362">
        <f t="shared" si="545"/>
        <v>389.572</v>
      </c>
      <c r="M875" s="64"/>
      <c r="N875" s="65"/>
      <c r="AY875" s="221"/>
      <c r="AZ875" s="481"/>
      <c r="BA875" s="481"/>
      <c r="BB875" s="481"/>
      <c r="BC875" s="481"/>
      <c r="BD875" s="163">
        <f t="shared" si="550"/>
        <v>108.5</v>
      </c>
      <c r="BE875" s="163">
        <f t="shared" si="547"/>
        <v>137.59</v>
      </c>
      <c r="BF875" s="163">
        <f t="shared" si="557"/>
        <v>550.36</v>
      </c>
    </row>
    <row r="876" spans="1:58" s="62" customFormat="1" ht="30">
      <c r="A876" s="23" t="s">
        <v>1296</v>
      </c>
      <c r="B876" s="24">
        <v>93653</v>
      </c>
      <c r="C876" s="23" t="s">
        <v>1735</v>
      </c>
      <c r="D876" s="25" t="s">
        <v>12</v>
      </c>
      <c r="E876" s="25" t="s">
        <v>17</v>
      </c>
      <c r="F876" s="26">
        <v>1</v>
      </c>
      <c r="G876" s="26">
        <f t="shared" si="543"/>
        <v>9.2735000000000003</v>
      </c>
      <c r="H876" s="26">
        <f t="shared" si="555"/>
        <v>11.76</v>
      </c>
      <c r="I876" s="26">
        <f t="shared" ref="I876:I877" si="559">ROUND(H876*F876,2)</f>
        <v>11.76</v>
      </c>
      <c r="J876" s="64" t="e">
        <f>IF(B876&lt;&gt;0,VLOOKUP(B876,#REF!,4,FALSE),"")</f>
        <v>#REF!</v>
      </c>
      <c r="K876" s="362" t="s">
        <v>3229</v>
      </c>
      <c r="L876" s="362">
        <f t="shared" si="545"/>
        <v>9.2735000000000003</v>
      </c>
      <c r="M876" s="64"/>
      <c r="N876" s="65" t="e">
        <f>IF(B876&lt;&gt;0,VLOOKUP(B876,#REF!,2,FALSE),"")</f>
        <v>#REF!</v>
      </c>
      <c r="AY876" s="221"/>
      <c r="AZ876" s="481"/>
      <c r="BA876" s="481"/>
      <c r="BB876" s="481"/>
      <c r="BC876" s="481"/>
      <c r="BD876" s="163">
        <f t="shared" si="550"/>
        <v>10.33</v>
      </c>
      <c r="BE876" s="163">
        <f t="shared" si="547"/>
        <v>13.1</v>
      </c>
      <c r="BF876" s="163">
        <f t="shared" si="557"/>
        <v>13.1</v>
      </c>
    </row>
    <row r="877" spans="1:58" s="62" customFormat="1" ht="30">
      <c r="A877" s="23" t="s">
        <v>1297</v>
      </c>
      <c r="B877" s="24">
        <v>93672</v>
      </c>
      <c r="C877" s="23" t="s">
        <v>1734</v>
      </c>
      <c r="D877" s="25" t="s">
        <v>12</v>
      </c>
      <c r="E877" s="25" t="s">
        <v>17</v>
      </c>
      <c r="F877" s="26">
        <v>3</v>
      </c>
      <c r="G877" s="26">
        <f t="shared" si="543"/>
        <v>67.915000000000006</v>
      </c>
      <c r="H877" s="26">
        <f t="shared" si="555"/>
        <v>86.12</v>
      </c>
      <c r="I877" s="26">
        <f t="shared" si="559"/>
        <v>258.36</v>
      </c>
      <c r="J877" s="64" t="e">
        <f>IF(B877&lt;&gt;0,VLOOKUP(B877,#REF!,4,FALSE),"")</f>
        <v>#REF!</v>
      </c>
      <c r="K877" s="362" t="s">
        <v>3246</v>
      </c>
      <c r="L877" s="362">
        <f t="shared" si="545"/>
        <v>203.745</v>
      </c>
      <c r="M877" s="64"/>
      <c r="N877" s="65" t="e">
        <f>IF(B877&lt;&gt;0,VLOOKUP(B877,#REF!,2,FALSE),"")</f>
        <v>#REF!</v>
      </c>
      <c r="AY877" s="221"/>
      <c r="AZ877" s="481"/>
      <c r="BA877" s="481"/>
      <c r="BB877" s="481"/>
      <c r="BC877" s="481"/>
      <c r="BD877" s="163">
        <f t="shared" si="550"/>
        <v>75.66</v>
      </c>
      <c r="BE877" s="163">
        <f t="shared" si="547"/>
        <v>95.94</v>
      </c>
      <c r="BF877" s="163">
        <f t="shared" si="557"/>
        <v>287.82</v>
      </c>
    </row>
    <row r="878" spans="1:58" s="62" customFormat="1">
      <c r="A878" s="23" t="s">
        <v>1298</v>
      </c>
      <c r="B878" s="25" t="s">
        <v>2322</v>
      </c>
      <c r="C878" s="23" t="s">
        <v>277</v>
      </c>
      <c r="D878" s="25" t="s">
        <v>1915</v>
      </c>
      <c r="E878" s="25" t="s">
        <v>17</v>
      </c>
      <c r="F878" s="26">
        <v>2</v>
      </c>
      <c r="G878" s="26">
        <f t="shared" si="543"/>
        <v>100.232</v>
      </c>
      <c r="H878" s="26">
        <f t="shared" si="555"/>
        <v>127.1</v>
      </c>
      <c r="I878" s="26">
        <f t="shared" ref="I878:I879" si="560">ROUND(H878*F878,2)</f>
        <v>254.2</v>
      </c>
      <c r="J878" s="64">
        <f>'COMPOSIÇÃO DE CUSTOS'!G1413</f>
        <v>100.23</v>
      </c>
      <c r="K878" s="362">
        <v>117.92</v>
      </c>
      <c r="L878" s="362">
        <f t="shared" si="545"/>
        <v>200.464</v>
      </c>
      <c r="M878" s="64"/>
      <c r="N878" s="65"/>
      <c r="AY878" s="221"/>
      <c r="AZ878" s="481"/>
      <c r="BA878" s="481"/>
      <c r="BB878" s="481"/>
      <c r="BC878" s="481"/>
      <c r="BD878" s="163">
        <f t="shared" si="550"/>
        <v>111.66</v>
      </c>
      <c r="BE878" s="163">
        <f t="shared" si="547"/>
        <v>141.6</v>
      </c>
      <c r="BF878" s="163">
        <f t="shared" si="557"/>
        <v>283.2</v>
      </c>
    </row>
    <row r="879" spans="1:58" s="62" customFormat="1">
      <c r="A879" s="23" t="s">
        <v>1299</v>
      </c>
      <c r="B879" s="25" t="s">
        <v>2323</v>
      </c>
      <c r="C879" s="23" t="s">
        <v>278</v>
      </c>
      <c r="D879" s="25" t="s">
        <v>1915</v>
      </c>
      <c r="E879" s="25" t="s">
        <v>17</v>
      </c>
      <c r="F879" s="26">
        <v>2</v>
      </c>
      <c r="G879" s="26">
        <f t="shared" si="543"/>
        <v>113.61949999999999</v>
      </c>
      <c r="H879" s="26">
        <f t="shared" si="555"/>
        <v>144.08000000000001</v>
      </c>
      <c r="I879" s="26">
        <f t="shared" si="560"/>
        <v>288.16000000000003</v>
      </c>
      <c r="J879" s="64">
        <f>'COMPOSIÇÃO DE CUSTOS'!G1420</f>
        <v>113.62</v>
      </c>
      <c r="K879" s="362">
        <v>133.66999999999999</v>
      </c>
      <c r="L879" s="362">
        <f t="shared" si="545"/>
        <v>227.23899999999998</v>
      </c>
      <c r="M879" s="64"/>
      <c r="N879" s="65"/>
      <c r="AY879" s="221"/>
      <c r="AZ879" s="481"/>
      <c r="BA879" s="481"/>
      <c r="BB879" s="481"/>
      <c r="BC879" s="481"/>
      <c r="BD879" s="163">
        <f t="shared" si="550"/>
        <v>126.57</v>
      </c>
      <c r="BE879" s="163">
        <f t="shared" si="547"/>
        <v>160.5</v>
      </c>
      <c r="BF879" s="163">
        <f t="shared" si="557"/>
        <v>321</v>
      </c>
    </row>
    <row r="880" spans="1:58" s="62" customFormat="1" ht="45">
      <c r="A880" s="23" t="s">
        <v>1300</v>
      </c>
      <c r="B880" s="25" t="s">
        <v>2327</v>
      </c>
      <c r="C880" s="23" t="s">
        <v>279</v>
      </c>
      <c r="D880" s="25" t="s">
        <v>1915</v>
      </c>
      <c r="E880" s="25" t="s">
        <v>17</v>
      </c>
      <c r="F880" s="26">
        <v>3</v>
      </c>
      <c r="G880" s="26">
        <f t="shared" si="543"/>
        <v>597.32899999999995</v>
      </c>
      <c r="H880" s="26">
        <f t="shared" si="555"/>
        <v>757.47</v>
      </c>
      <c r="I880" s="26">
        <f t="shared" ref="I880" si="561">ROUND(H880*F880,2)</f>
        <v>2272.41</v>
      </c>
      <c r="J880" s="64">
        <f>'COMPOSIÇÃO DE CUSTOS'!G1428</f>
        <v>597.33000000000004</v>
      </c>
      <c r="K880" s="362">
        <v>702.74</v>
      </c>
      <c r="L880" s="362">
        <f t="shared" si="545"/>
        <v>1791.9869999999999</v>
      </c>
      <c r="M880" s="64"/>
      <c r="N880" s="65"/>
      <c r="AY880" s="221"/>
      <c r="AZ880" s="481"/>
      <c r="BA880" s="481"/>
      <c r="BB880" s="481"/>
      <c r="BC880" s="481"/>
      <c r="BD880" s="163">
        <f t="shared" si="550"/>
        <v>665.43</v>
      </c>
      <c r="BE880" s="163">
        <f t="shared" si="547"/>
        <v>843.83</v>
      </c>
      <c r="BF880" s="163">
        <f t="shared" si="557"/>
        <v>2531.4899999999998</v>
      </c>
    </row>
    <row r="881" spans="1:58" s="62" customFormat="1" ht="30">
      <c r="A881" s="23" t="s">
        <v>1301</v>
      </c>
      <c r="B881" s="24">
        <v>64355</v>
      </c>
      <c r="C881" s="23" t="s">
        <v>280</v>
      </c>
      <c r="D881" s="25" t="s">
        <v>1915</v>
      </c>
      <c r="E881" s="25" t="s">
        <v>17</v>
      </c>
      <c r="F881" s="26">
        <v>1</v>
      </c>
      <c r="G881" s="26">
        <f t="shared" si="543"/>
        <v>182.55450000000002</v>
      </c>
      <c r="H881" s="26">
        <f t="shared" si="555"/>
        <v>231.5</v>
      </c>
      <c r="I881" s="26">
        <f t="shared" ref="I881:I882" si="562">ROUND(H881*F881,2)</f>
        <v>231.5</v>
      </c>
      <c r="J881" s="64">
        <f>'COMPOSIÇÃO DE CUSTOS'!G1435</f>
        <v>182.56</v>
      </c>
      <c r="K881" s="362">
        <v>214.77</v>
      </c>
      <c r="L881" s="362">
        <f t="shared" si="545"/>
        <v>182.55450000000002</v>
      </c>
      <c r="M881" s="64"/>
      <c r="N881" s="65"/>
      <c r="AY881" s="221"/>
      <c r="AZ881" s="481"/>
      <c r="BA881" s="481"/>
      <c r="BB881" s="481"/>
      <c r="BC881" s="481"/>
      <c r="BD881" s="163">
        <f t="shared" si="550"/>
        <v>203.37</v>
      </c>
      <c r="BE881" s="163">
        <f t="shared" si="547"/>
        <v>257.89</v>
      </c>
      <c r="BF881" s="163">
        <f t="shared" si="557"/>
        <v>257.89</v>
      </c>
    </row>
    <row r="882" spans="1:58" s="62" customFormat="1">
      <c r="A882" s="23" t="s">
        <v>1302</v>
      </c>
      <c r="B882" s="24">
        <v>3820</v>
      </c>
      <c r="C882" s="23" t="s">
        <v>281</v>
      </c>
      <c r="D882" s="25" t="s">
        <v>44</v>
      </c>
      <c r="E882" s="25" t="s">
        <v>17</v>
      </c>
      <c r="F882" s="26">
        <v>2</v>
      </c>
      <c r="G882" s="26">
        <f t="shared" si="543"/>
        <v>72.955500000000001</v>
      </c>
      <c r="H882" s="26">
        <f t="shared" si="555"/>
        <v>92.51</v>
      </c>
      <c r="I882" s="26">
        <f t="shared" si="562"/>
        <v>185.02</v>
      </c>
      <c r="J882" s="64">
        <f>'COMPOSIÇÃO DE CUSTOS'!G1442</f>
        <v>72.959999999999994</v>
      </c>
      <c r="K882" s="362">
        <v>85.83</v>
      </c>
      <c r="L882" s="362">
        <f t="shared" si="545"/>
        <v>145.911</v>
      </c>
      <c r="M882" s="64"/>
      <c r="N882" s="65"/>
      <c r="AY882" s="221"/>
      <c r="AZ882" s="481"/>
      <c r="BA882" s="481"/>
      <c r="BB882" s="481"/>
      <c r="BC882" s="481"/>
      <c r="BD882" s="163">
        <f t="shared" si="550"/>
        <v>81.27</v>
      </c>
      <c r="BE882" s="163">
        <f t="shared" si="547"/>
        <v>103.06</v>
      </c>
      <c r="BF882" s="163">
        <f t="shared" si="557"/>
        <v>206.12</v>
      </c>
    </row>
    <row r="883" spans="1:58" s="62" customFormat="1" ht="30">
      <c r="A883" s="23" t="s">
        <v>1303</v>
      </c>
      <c r="B883" s="24">
        <v>3803</v>
      </c>
      <c r="C883" s="23" t="s">
        <v>282</v>
      </c>
      <c r="D883" s="25" t="s">
        <v>44</v>
      </c>
      <c r="E883" s="25" t="s">
        <v>17</v>
      </c>
      <c r="F883" s="26">
        <v>4</v>
      </c>
      <c r="G883" s="26">
        <f t="shared" si="543"/>
        <v>51.858499999999999</v>
      </c>
      <c r="H883" s="26">
        <f t="shared" si="555"/>
        <v>65.760000000000005</v>
      </c>
      <c r="I883" s="26">
        <f t="shared" ref="I883" si="563">ROUND(H883*F883,2)</f>
        <v>263.04000000000002</v>
      </c>
      <c r="J883" s="64">
        <f>'COMPOSIÇÃO DE CUSTOS'!G1449</f>
        <v>51.86</v>
      </c>
      <c r="K883" s="362">
        <v>61.01</v>
      </c>
      <c r="L883" s="362">
        <f t="shared" si="545"/>
        <v>207.434</v>
      </c>
      <c r="M883" s="64"/>
      <c r="N883" s="65"/>
      <c r="AY883" s="221"/>
      <c r="AZ883" s="481"/>
      <c r="BA883" s="481"/>
      <c r="BB883" s="481"/>
      <c r="BC883" s="481"/>
      <c r="BD883" s="163">
        <f t="shared" si="550"/>
        <v>57.77</v>
      </c>
      <c r="BE883" s="163">
        <f t="shared" si="547"/>
        <v>73.260000000000005</v>
      </c>
      <c r="BF883" s="163">
        <f t="shared" si="557"/>
        <v>293.04000000000002</v>
      </c>
    </row>
    <row r="884" spans="1:58" s="62" customFormat="1" ht="30">
      <c r="A884" s="23" t="s">
        <v>1304</v>
      </c>
      <c r="B884" s="25" t="s">
        <v>2331</v>
      </c>
      <c r="C884" s="23" t="s">
        <v>283</v>
      </c>
      <c r="D884" s="25" t="s">
        <v>1915</v>
      </c>
      <c r="E884" s="25" t="s">
        <v>17</v>
      </c>
      <c r="F884" s="26">
        <v>4</v>
      </c>
      <c r="G884" s="26">
        <f t="shared" si="543"/>
        <v>40.910499999999999</v>
      </c>
      <c r="H884" s="26">
        <f t="shared" si="555"/>
        <v>51.88</v>
      </c>
      <c r="I884" s="26">
        <f t="shared" ref="I884" si="564">ROUND(H884*F884,2)</f>
        <v>207.52</v>
      </c>
      <c r="J884" s="64">
        <f>'COMPOSIÇÃO DE CUSTOS'!G1456</f>
        <v>40.909999999999997</v>
      </c>
      <c r="K884" s="362">
        <v>48.13</v>
      </c>
      <c r="L884" s="362">
        <f t="shared" si="545"/>
        <v>163.642</v>
      </c>
      <c r="M884" s="64"/>
      <c r="N884" s="65"/>
      <c r="AY884" s="221"/>
      <c r="AZ884" s="481"/>
      <c r="BA884" s="481"/>
      <c r="BB884" s="481"/>
      <c r="BC884" s="481"/>
      <c r="BD884" s="163">
        <f t="shared" si="550"/>
        <v>45.57</v>
      </c>
      <c r="BE884" s="163">
        <f t="shared" si="547"/>
        <v>57.79</v>
      </c>
      <c r="BF884" s="163">
        <f t="shared" si="557"/>
        <v>231.16</v>
      </c>
    </row>
    <row r="885" spans="1:58" s="62" customFormat="1" ht="45">
      <c r="A885" s="41" t="s">
        <v>3707</v>
      </c>
      <c r="B885" s="24">
        <v>1573</v>
      </c>
      <c r="C885" s="470" t="s">
        <v>3758</v>
      </c>
      <c r="D885" s="25" t="s">
        <v>12</v>
      </c>
      <c r="E885" s="25" t="s">
        <v>17</v>
      </c>
      <c r="F885" s="26">
        <v>44</v>
      </c>
      <c r="G885" s="26">
        <f t="shared" si="543"/>
        <v>1.1984999999999999</v>
      </c>
      <c r="H885" s="26">
        <f t="shared" si="555"/>
        <v>1.52</v>
      </c>
      <c r="I885" s="26">
        <f t="shared" ref="I885" si="565">ROUND(H885*F885,2)</f>
        <v>66.88</v>
      </c>
      <c r="J885" s="64" t="e">
        <f>IF(B885&lt;&gt;0,VLOOKUP(B885,#REF!,4,FALSE),"")</f>
        <v>#REF!</v>
      </c>
      <c r="K885" s="362" t="s">
        <v>3191</v>
      </c>
      <c r="L885" s="362">
        <f t="shared" si="545"/>
        <v>52.733999999999995</v>
      </c>
      <c r="M885" s="64"/>
      <c r="N885" s="65" t="e">
        <f>IF(B885&lt;&gt;0,VLOOKUP(B885,#REF!,2,FALSE),"")</f>
        <v>#REF!</v>
      </c>
      <c r="AY885" s="221"/>
      <c r="AZ885" s="481"/>
      <c r="BA885" s="481"/>
      <c r="BB885" s="481"/>
      <c r="BC885" s="481"/>
      <c r="BD885" s="163">
        <f t="shared" si="550"/>
        <v>1.34</v>
      </c>
      <c r="BE885" s="163">
        <f t="shared" si="547"/>
        <v>1.7</v>
      </c>
      <c r="BF885" s="163">
        <f t="shared" si="557"/>
        <v>74.8</v>
      </c>
    </row>
    <row r="886" spans="1:58" s="62" customFormat="1" ht="45">
      <c r="A886" s="23" t="s">
        <v>1305</v>
      </c>
      <c r="B886" s="24">
        <v>91924</v>
      </c>
      <c r="C886" s="23" t="s">
        <v>1736</v>
      </c>
      <c r="D886" s="25" t="s">
        <v>12</v>
      </c>
      <c r="E886" s="25" t="s">
        <v>52</v>
      </c>
      <c r="F886" s="26">
        <v>15</v>
      </c>
      <c r="G886" s="26">
        <f t="shared" si="543"/>
        <v>2.0825</v>
      </c>
      <c r="H886" s="26">
        <f t="shared" si="555"/>
        <v>2.64</v>
      </c>
      <c r="I886" s="26">
        <f t="shared" ref="I886:I887" si="566">ROUND(H886*F886,2)</f>
        <v>39.6</v>
      </c>
      <c r="J886" s="64" t="e">
        <f>IF(B886&lt;&gt;0,VLOOKUP(B886,#REF!,4,FALSE),"")</f>
        <v>#REF!</v>
      </c>
      <c r="K886" s="362" t="s">
        <v>1839</v>
      </c>
      <c r="L886" s="362">
        <f t="shared" si="545"/>
        <v>31.237500000000001</v>
      </c>
      <c r="M886" s="64"/>
      <c r="N886" s="65" t="e">
        <f>IF(B886&lt;&gt;0,VLOOKUP(B886,#REF!,2,FALSE),"")</f>
        <v>#REF!</v>
      </c>
      <c r="AY886" s="221"/>
      <c r="AZ886" s="481"/>
      <c r="BA886" s="481"/>
      <c r="BB886" s="481"/>
      <c r="BC886" s="481"/>
      <c r="BD886" s="163">
        <f t="shared" si="550"/>
        <v>2.3199999999999998</v>
      </c>
      <c r="BE886" s="163">
        <f t="shared" si="547"/>
        <v>2.94</v>
      </c>
      <c r="BF886" s="163">
        <f t="shared" si="557"/>
        <v>44.1</v>
      </c>
    </row>
    <row r="887" spans="1:58" s="62" customFormat="1" ht="45">
      <c r="A887" s="23" t="s">
        <v>1306</v>
      </c>
      <c r="B887" s="24">
        <v>91930</v>
      </c>
      <c r="C887" s="23" t="s">
        <v>1731</v>
      </c>
      <c r="D887" s="25" t="s">
        <v>12</v>
      </c>
      <c r="E887" s="25" t="s">
        <v>52</v>
      </c>
      <c r="F887" s="26">
        <v>2</v>
      </c>
      <c r="G887" s="26">
        <f t="shared" si="543"/>
        <v>7.0379999999999994</v>
      </c>
      <c r="H887" s="26">
        <f t="shared" si="555"/>
        <v>8.92</v>
      </c>
      <c r="I887" s="26">
        <f t="shared" si="566"/>
        <v>17.84</v>
      </c>
      <c r="J887" s="64" t="e">
        <f>IF(B887&lt;&gt;0,VLOOKUP(B887,#REF!,4,FALSE),"")</f>
        <v>#REF!</v>
      </c>
      <c r="K887" s="362" t="s">
        <v>3113</v>
      </c>
      <c r="L887" s="362">
        <f t="shared" si="545"/>
        <v>14.075999999999999</v>
      </c>
      <c r="M887" s="64"/>
      <c r="N887" s="65" t="e">
        <f>IF(B887&lt;&gt;0,VLOOKUP(B887,#REF!,2,FALSE),"")</f>
        <v>#REF!</v>
      </c>
      <c r="AY887" s="221"/>
      <c r="AZ887" s="481"/>
      <c r="BA887" s="481"/>
      <c r="BB887" s="481"/>
      <c r="BC887" s="481"/>
      <c r="BD887" s="163">
        <f t="shared" si="550"/>
        <v>7.84</v>
      </c>
      <c r="BE887" s="163">
        <f t="shared" si="547"/>
        <v>9.94</v>
      </c>
      <c r="BF887" s="163">
        <f t="shared" si="557"/>
        <v>19.88</v>
      </c>
    </row>
    <row r="888" spans="1:58" s="62" customFormat="1" ht="15" customHeight="1">
      <c r="A888" s="356" t="s">
        <v>1307</v>
      </c>
      <c r="B888" s="356"/>
      <c r="C888" s="356" t="s">
        <v>284</v>
      </c>
      <c r="D888" s="357"/>
      <c r="E888" s="357"/>
      <c r="F888" s="357"/>
      <c r="G888" s="26"/>
      <c r="H888" s="357"/>
      <c r="I888" s="96"/>
      <c r="J888" s="65"/>
      <c r="K888" s="362"/>
      <c r="L888" s="362">
        <f t="shared" si="545"/>
        <v>0</v>
      </c>
      <c r="M888" s="65"/>
      <c r="N888" s="65"/>
      <c r="AY888" s="221"/>
      <c r="AZ888" s="481"/>
      <c r="BA888" s="481"/>
      <c r="BB888" s="481"/>
      <c r="BC888" s="481"/>
      <c r="BD888" s="163"/>
      <c r="BE888" s="163"/>
      <c r="BF888" s="163"/>
    </row>
    <row r="889" spans="1:58" s="62" customFormat="1" ht="75">
      <c r="A889" s="41" t="s">
        <v>3708</v>
      </c>
      <c r="B889" s="24">
        <v>101875</v>
      </c>
      <c r="C889" s="470" t="s">
        <v>3769</v>
      </c>
      <c r="D889" s="25" t="s">
        <v>12</v>
      </c>
      <c r="E889" s="25" t="s">
        <v>17</v>
      </c>
      <c r="F889" s="26">
        <v>1</v>
      </c>
      <c r="G889" s="26">
        <f t="shared" si="543"/>
        <v>316.88</v>
      </c>
      <c r="H889" s="26">
        <f>ROUND(G889*(1+$J$14),2)</f>
        <v>401.84</v>
      </c>
      <c r="I889" s="26">
        <f t="shared" ref="I889" si="567">ROUND(H889*F889,2)</f>
        <v>401.84</v>
      </c>
      <c r="J889" s="64" t="e">
        <f>IF(B889&lt;&gt;0,VLOOKUP(B889,#REF!,4,FALSE),"")</f>
        <v>#REF!</v>
      </c>
      <c r="K889" s="362" t="s">
        <v>3248</v>
      </c>
      <c r="L889" s="362">
        <f t="shared" si="545"/>
        <v>316.88</v>
      </c>
      <c r="M889" s="64"/>
      <c r="N889" s="65" t="e">
        <f>IF(B889&lt;&gt;0,VLOOKUP(B889,#REF!,2,FALSE),"")</f>
        <v>#REF!</v>
      </c>
      <c r="AY889" s="221"/>
      <c r="AZ889" s="481"/>
      <c r="BA889" s="481"/>
      <c r="BB889" s="481"/>
      <c r="BC889" s="481"/>
      <c r="BD889" s="163">
        <f t="shared" si="550"/>
        <v>353.01</v>
      </c>
      <c r="BE889" s="163">
        <f t="shared" si="547"/>
        <v>447.65</v>
      </c>
      <c r="BF889" s="163">
        <f>ROUND(BE889*F889,2)</f>
        <v>447.65</v>
      </c>
    </row>
    <row r="890" spans="1:58" s="62" customFormat="1">
      <c r="A890" s="23" t="s">
        <v>1308</v>
      </c>
      <c r="B890" s="24">
        <v>101894</v>
      </c>
      <c r="C890" s="23" t="s">
        <v>2487</v>
      </c>
      <c r="D890" s="25" t="s">
        <v>12</v>
      </c>
      <c r="E890" s="25" t="s">
        <v>17</v>
      </c>
      <c r="F890" s="26">
        <v>1</v>
      </c>
      <c r="G890" s="26">
        <f t="shared" si="543"/>
        <v>120.09649999999999</v>
      </c>
      <c r="H890" s="26">
        <f>ROUND(G890*(1+$J$14),2)</f>
        <v>152.29</v>
      </c>
      <c r="I890" s="26">
        <f t="shared" ref="I890" si="568">ROUND(H890*F890,2)</f>
        <v>152.29</v>
      </c>
      <c r="J890" s="64" t="e">
        <f>IF(B890&lt;&gt;0,VLOOKUP(B890,#REF!,4,FALSE),"")</f>
        <v>#REF!</v>
      </c>
      <c r="K890" s="362" t="s">
        <v>3253</v>
      </c>
      <c r="L890" s="362">
        <f t="shared" si="545"/>
        <v>120.09649999999999</v>
      </c>
      <c r="M890" s="64"/>
      <c r="N890" s="65" t="e">
        <f>IF(B890&lt;&gt;0,VLOOKUP(B890,#REF!,2,FALSE),"")</f>
        <v>#REF!</v>
      </c>
      <c r="AY890" s="221"/>
      <c r="AZ890" s="481"/>
      <c r="BA890" s="481"/>
      <c r="BB890" s="481"/>
      <c r="BC890" s="481"/>
      <c r="BD890" s="163">
        <f t="shared" si="550"/>
        <v>133.79</v>
      </c>
      <c r="BE890" s="163">
        <f t="shared" si="547"/>
        <v>169.66</v>
      </c>
      <c r="BF890" s="163">
        <f>ROUND(BE890*F890,2)</f>
        <v>169.66</v>
      </c>
    </row>
    <row r="891" spans="1:58" s="62" customFormat="1" ht="45">
      <c r="A891" s="41" t="s">
        <v>3709</v>
      </c>
      <c r="B891" s="24">
        <v>1577</v>
      </c>
      <c r="C891" s="470" t="s">
        <v>3753</v>
      </c>
      <c r="D891" s="25" t="s">
        <v>12</v>
      </c>
      <c r="E891" s="25" t="s">
        <v>17</v>
      </c>
      <c r="F891" s="26">
        <v>2</v>
      </c>
      <c r="G891" s="26">
        <f t="shared" si="543"/>
        <v>2.4055</v>
      </c>
      <c r="H891" s="26">
        <f>ROUND(G891*(1+$J$14),2)</f>
        <v>3.05</v>
      </c>
      <c r="I891" s="26">
        <f t="shared" ref="I891:I892" si="569">ROUND(H891*F891,2)</f>
        <v>6.1</v>
      </c>
      <c r="J891" s="64" t="e">
        <f>IF(B891&lt;&gt;0,VLOOKUP(B891,#REF!,4,FALSE),"")</f>
        <v>#REF!</v>
      </c>
      <c r="K891" s="362" t="s">
        <v>1895</v>
      </c>
      <c r="L891" s="362">
        <f t="shared" si="545"/>
        <v>4.8109999999999999</v>
      </c>
      <c r="M891" s="64"/>
      <c r="N891" s="65" t="e">
        <f>IF(B891&lt;&gt;0,VLOOKUP(B891,#REF!,2,FALSE),"")</f>
        <v>#REF!</v>
      </c>
      <c r="AY891" s="221"/>
      <c r="AZ891" s="481"/>
      <c r="BA891" s="481"/>
      <c r="BB891" s="481"/>
      <c r="BC891" s="481"/>
      <c r="BD891" s="163">
        <f t="shared" si="550"/>
        <v>2.68</v>
      </c>
      <c r="BE891" s="163">
        <f t="shared" si="547"/>
        <v>3.4</v>
      </c>
      <c r="BF891" s="163">
        <f>ROUND(BE891*F891,2)</f>
        <v>6.8</v>
      </c>
    </row>
    <row r="892" spans="1:58" s="62" customFormat="1" ht="45">
      <c r="A892" s="41" t="s">
        <v>3710</v>
      </c>
      <c r="B892" s="24">
        <v>1579</v>
      </c>
      <c r="C892" s="470" t="s">
        <v>3761</v>
      </c>
      <c r="D892" s="25" t="s">
        <v>12</v>
      </c>
      <c r="E892" s="25" t="s">
        <v>17</v>
      </c>
      <c r="F892" s="26">
        <v>8</v>
      </c>
      <c r="G892" s="26">
        <f t="shared" si="543"/>
        <v>5.2104999999999997</v>
      </c>
      <c r="H892" s="26">
        <f>ROUND(G892*(1+$J$14),2)</f>
        <v>6.61</v>
      </c>
      <c r="I892" s="26">
        <f t="shared" si="569"/>
        <v>52.88</v>
      </c>
      <c r="J892" s="64" t="e">
        <f>IF(B892&lt;&gt;0,VLOOKUP(B892,#REF!,4,FALSE),"")</f>
        <v>#REF!</v>
      </c>
      <c r="K892" s="362" t="s">
        <v>1847</v>
      </c>
      <c r="L892" s="362">
        <f t="shared" si="545"/>
        <v>41.683999999999997</v>
      </c>
      <c r="M892" s="64"/>
      <c r="N892" s="65" t="e">
        <f>IF(B892&lt;&gt;0,VLOOKUP(B892,#REF!,2,FALSE),"")</f>
        <v>#REF!</v>
      </c>
      <c r="AY892" s="221"/>
      <c r="AZ892" s="481"/>
      <c r="BA892" s="481"/>
      <c r="BB892" s="481"/>
      <c r="BC892" s="481"/>
      <c r="BD892" s="163">
        <f t="shared" si="550"/>
        <v>5.8</v>
      </c>
      <c r="BE892" s="163">
        <f t="shared" si="547"/>
        <v>7.35</v>
      </c>
      <c r="BF892" s="163">
        <f>ROUND(BE892*F892,2)</f>
        <v>58.8</v>
      </c>
    </row>
    <row r="893" spans="1:58" s="62" customFormat="1" ht="15" customHeight="1">
      <c r="A893" s="356" t="s">
        <v>1309</v>
      </c>
      <c r="B893" s="356"/>
      <c r="C893" s="356" t="s">
        <v>285</v>
      </c>
      <c r="D893" s="357"/>
      <c r="E893" s="357"/>
      <c r="F893" s="357"/>
      <c r="G893" s="26"/>
      <c r="H893" s="357"/>
      <c r="I893" s="96"/>
      <c r="J893" s="65"/>
      <c r="K893" s="362"/>
      <c r="L893" s="362">
        <f t="shared" si="545"/>
        <v>0</v>
      </c>
      <c r="M893" s="65"/>
      <c r="N893" s="65"/>
      <c r="AY893" s="221"/>
      <c r="AZ893" s="481"/>
      <c r="BA893" s="481"/>
      <c r="BB893" s="481"/>
      <c r="BC893" s="481"/>
      <c r="BD893" s="163"/>
      <c r="BE893" s="163"/>
      <c r="BF893" s="163"/>
    </row>
    <row r="894" spans="1:58" s="62" customFormat="1" ht="75">
      <c r="A894" s="41" t="s">
        <v>3711</v>
      </c>
      <c r="B894" s="24">
        <v>101875</v>
      </c>
      <c r="C894" s="470" t="s">
        <v>3769</v>
      </c>
      <c r="D894" s="25" t="s">
        <v>12</v>
      </c>
      <c r="E894" s="25" t="s">
        <v>17</v>
      </c>
      <c r="F894" s="26">
        <v>1</v>
      </c>
      <c r="G894" s="26">
        <f t="shared" si="543"/>
        <v>316.88</v>
      </c>
      <c r="H894" s="26">
        <f>ROUND(G894*(1+$J$14),2)</f>
        <v>401.84</v>
      </c>
      <c r="I894" s="26">
        <f t="shared" ref="I894" si="570">ROUND(H894*F894,2)</f>
        <v>401.84</v>
      </c>
      <c r="J894" s="64" t="e">
        <f>IF(B894&lt;&gt;0,VLOOKUP(B894,#REF!,4,FALSE),"")</f>
        <v>#REF!</v>
      </c>
      <c r="K894" s="362" t="s">
        <v>3248</v>
      </c>
      <c r="L894" s="362">
        <f t="shared" si="545"/>
        <v>316.88</v>
      </c>
      <c r="M894" s="64"/>
      <c r="N894" s="65" t="e">
        <f>IF(B894&lt;&gt;0,VLOOKUP(B894,#REF!,2,FALSE),"")</f>
        <v>#REF!</v>
      </c>
      <c r="AY894" s="221"/>
      <c r="AZ894" s="481"/>
      <c r="BA894" s="481"/>
      <c r="BB894" s="481"/>
      <c r="BC894" s="481"/>
      <c r="BD894" s="163">
        <f t="shared" si="550"/>
        <v>353.01</v>
      </c>
      <c r="BE894" s="163">
        <f t="shared" si="547"/>
        <v>447.65</v>
      </c>
      <c r="BF894" s="163">
        <f>ROUND(BE894*F894,2)</f>
        <v>447.65</v>
      </c>
    </row>
    <row r="895" spans="1:58" s="62" customFormat="1">
      <c r="A895" s="23" t="s">
        <v>1310</v>
      </c>
      <c r="B895" s="24">
        <v>101895</v>
      </c>
      <c r="C895" s="23" t="s">
        <v>2666</v>
      </c>
      <c r="D895" s="25" t="s">
        <v>12</v>
      </c>
      <c r="E895" s="25" t="s">
        <v>17</v>
      </c>
      <c r="F895" s="26">
        <v>1</v>
      </c>
      <c r="G895" s="26">
        <f t="shared" si="543"/>
        <v>337.58600000000001</v>
      </c>
      <c r="H895" s="26">
        <f>ROUND(G895*(1+$J$14),2)</f>
        <v>428.09</v>
      </c>
      <c r="I895" s="26">
        <f t="shared" ref="I895" si="571">ROUND(H895*F895,2)</f>
        <v>428.09</v>
      </c>
      <c r="J895" s="64" t="e">
        <f>IF(B895&lt;&gt;0,VLOOKUP(B895,#REF!,4,FALSE),"")</f>
        <v>#REF!</v>
      </c>
      <c r="K895" s="362" t="s">
        <v>3254</v>
      </c>
      <c r="L895" s="362">
        <f t="shared" si="545"/>
        <v>337.58600000000001</v>
      </c>
      <c r="M895" s="64"/>
      <c r="N895" s="65" t="e">
        <f>IF(B895&lt;&gt;0,VLOOKUP(B895,#REF!,2,FALSE),"")</f>
        <v>#REF!</v>
      </c>
      <c r="AY895" s="221"/>
      <c r="AZ895" s="481"/>
      <c r="BA895" s="481"/>
      <c r="BB895" s="481"/>
      <c r="BC895" s="481"/>
      <c r="BD895" s="163">
        <f t="shared" si="550"/>
        <v>376.07</v>
      </c>
      <c r="BE895" s="163">
        <f t="shared" si="547"/>
        <v>476.89</v>
      </c>
      <c r="BF895" s="163">
        <f>ROUND(BE895*F895,2)</f>
        <v>476.89</v>
      </c>
    </row>
    <row r="896" spans="1:58" s="62" customFormat="1" ht="45">
      <c r="A896" s="41" t="s">
        <v>3712</v>
      </c>
      <c r="B896" s="24">
        <v>1577</v>
      </c>
      <c r="C896" s="470" t="s">
        <v>3753</v>
      </c>
      <c r="D896" s="25" t="s">
        <v>12</v>
      </c>
      <c r="E896" s="25" t="s">
        <v>17</v>
      </c>
      <c r="F896" s="26">
        <v>2</v>
      </c>
      <c r="G896" s="26">
        <f t="shared" si="543"/>
        <v>2.4055</v>
      </c>
      <c r="H896" s="26">
        <f>ROUND(G896*(1+$J$14),2)</f>
        <v>3.05</v>
      </c>
      <c r="I896" s="26">
        <f t="shared" ref="I896:I897" si="572">ROUND(H896*F896,2)</f>
        <v>6.1</v>
      </c>
      <c r="J896" s="64" t="e">
        <f>IF(B896&lt;&gt;0,VLOOKUP(B896,#REF!,4,FALSE),"")</f>
        <v>#REF!</v>
      </c>
      <c r="K896" s="362" t="s">
        <v>1895</v>
      </c>
      <c r="L896" s="362">
        <f t="shared" si="545"/>
        <v>4.8109999999999999</v>
      </c>
      <c r="M896" s="64"/>
      <c r="N896" s="65" t="e">
        <f>IF(B896&lt;&gt;0,VLOOKUP(B896,#REF!,2,FALSE),"")</f>
        <v>#REF!</v>
      </c>
      <c r="AY896" s="221"/>
      <c r="AZ896" s="481"/>
      <c r="BA896" s="481"/>
      <c r="BB896" s="481"/>
      <c r="BC896" s="481"/>
      <c r="BD896" s="163">
        <f t="shared" si="550"/>
        <v>2.68</v>
      </c>
      <c r="BE896" s="163">
        <f t="shared" si="547"/>
        <v>3.4</v>
      </c>
      <c r="BF896" s="163">
        <f>ROUND(BE896*F896,2)</f>
        <v>6.8</v>
      </c>
    </row>
    <row r="897" spans="1:58" s="62" customFormat="1" ht="45">
      <c r="A897" s="41" t="s">
        <v>3713</v>
      </c>
      <c r="B897" s="24">
        <v>1579</v>
      </c>
      <c r="C897" s="470" t="s">
        <v>3761</v>
      </c>
      <c r="D897" s="25" t="s">
        <v>12</v>
      </c>
      <c r="E897" s="25" t="s">
        <v>17</v>
      </c>
      <c r="F897" s="26">
        <v>8</v>
      </c>
      <c r="G897" s="26">
        <f t="shared" si="543"/>
        <v>5.2104999999999997</v>
      </c>
      <c r="H897" s="26">
        <f>ROUND(G897*(1+$J$14),2)</f>
        <v>6.61</v>
      </c>
      <c r="I897" s="26">
        <f t="shared" si="572"/>
        <v>52.88</v>
      </c>
      <c r="J897" s="64" t="e">
        <f>IF(B897&lt;&gt;0,VLOOKUP(B897,#REF!,4,FALSE),"")</f>
        <v>#REF!</v>
      </c>
      <c r="K897" s="362" t="s">
        <v>1847</v>
      </c>
      <c r="L897" s="362">
        <f t="shared" si="545"/>
        <v>41.683999999999997</v>
      </c>
      <c r="M897" s="64"/>
      <c r="N897" s="65" t="e">
        <f>IF(B897&lt;&gt;0,VLOOKUP(B897,#REF!,2,FALSE),"")</f>
        <v>#REF!</v>
      </c>
      <c r="AY897" s="221"/>
      <c r="AZ897" s="481"/>
      <c r="BA897" s="481"/>
      <c r="BB897" s="481"/>
      <c r="BC897" s="481"/>
      <c r="BD897" s="163">
        <f t="shared" si="550"/>
        <v>5.8</v>
      </c>
      <c r="BE897" s="163">
        <f t="shared" si="547"/>
        <v>7.35</v>
      </c>
      <c r="BF897" s="163">
        <f>ROUND(BE897*F897,2)</f>
        <v>58.8</v>
      </c>
    </row>
    <row r="898" spans="1:58" s="62" customFormat="1" ht="15" customHeight="1">
      <c r="A898" s="356" t="s">
        <v>1311</v>
      </c>
      <c r="B898" s="356"/>
      <c r="C898" s="356" t="s">
        <v>286</v>
      </c>
      <c r="D898" s="357"/>
      <c r="E898" s="357"/>
      <c r="F898" s="357"/>
      <c r="G898" s="26"/>
      <c r="H898" s="357"/>
      <c r="I898" s="96"/>
      <c r="J898" s="65"/>
      <c r="K898" s="362"/>
      <c r="L898" s="362">
        <f t="shared" si="545"/>
        <v>0</v>
      </c>
      <c r="M898" s="65"/>
      <c r="N898" s="65"/>
      <c r="AY898" s="221"/>
      <c r="AZ898" s="481"/>
      <c r="BA898" s="481"/>
      <c r="BB898" s="481"/>
      <c r="BC898" s="481"/>
      <c r="BD898" s="163"/>
      <c r="BE898" s="163"/>
      <c r="BF898" s="163"/>
    </row>
    <row r="899" spans="1:58" s="62" customFormat="1" ht="75">
      <c r="A899" s="41" t="s">
        <v>3714</v>
      </c>
      <c r="B899" s="24">
        <v>101875</v>
      </c>
      <c r="C899" s="470" t="s">
        <v>3769</v>
      </c>
      <c r="D899" s="25" t="s">
        <v>12</v>
      </c>
      <c r="E899" s="25" t="s">
        <v>17</v>
      </c>
      <c r="F899" s="26">
        <v>1</v>
      </c>
      <c r="G899" s="26">
        <f t="shared" si="543"/>
        <v>316.88</v>
      </c>
      <c r="H899" s="26">
        <f>ROUND(G899*(1+$J$14),2)</f>
        <v>401.84</v>
      </c>
      <c r="I899" s="26">
        <f t="shared" ref="I899" si="573">ROUND(H899*F899,2)</f>
        <v>401.84</v>
      </c>
      <c r="J899" s="64" t="e">
        <f>IF(B899&lt;&gt;0,VLOOKUP(B899,#REF!,4,FALSE),"")</f>
        <v>#REF!</v>
      </c>
      <c r="K899" s="362" t="s">
        <v>3248</v>
      </c>
      <c r="L899" s="362">
        <f t="shared" si="545"/>
        <v>316.88</v>
      </c>
      <c r="M899" s="64"/>
      <c r="N899" s="65" t="e">
        <f>IF(B899&lt;&gt;0,VLOOKUP(B899,#REF!,2,FALSE),"")</f>
        <v>#REF!</v>
      </c>
      <c r="AY899" s="221"/>
      <c r="AZ899" s="481"/>
      <c r="BA899" s="481"/>
      <c r="BB899" s="481"/>
      <c r="BC899" s="481"/>
      <c r="BD899" s="163">
        <f t="shared" si="550"/>
        <v>353.01</v>
      </c>
      <c r="BE899" s="163">
        <f t="shared" si="547"/>
        <v>447.65</v>
      </c>
      <c r="BF899" s="163">
        <f>ROUND(BE899*F899,2)</f>
        <v>447.65</v>
      </c>
    </row>
    <row r="900" spans="1:58" s="62" customFormat="1" ht="30">
      <c r="A900" s="23" t="s">
        <v>1312</v>
      </c>
      <c r="B900" s="24">
        <v>101894</v>
      </c>
      <c r="C900" s="23" t="s">
        <v>260</v>
      </c>
      <c r="D900" s="25" t="s">
        <v>12</v>
      </c>
      <c r="E900" s="25" t="s">
        <v>17</v>
      </c>
      <c r="F900" s="26">
        <v>1</v>
      </c>
      <c r="G900" s="26">
        <f t="shared" si="543"/>
        <v>120.09649999999999</v>
      </c>
      <c r="H900" s="26">
        <f>ROUND(G900*(1+$J$14),2)</f>
        <v>152.29</v>
      </c>
      <c r="I900" s="26">
        <f t="shared" ref="I900" si="574">ROUND(H900*F900,2)</f>
        <v>152.29</v>
      </c>
      <c r="J900" s="64" t="e">
        <f>IF(B900&lt;&gt;0,VLOOKUP(B900,#REF!,4,FALSE),"")</f>
        <v>#REF!</v>
      </c>
      <c r="K900" s="362" t="s">
        <v>3253</v>
      </c>
      <c r="L900" s="362">
        <f t="shared" si="545"/>
        <v>120.09649999999999</v>
      </c>
      <c r="M900" s="64"/>
      <c r="N900" s="65" t="e">
        <f>IF(B900&lt;&gt;0,VLOOKUP(B900,#REF!,2,FALSE),"")</f>
        <v>#REF!</v>
      </c>
      <c r="AY900" s="221"/>
      <c r="AZ900" s="481"/>
      <c r="BA900" s="481"/>
      <c r="BB900" s="481"/>
      <c r="BC900" s="481"/>
      <c r="BD900" s="163">
        <f t="shared" si="550"/>
        <v>133.79</v>
      </c>
      <c r="BE900" s="163">
        <f t="shared" si="547"/>
        <v>169.66</v>
      </c>
      <c r="BF900" s="163">
        <f>ROUND(BE900*F900,2)</f>
        <v>169.66</v>
      </c>
    </row>
    <row r="901" spans="1:58" s="62" customFormat="1" ht="45">
      <c r="A901" s="41" t="s">
        <v>3715</v>
      </c>
      <c r="B901" s="24">
        <v>1578</v>
      </c>
      <c r="C901" s="470" t="s">
        <v>3752</v>
      </c>
      <c r="D901" s="25" t="s">
        <v>12</v>
      </c>
      <c r="E901" s="25" t="s">
        <v>17</v>
      </c>
      <c r="F901" s="26">
        <v>2</v>
      </c>
      <c r="G901" s="26">
        <f t="shared" si="543"/>
        <v>4.1820000000000004</v>
      </c>
      <c r="H901" s="26">
        <f>ROUND(G901*(1+$J$14),2)</f>
        <v>5.3</v>
      </c>
      <c r="I901" s="26">
        <f t="shared" ref="I901:I902" si="575">ROUND(H901*F901,2)</f>
        <v>10.6</v>
      </c>
      <c r="J901" s="64" t="e">
        <f>IF(B901&lt;&gt;0,VLOOKUP(B901,#REF!,4,FALSE),"")</f>
        <v>#REF!</v>
      </c>
      <c r="K901" s="362" t="s">
        <v>3144</v>
      </c>
      <c r="L901" s="362">
        <f t="shared" si="545"/>
        <v>8.3640000000000008</v>
      </c>
      <c r="M901" s="64"/>
      <c r="N901" s="65" t="e">
        <f>IF(B901&lt;&gt;0,VLOOKUP(B901,#REF!,2,FALSE),"")</f>
        <v>#REF!</v>
      </c>
      <c r="AY901" s="221"/>
      <c r="AZ901" s="481"/>
      <c r="BA901" s="481"/>
      <c r="BB901" s="481"/>
      <c r="BC901" s="481"/>
      <c r="BD901" s="163">
        <f t="shared" si="550"/>
        <v>4.66</v>
      </c>
      <c r="BE901" s="163">
        <f t="shared" si="547"/>
        <v>5.91</v>
      </c>
      <c r="BF901" s="163">
        <f>ROUND(BE901*F901,2)</f>
        <v>11.82</v>
      </c>
    </row>
    <row r="902" spans="1:58" s="62" customFormat="1" ht="45">
      <c r="A902" s="41" t="s">
        <v>3716</v>
      </c>
      <c r="B902" s="24">
        <v>1580</v>
      </c>
      <c r="C902" s="470" t="s">
        <v>3763</v>
      </c>
      <c r="D902" s="25" t="s">
        <v>12</v>
      </c>
      <c r="E902" s="25" t="s">
        <v>17</v>
      </c>
      <c r="F902" s="26">
        <v>8</v>
      </c>
      <c r="G902" s="26">
        <f t="shared" si="543"/>
        <v>6.4175000000000004</v>
      </c>
      <c r="H902" s="26">
        <f>ROUND(G902*(1+$J$14),2)</f>
        <v>8.14</v>
      </c>
      <c r="I902" s="26">
        <f t="shared" si="575"/>
        <v>65.12</v>
      </c>
      <c r="J902" s="64" t="e">
        <f>IF(B902&lt;&gt;0,VLOOKUP(B902,#REF!,4,FALSE),"")</f>
        <v>#REF!</v>
      </c>
      <c r="K902" s="362" t="s">
        <v>3158</v>
      </c>
      <c r="L902" s="362">
        <f t="shared" si="545"/>
        <v>51.34</v>
      </c>
      <c r="M902" s="64"/>
      <c r="N902" s="65" t="e">
        <f>IF(B902&lt;&gt;0,VLOOKUP(B902,#REF!,2,FALSE),"")</f>
        <v>#REF!</v>
      </c>
      <c r="AY902" s="221"/>
      <c r="AZ902" s="481"/>
      <c r="BA902" s="481"/>
      <c r="BB902" s="481"/>
      <c r="BC902" s="481"/>
      <c r="BD902" s="163">
        <f t="shared" si="550"/>
        <v>7.15</v>
      </c>
      <c r="BE902" s="163">
        <f t="shared" si="547"/>
        <v>9.07</v>
      </c>
      <c r="BF902" s="163">
        <f>ROUND(BE902*F902,2)</f>
        <v>72.56</v>
      </c>
    </row>
    <row r="903" spans="1:58" s="62" customFormat="1" ht="15" customHeight="1">
      <c r="A903" s="356" t="s">
        <v>1313</v>
      </c>
      <c r="B903" s="356"/>
      <c r="C903" s="356" t="s">
        <v>287</v>
      </c>
      <c r="D903" s="357"/>
      <c r="E903" s="357"/>
      <c r="F903" s="357"/>
      <c r="G903" s="26"/>
      <c r="H903" s="357"/>
      <c r="I903" s="96"/>
      <c r="J903" s="65"/>
      <c r="K903" s="362"/>
      <c r="L903" s="362">
        <f t="shared" si="545"/>
        <v>0</v>
      </c>
      <c r="M903" s="65"/>
      <c r="N903" s="65"/>
      <c r="AY903" s="221"/>
      <c r="AZ903" s="481"/>
      <c r="BA903" s="481"/>
      <c r="BB903" s="481"/>
      <c r="BC903" s="481"/>
      <c r="BD903" s="163"/>
      <c r="BE903" s="163"/>
      <c r="BF903" s="163"/>
    </row>
    <row r="904" spans="1:58" s="62" customFormat="1" ht="75">
      <c r="A904" s="41" t="s">
        <v>3717</v>
      </c>
      <c r="B904" s="24">
        <v>101875</v>
      </c>
      <c r="C904" s="470" t="s">
        <v>3769</v>
      </c>
      <c r="D904" s="25" t="s">
        <v>12</v>
      </c>
      <c r="E904" s="25" t="s">
        <v>17</v>
      </c>
      <c r="F904" s="26">
        <v>1</v>
      </c>
      <c r="G904" s="26">
        <f t="shared" si="543"/>
        <v>316.88</v>
      </c>
      <c r="H904" s="26">
        <f>ROUND(G904*(1+$J$14),2)</f>
        <v>401.84</v>
      </c>
      <c r="I904" s="26">
        <f t="shared" ref="I904" si="576">ROUND(H904*F904,2)</f>
        <v>401.84</v>
      </c>
      <c r="J904" s="64" t="e">
        <f>IF(B904&lt;&gt;0,VLOOKUP(B904,#REF!,4,FALSE),"")</f>
        <v>#REF!</v>
      </c>
      <c r="K904" s="362" t="s">
        <v>3248</v>
      </c>
      <c r="L904" s="362">
        <f t="shared" si="545"/>
        <v>316.88</v>
      </c>
      <c r="M904" s="64"/>
      <c r="N904" s="65" t="e">
        <f>IF(B904&lt;&gt;0,VLOOKUP(B904,#REF!,2,FALSE),"")</f>
        <v>#REF!</v>
      </c>
      <c r="AY904" s="221"/>
      <c r="AZ904" s="481"/>
      <c r="BA904" s="481"/>
      <c r="BB904" s="481"/>
      <c r="BC904" s="481"/>
      <c r="BD904" s="163">
        <f t="shared" si="550"/>
        <v>353.01</v>
      </c>
      <c r="BE904" s="163">
        <f t="shared" si="547"/>
        <v>447.65</v>
      </c>
      <c r="BF904" s="163">
        <f>ROUND(BE904*F904,2)</f>
        <v>447.65</v>
      </c>
    </row>
    <row r="905" spans="1:58" s="62" customFormat="1" ht="45">
      <c r="A905" s="23" t="s">
        <v>1314</v>
      </c>
      <c r="B905" s="24">
        <v>101896</v>
      </c>
      <c r="C905" s="23" t="s">
        <v>270</v>
      </c>
      <c r="D905" s="25" t="s">
        <v>12</v>
      </c>
      <c r="E905" s="25" t="s">
        <v>17</v>
      </c>
      <c r="F905" s="26">
        <v>1</v>
      </c>
      <c r="G905" s="26">
        <f t="shared" si="543"/>
        <v>515.48250000000007</v>
      </c>
      <c r="H905" s="26">
        <f>ROUND(G905*(1+$J$14),2)</f>
        <v>653.67999999999995</v>
      </c>
      <c r="I905" s="26">
        <f t="shared" ref="I905" si="577">ROUND(H905*F905,2)</f>
        <v>653.67999999999995</v>
      </c>
      <c r="J905" s="64" t="e">
        <f>IF(B905&lt;&gt;0,VLOOKUP(B905,#REF!,4,FALSE),"")</f>
        <v>#REF!</v>
      </c>
      <c r="K905" s="362" t="s">
        <v>3155</v>
      </c>
      <c r="L905" s="362">
        <f t="shared" si="545"/>
        <v>515.48250000000007</v>
      </c>
      <c r="M905" s="64"/>
      <c r="N905" s="65" t="e">
        <f>IF(B905&lt;&gt;0,VLOOKUP(B905,#REF!,2,FALSE),"")</f>
        <v>#REF!</v>
      </c>
      <c r="AY905" s="221"/>
      <c r="AZ905" s="481"/>
      <c r="BA905" s="481"/>
      <c r="BB905" s="481"/>
      <c r="BC905" s="481"/>
      <c r="BD905" s="163">
        <f t="shared" si="550"/>
        <v>574.25</v>
      </c>
      <c r="BE905" s="163">
        <f t="shared" si="547"/>
        <v>728.21</v>
      </c>
      <c r="BF905" s="163">
        <f>ROUND(BE905*F905,2)</f>
        <v>728.21</v>
      </c>
    </row>
    <row r="906" spans="1:58" s="62" customFormat="1" ht="45">
      <c r="A906" s="41" t="s">
        <v>3718</v>
      </c>
      <c r="B906" s="24">
        <v>1578</v>
      </c>
      <c r="C906" s="470" t="s">
        <v>3752</v>
      </c>
      <c r="D906" s="25" t="s">
        <v>12</v>
      </c>
      <c r="E906" s="25" t="s">
        <v>17</v>
      </c>
      <c r="F906" s="26">
        <v>2</v>
      </c>
      <c r="G906" s="26">
        <f t="shared" si="543"/>
        <v>4.1820000000000004</v>
      </c>
      <c r="H906" s="26">
        <f>ROUND(G906*(1+$J$14),2)</f>
        <v>5.3</v>
      </c>
      <c r="I906" s="26">
        <f t="shared" ref="I906:I907" si="578">ROUND(H906*F906,2)</f>
        <v>10.6</v>
      </c>
      <c r="J906" s="64" t="e">
        <f>IF(B906&lt;&gt;0,VLOOKUP(B906,#REF!,4,FALSE),"")</f>
        <v>#REF!</v>
      </c>
      <c r="K906" s="362" t="s">
        <v>3144</v>
      </c>
      <c r="L906" s="362">
        <f t="shared" si="545"/>
        <v>8.3640000000000008</v>
      </c>
      <c r="M906" s="64"/>
      <c r="N906" s="65" t="e">
        <f>IF(B906&lt;&gt;0,VLOOKUP(B906,#REF!,2,FALSE),"")</f>
        <v>#REF!</v>
      </c>
      <c r="AY906" s="221"/>
      <c r="AZ906" s="481"/>
      <c r="BA906" s="481"/>
      <c r="BB906" s="481"/>
      <c r="BC906" s="481"/>
      <c r="BD906" s="163">
        <f t="shared" si="550"/>
        <v>4.66</v>
      </c>
      <c r="BE906" s="163">
        <f t="shared" si="547"/>
        <v>5.91</v>
      </c>
      <c r="BF906" s="163">
        <f>ROUND(BE906*F906,2)</f>
        <v>11.82</v>
      </c>
    </row>
    <row r="907" spans="1:58" s="62" customFormat="1" ht="45">
      <c r="A907" s="41" t="s">
        <v>3719</v>
      </c>
      <c r="B907" s="24">
        <v>1580</v>
      </c>
      <c r="C907" s="470" t="s">
        <v>3763</v>
      </c>
      <c r="D907" s="25" t="s">
        <v>12</v>
      </c>
      <c r="E907" s="25" t="s">
        <v>17</v>
      </c>
      <c r="F907" s="26">
        <v>8</v>
      </c>
      <c r="G907" s="26">
        <f t="shared" si="543"/>
        <v>6.4175000000000004</v>
      </c>
      <c r="H907" s="26">
        <f>ROUND(G907*(1+$J$14),2)</f>
        <v>8.14</v>
      </c>
      <c r="I907" s="26">
        <f t="shared" si="578"/>
        <v>65.12</v>
      </c>
      <c r="J907" s="64" t="e">
        <f>IF(B907&lt;&gt;0,VLOOKUP(B907,#REF!,4,FALSE),"")</f>
        <v>#REF!</v>
      </c>
      <c r="K907" s="362" t="s">
        <v>3158</v>
      </c>
      <c r="L907" s="362">
        <f t="shared" si="545"/>
        <v>51.34</v>
      </c>
      <c r="M907" s="64"/>
      <c r="N907" s="65" t="e">
        <f>IF(B907&lt;&gt;0,VLOOKUP(B907,#REF!,2,FALSE),"")</f>
        <v>#REF!</v>
      </c>
      <c r="AY907" s="221"/>
      <c r="AZ907" s="481"/>
      <c r="BA907" s="481"/>
      <c r="BB907" s="481"/>
      <c r="BC907" s="481"/>
      <c r="BD907" s="163">
        <f t="shared" si="550"/>
        <v>7.15</v>
      </c>
      <c r="BE907" s="163">
        <f t="shared" si="547"/>
        <v>9.07</v>
      </c>
      <c r="BF907" s="163">
        <f>ROUND(BE907*F907,2)</f>
        <v>72.56</v>
      </c>
    </row>
    <row r="908" spans="1:58" s="62" customFormat="1" ht="15" customHeight="1">
      <c r="A908" s="356" t="s">
        <v>1315</v>
      </c>
      <c r="B908" s="356"/>
      <c r="C908" s="356" t="s">
        <v>288</v>
      </c>
      <c r="D908" s="357"/>
      <c r="E908" s="357"/>
      <c r="F908" s="357"/>
      <c r="G908" s="26"/>
      <c r="H908" s="357"/>
      <c r="I908" s="96"/>
      <c r="J908" s="65"/>
      <c r="K908" s="362"/>
      <c r="L908" s="362">
        <f t="shared" si="545"/>
        <v>0</v>
      </c>
      <c r="M908" s="65"/>
      <c r="N908" s="65"/>
      <c r="AY908" s="221"/>
      <c r="AZ908" s="481"/>
      <c r="BA908" s="481"/>
      <c r="BB908" s="481"/>
      <c r="BC908" s="481"/>
      <c r="BD908" s="163"/>
      <c r="BE908" s="163"/>
      <c r="BF908" s="163"/>
    </row>
    <row r="909" spans="1:58" s="62" customFormat="1" ht="75">
      <c r="A909" s="41" t="s">
        <v>3720</v>
      </c>
      <c r="B909" s="24">
        <v>101879</v>
      </c>
      <c r="C909" s="470" t="s">
        <v>3770</v>
      </c>
      <c r="D909" s="25" t="s">
        <v>12</v>
      </c>
      <c r="E909" s="25" t="s">
        <v>17</v>
      </c>
      <c r="F909" s="26">
        <v>1</v>
      </c>
      <c r="G909" s="26">
        <f t="shared" si="543"/>
        <v>460.73399999999998</v>
      </c>
      <c r="H909" s="26">
        <f t="shared" ref="H909:H916" si="579">ROUND(G909*(1+$J$14),2)</f>
        <v>584.26</v>
      </c>
      <c r="I909" s="26">
        <f t="shared" ref="I909" si="580">ROUND(H909*F909,2)</f>
        <v>584.26</v>
      </c>
      <c r="J909" s="64" t="e">
        <f>IF(B909&lt;&gt;0,VLOOKUP(B909,#REF!,4,FALSE),"")</f>
        <v>#REF!</v>
      </c>
      <c r="K909" s="362" t="s">
        <v>3250</v>
      </c>
      <c r="L909" s="362">
        <f t="shared" si="545"/>
        <v>460.73399999999998</v>
      </c>
      <c r="M909" s="64"/>
      <c r="N909" s="65" t="e">
        <f>IF(B909&lt;&gt;0,VLOOKUP(B909,#REF!,2,FALSE),"")</f>
        <v>#REF!</v>
      </c>
      <c r="AY909" s="221"/>
      <c r="AZ909" s="481"/>
      <c r="BA909" s="481"/>
      <c r="BB909" s="481"/>
      <c r="BC909" s="481"/>
      <c r="BD909" s="163">
        <f t="shared" si="550"/>
        <v>513.26</v>
      </c>
      <c r="BE909" s="163">
        <f t="shared" si="547"/>
        <v>650.87</v>
      </c>
      <c r="BF909" s="163">
        <f t="shared" ref="BF909:BF916" si="581">ROUND(BE909*F909,2)</f>
        <v>650.87</v>
      </c>
    </row>
    <row r="910" spans="1:58" s="62" customFormat="1" ht="30">
      <c r="A910" s="23" t="s">
        <v>1316</v>
      </c>
      <c r="B910" s="24">
        <v>9041</v>
      </c>
      <c r="C910" s="23" t="s">
        <v>1927</v>
      </c>
      <c r="D910" s="25" t="s">
        <v>44</v>
      </c>
      <c r="E910" s="25" t="s">
        <v>17</v>
      </c>
      <c r="F910" s="26">
        <v>4</v>
      </c>
      <c r="G910" s="26">
        <f t="shared" si="543"/>
        <v>97.393000000000001</v>
      </c>
      <c r="H910" s="26">
        <f t="shared" si="579"/>
        <v>123.5</v>
      </c>
      <c r="I910" s="26">
        <f t="shared" ref="I910" si="582">ROUND(H910*F910,2)</f>
        <v>494</v>
      </c>
      <c r="J910" s="64">
        <f>'COMPOSIÇÃO DE CUSTOS'!G1869</f>
        <v>97.39</v>
      </c>
      <c r="K910" s="362">
        <v>114.58</v>
      </c>
      <c r="L910" s="362">
        <f t="shared" si="545"/>
        <v>389.572</v>
      </c>
      <c r="M910" s="64"/>
      <c r="N910" s="65"/>
      <c r="AY910" s="221"/>
      <c r="AZ910" s="481"/>
      <c r="BA910" s="481"/>
      <c r="BB910" s="481"/>
      <c r="BC910" s="481"/>
      <c r="BD910" s="163">
        <f t="shared" si="550"/>
        <v>108.5</v>
      </c>
      <c r="BE910" s="163">
        <f t="shared" si="547"/>
        <v>137.59</v>
      </c>
      <c r="BF910" s="163">
        <f t="shared" si="581"/>
        <v>550.36</v>
      </c>
    </row>
    <row r="911" spans="1:58" s="62" customFormat="1">
      <c r="A911" s="23" t="s">
        <v>1317</v>
      </c>
      <c r="B911" s="24">
        <v>7996</v>
      </c>
      <c r="C911" s="23" t="s">
        <v>265</v>
      </c>
      <c r="D911" s="25" t="s">
        <v>44</v>
      </c>
      <c r="E911" s="25" t="s">
        <v>17</v>
      </c>
      <c r="F911" s="26">
        <v>1</v>
      </c>
      <c r="G911" s="26">
        <f t="shared" si="543"/>
        <v>127.449</v>
      </c>
      <c r="H911" s="26">
        <f t="shared" si="579"/>
        <v>161.62</v>
      </c>
      <c r="I911" s="26">
        <f t="shared" ref="I911" si="583">ROUND(H911*F911,2)</f>
        <v>161.62</v>
      </c>
      <c r="J911" s="64">
        <f>'COMPOSIÇÃO DE CUSTOS'!G1877</f>
        <v>127.45</v>
      </c>
      <c r="K911" s="362">
        <v>149.94</v>
      </c>
      <c r="L911" s="362">
        <f t="shared" si="545"/>
        <v>127.449</v>
      </c>
      <c r="M911" s="64"/>
      <c r="N911" s="65"/>
      <c r="AY911" s="221"/>
      <c r="AZ911" s="481"/>
      <c r="BA911" s="481"/>
      <c r="BB911" s="481"/>
      <c r="BC911" s="481"/>
      <c r="BD911" s="163">
        <f t="shared" si="550"/>
        <v>141.97999999999999</v>
      </c>
      <c r="BE911" s="163">
        <f t="shared" si="547"/>
        <v>180.04</v>
      </c>
      <c r="BF911" s="163">
        <f t="shared" si="581"/>
        <v>180.04</v>
      </c>
    </row>
    <row r="912" spans="1:58" s="62" customFormat="1" ht="30">
      <c r="A912" s="23" t="s">
        <v>1318</v>
      </c>
      <c r="B912" s="24">
        <v>93653</v>
      </c>
      <c r="C912" s="23" t="s">
        <v>1729</v>
      </c>
      <c r="D912" s="25" t="s">
        <v>12</v>
      </c>
      <c r="E912" s="25" t="s">
        <v>17</v>
      </c>
      <c r="F912" s="26">
        <v>4</v>
      </c>
      <c r="G912" s="26">
        <f t="shared" si="543"/>
        <v>9.2735000000000003</v>
      </c>
      <c r="H912" s="26">
        <f t="shared" si="579"/>
        <v>11.76</v>
      </c>
      <c r="I912" s="26">
        <f t="shared" ref="I912" si="584">ROUND(H912*F912,2)</f>
        <v>47.04</v>
      </c>
      <c r="J912" s="64" t="e">
        <f>IF(B912&lt;&gt;0,VLOOKUP(B912,#REF!,4,FALSE),"")</f>
        <v>#REF!</v>
      </c>
      <c r="K912" s="362" t="s">
        <v>3229</v>
      </c>
      <c r="L912" s="362">
        <f t="shared" si="545"/>
        <v>37.094000000000001</v>
      </c>
      <c r="M912" s="64"/>
      <c r="N912" s="65" t="e">
        <f>IF(B912&lt;&gt;0,VLOOKUP(B912,#REF!,2,FALSE),"")</f>
        <v>#REF!</v>
      </c>
      <c r="AY912" s="221"/>
      <c r="AZ912" s="481"/>
      <c r="BA912" s="481"/>
      <c r="BB912" s="481"/>
      <c r="BC912" s="481"/>
      <c r="BD912" s="163">
        <f t="shared" si="550"/>
        <v>10.33</v>
      </c>
      <c r="BE912" s="163">
        <f t="shared" si="547"/>
        <v>13.1</v>
      </c>
      <c r="BF912" s="163">
        <f t="shared" si="581"/>
        <v>52.4</v>
      </c>
    </row>
    <row r="913" spans="1:58" s="62" customFormat="1" ht="45">
      <c r="A913" s="41" t="s">
        <v>3721</v>
      </c>
      <c r="B913" s="24">
        <v>1570</v>
      </c>
      <c r="C913" s="470" t="s">
        <v>3757</v>
      </c>
      <c r="D913" s="25" t="s">
        <v>12</v>
      </c>
      <c r="E913" s="25" t="s">
        <v>17</v>
      </c>
      <c r="F913" s="26">
        <v>8</v>
      </c>
      <c r="G913" s="26">
        <f t="shared" si="543"/>
        <v>0.77350000000000008</v>
      </c>
      <c r="H913" s="26">
        <f t="shared" si="579"/>
        <v>0.98</v>
      </c>
      <c r="I913" s="26">
        <f t="shared" ref="I913:I915" si="585">ROUND(H913*F913,2)</f>
        <v>7.84</v>
      </c>
      <c r="J913" s="64" t="e">
        <f>IF(B913&lt;&gt;0,VLOOKUP(B913,#REF!,4,FALSE),"")</f>
        <v>#REF!</v>
      </c>
      <c r="K913" s="362" t="s">
        <v>1859</v>
      </c>
      <c r="L913" s="362">
        <f t="shared" si="545"/>
        <v>6.1880000000000006</v>
      </c>
      <c r="M913" s="64"/>
      <c r="N913" s="65" t="e">
        <f>IF(B913&lt;&gt;0,VLOOKUP(B913,#REF!,2,FALSE),"")</f>
        <v>#REF!</v>
      </c>
      <c r="AY913" s="221"/>
      <c r="AZ913" s="481"/>
      <c r="BA913" s="481"/>
      <c r="BB913" s="481"/>
      <c r="BC913" s="481"/>
      <c r="BD913" s="163">
        <f t="shared" si="550"/>
        <v>0.86</v>
      </c>
      <c r="BE913" s="163">
        <f t="shared" si="547"/>
        <v>1.0900000000000001</v>
      </c>
      <c r="BF913" s="163">
        <f t="shared" si="581"/>
        <v>8.7200000000000006</v>
      </c>
    </row>
    <row r="914" spans="1:58" s="62" customFormat="1" ht="45">
      <c r="A914" s="41" t="s">
        <v>3722</v>
      </c>
      <c r="B914" s="24">
        <v>1573</v>
      </c>
      <c r="C914" s="470" t="s">
        <v>3758</v>
      </c>
      <c r="D914" s="25" t="s">
        <v>12</v>
      </c>
      <c r="E914" s="25" t="s">
        <v>17</v>
      </c>
      <c r="F914" s="26">
        <v>22</v>
      </c>
      <c r="G914" s="26">
        <f t="shared" si="543"/>
        <v>1.1984999999999999</v>
      </c>
      <c r="H914" s="26">
        <f t="shared" si="579"/>
        <v>1.52</v>
      </c>
      <c r="I914" s="26">
        <f t="shared" si="585"/>
        <v>33.44</v>
      </c>
      <c r="J914" s="64" t="e">
        <f>IF(B914&lt;&gt;0,VLOOKUP(B914,#REF!,4,FALSE),"")</f>
        <v>#REF!</v>
      </c>
      <c r="K914" s="362" t="s">
        <v>3191</v>
      </c>
      <c r="L914" s="362">
        <f t="shared" si="545"/>
        <v>26.366999999999997</v>
      </c>
      <c r="M914" s="64"/>
      <c r="N914" s="65" t="e">
        <f>IF(B914&lt;&gt;0,VLOOKUP(B914,#REF!,2,FALSE),"")</f>
        <v>#REF!</v>
      </c>
      <c r="AY914" s="221"/>
      <c r="AZ914" s="481"/>
      <c r="BA914" s="481"/>
      <c r="BB914" s="481"/>
      <c r="BC914" s="481"/>
      <c r="BD914" s="163">
        <f t="shared" si="550"/>
        <v>1.34</v>
      </c>
      <c r="BE914" s="163">
        <f t="shared" si="547"/>
        <v>1.7</v>
      </c>
      <c r="BF914" s="163">
        <f t="shared" si="581"/>
        <v>37.4</v>
      </c>
    </row>
    <row r="915" spans="1:58" s="62" customFormat="1" ht="45">
      <c r="A915" s="41" t="s">
        <v>3723</v>
      </c>
      <c r="B915" s="24">
        <v>1575</v>
      </c>
      <c r="C915" s="470" t="s">
        <v>3765</v>
      </c>
      <c r="D915" s="25" t="s">
        <v>12</v>
      </c>
      <c r="E915" s="25" t="s">
        <v>17</v>
      </c>
      <c r="F915" s="26">
        <v>11</v>
      </c>
      <c r="G915" s="26">
        <f t="shared" si="543"/>
        <v>1.5470000000000002</v>
      </c>
      <c r="H915" s="26">
        <f t="shared" si="579"/>
        <v>1.96</v>
      </c>
      <c r="I915" s="26">
        <f t="shared" si="585"/>
        <v>21.56</v>
      </c>
      <c r="J915" s="64" t="e">
        <f>IF(B915&lt;&gt;0,VLOOKUP(B915,#REF!,4,FALSE),"")</f>
        <v>#REF!</v>
      </c>
      <c r="K915" s="362" t="s">
        <v>1862</v>
      </c>
      <c r="L915" s="362">
        <f t="shared" si="545"/>
        <v>17.017000000000003</v>
      </c>
      <c r="M915" s="64"/>
      <c r="N915" s="65" t="e">
        <f>IF(B915&lt;&gt;0,VLOOKUP(B915,#REF!,2,FALSE),"")</f>
        <v>#REF!</v>
      </c>
      <c r="AY915" s="221"/>
      <c r="AZ915" s="481"/>
      <c r="BA915" s="481"/>
      <c r="BB915" s="481"/>
      <c r="BC915" s="481"/>
      <c r="BD915" s="163">
        <f t="shared" si="550"/>
        <v>1.72</v>
      </c>
      <c r="BE915" s="163">
        <f t="shared" si="547"/>
        <v>2.1800000000000002</v>
      </c>
      <c r="BF915" s="163">
        <f t="shared" si="581"/>
        <v>23.98</v>
      </c>
    </row>
    <row r="916" spans="1:58" s="62" customFormat="1" ht="45">
      <c r="A916" s="23" t="s">
        <v>1319</v>
      </c>
      <c r="B916" s="24">
        <v>91930</v>
      </c>
      <c r="C916" s="23" t="s">
        <v>1731</v>
      </c>
      <c r="D916" s="25" t="s">
        <v>12</v>
      </c>
      <c r="E916" s="25" t="s">
        <v>52</v>
      </c>
      <c r="F916" s="26">
        <v>2</v>
      </c>
      <c r="G916" s="26">
        <f t="shared" si="543"/>
        <v>7.0379999999999994</v>
      </c>
      <c r="H916" s="26">
        <f t="shared" si="579"/>
        <v>8.92</v>
      </c>
      <c r="I916" s="26">
        <f t="shared" ref="I916" si="586">ROUND(H916*F916,2)</f>
        <v>17.84</v>
      </c>
      <c r="J916" s="64" t="e">
        <f>IF(B916&lt;&gt;0,VLOOKUP(B916,#REF!,4,FALSE),"")</f>
        <v>#REF!</v>
      </c>
      <c r="K916" s="362" t="s">
        <v>3113</v>
      </c>
      <c r="L916" s="362">
        <f t="shared" si="545"/>
        <v>14.075999999999999</v>
      </c>
      <c r="M916" s="64"/>
      <c r="N916" s="65" t="e">
        <f>IF(B916&lt;&gt;0,VLOOKUP(B916,#REF!,2,FALSE),"")</f>
        <v>#REF!</v>
      </c>
      <c r="AY916" s="221"/>
      <c r="AZ916" s="481"/>
      <c r="BA916" s="481"/>
      <c r="BB916" s="481"/>
      <c r="BC916" s="481"/>
      <c r="BD916" s="163">
        <f t="shared" si="550"/>
        <v>7.84</v>
      </c>
      <c r="BE916" s="163">
        <f t="shared" si="547"/>
        <v>9.94</v>
      </c>
      <c r="BF916" s="163">
        <f t="shared" si="581"/>
        <v>19.88</v>
      </c>
    </row>
    <row r="917" spans="1:58" s="62" customFormat="1" ht="15" customHeight="1">
      <c r="A917" s="356" t="s">
        <v>1320</v>
      </c>
      <c r="B917" s="356"/>
      <c r="C917" s="356" t="s">
        <v>289</v>
      </c>
      <c r="D917" s="357"/>
      <c r="E917" s="357"/>
      <c r="F917" s="357"/>
      <c r="G917" s="26"/>
      <c r="H917" s="357"/>
      <c r="I917" s="96"/>
      <c r="J917" s="65"/>
      <c r="K917" s="362"/>
      <c r="L917" s="362">
        <f t="shared" si="545"/>
        <v>0</v>
      </c>
      <c r="M917" s="65"/>
      <c r="N917" s="65"/>
      <c r="AY917" s="221"/>
      <c r="AZ917" s="481"/>
      <c r="BA917" s="481"/>
      <c r="BB917" s="481"/>
      <c r="BC917" s="481"/>
      <c r="BD917" s="163"/>
      <c r="BE917" s="163"/>
      <c r="BF917" s="163"/>
    </row>
    <row r="918" spans="1:58" s="62" customFormat="1" ht="75">
      <c r="A918" s="41" t="s">
        <v>3724</v>
      </c>
      <c r="B918" s="24">
        <v>101879</v>
      </c>
      <c r="C918" s="470" t="s">
        <v>3770</v>
      </c>
      <c r="D918" s="25" t="s">
        <v>12</v>
      </c>
      <c r="E918" s="25" t="s">
        <v>17</v>
      </c>
      <c r="F918" s="26">
        <v>1</v>
      </c>
      <c r="G918" s="26">
        <f t="shared" si="543"/>
        <v>460.73399999999998</v>
      </c>
      <c r="H918" s="26">
        <f t="shared" ref="H918:H924" si="587">ROUND(G918*(1+$J$14),2)</f>
        <v>584.26</v>
      </c>
      <c r="I918" s="26">
        <f t="shared" ref="I918" si="588">ROUND(H918*F918,2)</f>
        <v>584.26</v>
      </c>
      <c r="J918" s="64" t="e">
        <f>IF(B918&lt;&gt;0,VLOOKUP(B918,#REF!,4,FALSE),"")</f>
        <v>#REF!</v>
      </c>
      <c r="K918" s="362" t="s">
        <v>3250</v>
      </c>
      <c r="L918" s="362">
        <f t="shared" si="545"/>
        <v>460.73399999999998</v>
      </c>
      <c r="M918" s="64"/>
      <c r="N918" s="65" t="e">
        <f>IF(B918&lt;&gt;0,VLOOKUP(B918,#REF!,2,FALSE),"")</f>
        <v>#REF!</v>
      </c>
      <c r="AY918" s="221"/>
      <c r="AZ918" s="481"/>
      <c r="BA918" s="481"/>
      <c r="BB918" s="481"/>
      <c r="BC918" s="481"/>
      <c r="BD918" s="163">
        <f t="shared" si="550"/>
        <v>513.26</v>
      </c>
      <c r="BE918" s="163">
        <f t="shared" si="547"/>
        <v>650.87</v>
      </c>
      <c r="BF918" s="163">
        <f t="shared" ref="BF918:BF924" si="589">ROUND(BE918*F918,2)</f>
        <v>650.87</v>
      </c>
    </row>
    <row r="919" spans="1:58" s="62" customFormat="1" ht="30">
      <c r="A919" s="23" t="s">
        <v>1321</v>
      </c>
      <c r="B919" s="24">
        <v>9041</v>
      </c>
      <c r="C919" s="23" t="s">
        <v>1927</v>
      </c>
      <c r="D919" s="25" t="s">
        <v>44</v>
      </c>
      <c r="E919" s="25" t="s">
        <v>17</v>
      </c>
      <c r="F919" s="26">
        <v>4</v>
      </c>
      <c r="G919" s="26">
        <f t="shared" si="543"/>
        <v>97.393000000000001</v>
      </c>
      <c r="H919" s="26">
        <f t="shared" si="587"/>
        <v>123.5</v>
      </c>
      <c r="I919" s="26">
        <f t="shared" ref="I919" si="590">ROUND(H919*F919,2)</f>
        <v>494</v>
      </c>
      <c r="J919" s="64">
        <f>'COMPOSIÇÃO DE CUSTOS'!G1869</f>
        <v>97.39</v>
      </c>
      <c r="K919" s="362">
        <v>114.58</v>
      </c>
      <c r="L919" s="362">
        <f t="shared" si="545"/>
        <v>389.572</v>
      </c>
      <c r="M919" s="64"/>
      <c r="N919" s="65"/>
      <c r="AY919" s="221"/>
      <c r="AZ919" s="481"/>
      <c r="BA919" s="481"/>
      <c r="BB919" s="481"/>
      <c r="BC919" s="481"/>
      <c r="BD919" s="163">
        <f t="shared" si="550"/>
        <v>108.5</v>
      </c>
      <c r="BE919" s="163">
        <f t="shared" si="547"/>
        <v>137.59</v>
      </c>
      <c r="BF919" s="163">
        <f t="shared" si="589"/>
        <v>550.36</v>
      </c>
    </row>
    <row r="920" spans="1:58" s="62" customFormat="1" ht="30">
      <c r="A920" s="23" t="s">
        <v>1322</v>
      </c>
      <c r="B920" s="24">
        <v>93653</v>
      </c>
      <c r="C920" s="23" t="s">
        <v>1729</v>
      </c>
      <c r="D920" s="25" t="s">
        <v>12</v>
      </c>
      <c r="E920" s="25" t="s">
        <v>17</v>
      </c>
      <c r="F920" s="26">
        <v>4</v>
      </c>
      <c r="G920" s="26">
        <f t="shared" ref="G920:G983" si="591">K920-(K920*$K$15)</f>
        <v>9.2735000000000003</v>
      </c>
      <c r="H920" s="26">
        <f t="shared" si="587"/>
        <v>11.76</v>
      </c>
      <c r="I920" s="26">
        <f t="shared" ref="I920" si="592">ROUND(H920*F920,2)</f>
        <v>47.04</v>
      </c>
      <c r="J920" s="64" t="e">
        <f>IF(B920&lt;&gt;0,VLOOKUP(B920,#REF!,4,FALSE),"")</f>
        <v>#REF!</v>
      </c>
      <c r="K920" s="362" t="s">
        <v>3229</v>
      </c>
      <c r="L920" s="362">
        <f t="shared" ref="L920:L983" si="593">F920*G920</f>
        <v>37.094000000000001</v>
      </c>
      <c r="M920" s="64"/>
      <c r="N920" s="65" t="e">
        <f>IF(B920&lt;&gt;0,VLOOKUP(B920,#REF!,2,FALSE),"")</f>
        <v>#REF!</v>
      </c>
      <c r="AY920" s="221"/>
      <c r="AZ920" s="481"/>
      <c r="BA920" s="481"/>
      <c r="BB920" s="481"/>
      <c r="BC920" s="481"/>
      <c r="BD920" s="163">
        <f t="shared" si="550"/>
        <v>10.33</v>
      </c>
      <c r="BE920" s="163">
        <f t="shared" si="547"/>
        <v>13.1</v>
      </c>
      <c r="BF920" s="163">
        <f t="shared" si="589"/>
        <v>52.4</v>
      </c>
    </row>
    <row r="921" spans="1:58" s="62" customFormat="1" ht="75">
      <c r="A921" s="41" t="s">
        <v>3725</v>
      </c>
      <c r="B921" s="24">
        <v>1570</v>
      </c>
      <c r="C921" s="23" t="s">
        <v>3563</v>
      </c>
      <c r="D921" s="25" t="s">
        <v>12</v>
      </c>
      <c r="E921" s="25" t="s">
        <v>17</v>
      </c>
      <c r="F921" s="26">
        <v>4</v>
      </c>
      <c r="G921" s="26">
        <f t="shared" si="591"/>
        <v>0.77350000000000008</v>
      </c>
      <c r="H921" s="26">
        <f t="shared" si="587"/>
        <v>0.98</v>
      </c>
      <c r="I921" s="26">
        <f t="shared" ref="I921:I923" si="594">ROUND(H921*F921,2)</f>
        <v>3.92</v>
      </c>
      <c r="J921" s="64" t="e">
        <f>IF(B921&lt;&gt;0,VLOOKUP(B921,#REF!,4,FALSE),"")</f>
        <v>#REF!</v>
      </c>
      <c r="K921" s="362" t="s">
        <v>1859</v>
      </c>
      <c r="L921" s="362">
        <f t="shared" si="593"/>
        <v>3.0940000000000003</v>
      </c>
      <c r="M921" s="64"/>
      <c r="N921" s="65" t="e">
        <f>IF(B921&lt;&gt;0,VLOOKUP(B921,#REF!,2,FALSE),"")</f>
        <v>#REF!</v>
      </c>
      <c r="AY921" s="221"/>
      <c r="AZ921" s="481"/>
      <c r="BA921" s="481"/>
      <c r="BB921" s="481"/>
      <c r="BC921" s="481"/>
      <c r="BD921" s="163">
        <f t="shared" si="550"/>
        <v>0.86</v>
      </c>
      <c r="BE921" s="163">
        <f t="shared" si="547"/>
        <v>1.0900000000000001</v>
      </c>
      <c r="BF921" s="163">
        <f t="shared" si="589"/>
        <v>4.3600000000000003</v>
      </c>
    </row>
    <row r="922" spans="1:58" s="62" customFormat="1" ht="45">
      <c r="A922" s="41" t="s">
        <v>3726</v>
      </c>
      <c r="B922" s="24">
        <v>1573</v>
      </c>
      <c r="C922" s="470" t="s">
        <v>3758</v>
      </c>
      <c r="D922" s="25" t="s">
        <v>12</v>
      </c>
      <c r="E922" s="25" t="s">
        <v>17</v>
      </c>
      <c r="F922" s="26">
        <v>22</v>
      </c>
      <c r="G922" s="26">
        <f t="shared" si="591"/>
        <v>1.1984999999999999</v>
      </c>
      <c r="H922" s="26">
        <f t="shared" si="587"/>
        <v>1.52</v>
      </c>
      <c r="I922" s="26">
        <f t="shared" si="594"/>
        <v>33.44</v>
      </c>
      <c r="J922" s="64" t="e">
        <f>IF(B922&lt;&gt;0,VLOOKUP(B922,#REF!,4,FALSE),"")</f>
        <v>#REF!</v>
      </c>
      <c r="K922" s="362" t="s">
        <v>3191</v>
      </c>
      <c r="L922" s="362">
        <f t="shared" si="593"/>
        <v>26.366999999999997</v>
      </c>
      <c r="M922" s="64"/>
      <c r="N922" s="65" t="e">
        <f>IF(B922&lt;&gt;0,VLOOKUP(B922,#REF!,2,FALSE),"")</f>
        <v>#REF!</v>
      </c>
      <c r="AY922" s="221"/>
      <c r="AZ922" s="481"/>
      <c r="BA922" s="481"/>
      <c r="BB922" s="481"/>
      <c r="BC922" s="481"/>
      <c r="BD922" s="163">
        <f t="shared" si="550"/>
        <v>1.34</v>
      </c>
      <c r="BE922" s="163">
        <f t="shared" si="547"/>
        <v>1.7</v>
      </c>
      <c r="BF922" s="163">
        <f t="shared" si="589"/>
        <v>37.4</v>
      </c>
    </row>
    <row r="923" spans="1:58" s="62" customFormat="1" ht="75">
      <c r="A923" s="41" t="s">
        <v>3727</v>
      </c>
      <c r="B923" s="24">
        <v>1575</v>
      </c>
      <c r="C923" s="23" t="s">
        <v>3578</v>
      </c>
      <c r="D923" s="25" t="s">
        <v>12</v>
      </c>
      <c r="E923" s="25" t="s">
        <v>17</v>
      </c>
      <c r="F923" s="26">
        <v>11</v>
      </c>
      <c r="G923" s="26">
        <f t="shared" si="591"/>
        <v>1.5470000000000002</v>
      </c>
      <c r="H923" s="26">
        <f t="shared" si="587"/>
        <v>1.96</v>
      </c>
      <c r="I923" s="26">
        <f t="shared" si="594"/>
        <v>21.56</v>
      </c>
      <c r="J923" s="64" t="e">
        <f>IF(B923&lt;&gt;0,VLOOKUP(B923,#REF!,4,FALSE),"")</f>
        <v>#REF!</v>
      </c>
      <c r="K923" s="362" t="s">
        <v>1862</v>
      </c>
      <c r="L923" s="362">
        <f t="shared" si="593"/>
        <v>17.017000000000003</v>
      </c>
      <c r="M923" s="64"/>
      <c r="N923" s="65" t="e">
        <f>IF(B923&lt;&gt;0,VLOOKUP(B923,#REF!,2,FALSE),"")</f>
        <v>#REF!</v>
      </c>
      <c r="AY923" s="221"/>
      <c r="AZ923" s="481"/>
      <c r="BA923" s="481"/>
      <c r="BB923" s="481"/>
      <c r="BC923" s="481"/>
      <c r="BD923" s="163">
        <f t="shared" si="550"/>
        <v>1.72</v>
      </c>
      <c r="BE923" s="163">
        <f t="shared" si="547"/>
        <v>2.1800000000000002</v>
      </c>
      <c r="BF923" s="163">
        <f t="shared" si="589"/>
        <v>23.98</v>
      </c>
    </row>
    <row r="924" spans="1:58" s="62" customFormat="1" ht="45">
      <c r="A924" s="23" t="s">
        <v>1323</v>
      </c>
      <c r="B924" s="24">
        <v>91930</v>
      </c>
      <c r="C924" s="23" t="s">
        <v>1731</v>
      </c>
      <c r="D924" s="25" t="s">
        <v>12</v>
      </c>
      <c r="E924" s="25" t="s">
        <v>52</v>
      </c>
      <c r="F924" s="26">
        <v>2</v>
      </c>
      <c r="G924" s="26">
        <f t="shared" si="591"/>
        <v>7.0379999999999994</v>
      </c>
      <c r="H924" s="26">
        <f t="shared" si="587"/>
        <v>8.92</v>
      </c>
      <c r="I924" s="26">
        <f t="shared" ref="I924" si="595">ROUND(H924*F924,2)</f>
        <v>17.84</v>
      </c>
      <c r="J924" s="64" t="e">
        <f>IF(B924&lt;&gt;0,VLOOKUP(B924,#REF!,4,FALSE),"")</f>
        <v>#REF!</v>
      </c>
      <c r="K924" s="362" t="s">
        <v>3113</v>
      </c>
      <c r="L924" s="362">
        <f t="shared" si="593"/>
        <v>14.075999999999999</v>
      </c>
      <c r="M924" s="64"/>
      <c r="N924" s="65" t="e">
        <f>IF(B924&lt;&gt;0,VLOOKUP(B924,#REF!,2,FALSE),"")</f>
        <v>#REF!</v>
      </c>
      <c r="AY924" s="221"/>
      <c r="AZ924" s="481"/>
      <c r="BA924" s="481"/>
      <c r="BB924" s="481"/>
      <c r="BC924" s="481"/>
      <c r="BD924" s="163">
        <f t="shared" si="550"/>
        <v>7.84</v>
      </c>
      <c r="BE924" s="163">
        <f t="shared" ref="BE924:BE985" si="596">ROUND(BD924*(1+$J$14),2)</f>
        <v>9.94</v>
      </c>
      <c r="BF924" s="163">
        <f t="shared" si="589"/>
        <v>19.88</v>
      </c>
    </row>
    <row r="925" spans="1:58" s="62" customFormat="1" ht="15" customHeight="1">
      <c r="A925" s="356" t="s">
        <v>1324</v>
      </c>
      <c r="B925" s="356"/>
      <c r="C925" s="356" t="s">
        <v>290</v>
      </c>
      <c r="D925" s="357"/>
      <c r="E925" s="357"/>
      <c r="F925" s="357"/>
      <c r="G925" s="26"/>
      <c r="H925" s="357"/>
      <c r="I925" s="96"/>
      <c r="J925" s="65"/>
      <c r="K925" s="362"/>
      <c r="L925" s="362">
        <f t="shared" si="593"/>
        <v>0</v>
      </c>
      <c r="M925" s="65"/>
      <c r="N925" s="65"/>
      <c r="AY925" s="221"/>
      <c r="AZ925" s="481"/>
      <c r="BA925" s="481"/>
      <c r="BB925" s="481"/>
      <c r="BC925" s="481"/>
      <c r="BD925" s="163"/>
      <c r="BE925" s="163"/>
      <c r="BF925" s="163"/>
    </row>
    <row r="926" spans="1:58" s="62" customFormat="1" ht="45">
      <c r="A926" s="23" t="s">
        <v>1325</v>
      </c>
      <c r="B926" s="24">
        <v>3836</v>
      </c>
      <c r="C926" s="23" t="s">
        <v>2332</v>
      </c>
      <c r="D926" s="25" t="s">
        <v>44</v>
      </c>
      <c r="E926" s="25" t="s">
        <v>17</v>
      </c>
      <c r="F926" s="26">
        <v>1</v>
      </c>
      <c r="G926" s="26">
        <f t="shared" si="591"/>
        <v>410.44799999999998</v>
      </c>
      <c r="H926" s="26">
        <f t="shared" ref="H926:H939" si="597">ROUND(G926*(1+$J$14),2)</f>
        <v>520.49</v>
      </c>
      <c r="I926" s="26">
        <f t="shared" ref="I926:I927" si="598">ROUND(H926*F926,2)</f>
        <v>520.49</v>
      </c>
      <c r="J926" s="64">
        <f>'COMPOSIÇÃO DE CUSTOS'!G1399</f>
        <v>410.45</v>
      </c>
      <c r="K926" s="362">
        <v>482.88</v>
      </c>
      <c r="L926" s="362">
        <f t="shared" si="593"/>
        <v>410.44799999999998</v>
      </c>
      <c r="M926" s="64"/>
      <c r="N926" s="65"/>
      <c r="AY926" s="221"/>
      <c r="AZ926" s="481"/>
      <c r="BA926" s="481"/>
      <c r="BB926" s="481"/>
      <c r="BC926" s="481"/>
      <c r="BD926" s="163">
        <f t="shared" ref="BD926:BD985" si="599">ROUND(G926*$BH$19,2)</f>
        <v>457.24</v>
      </c>
      <c r="BE926" s="163">
        <f t="shared" si="596"/>
        <v>579.83000000000004</v>
      </c>
      <c r="BF926" s="163">
        <f t="shared" ref="BF926:BF939" si="600">ROUND(BE926*F926,2)</f>
        <v>579.83000000000004</v>
      </c>
    </row>
    <row r="927" spans="1:58" s="62" customFormat="1" ht="45">
      <c r="A927" s="41" t="s">
        <v>3728</v>
      </c>
      <c r="B927" s="24">
        <v>93669</v>
      </c>
      <c r="C927" s="470" t="s">
        <v>3771</v>
      </c>
      <c r="D927" s="25" t="s">
        <v>12</v>
      </c>
      <c r="E927" s="25" t="s">
        <v>17</v>
      </c>
      <c r="F927" s="26">
        <v>1</v>
      </c>
      <c r="G927" s="26">
        <f t="shared" si="591"/>
        <v>61.429499999999997</v>
      </c>
      <c r="H927" s="26">
        <f t="shared" si="597"/>
        <v>77.900000000000006</v>
      </c>
      <c r="I927" s="26">
        <f t="shared" si="598"/>
        <v>77.900000000000006</v>
      </c>
      <c r="J927" s="64" t="e">
        <f>IF(B927&lt;&gt;0,VLOOKUP(B927,#REF!,4,FALSE),"")</f>
        <v>#REF!</v>
      </c>
      <c r="K927" s="362" t="s">
        <v>3245</v>
      </c>
      <c r="L927" s="362">
        <f t="shared" si="593"/>
        <v>61.429499999999997</v>
      </c>
      <c r="M927" s="64"/>
      <c r="N927" s="65" t="e">
        <f>IF(B927&lt;&gt;0,VLOOKUP(B927,#REF!,2,FALSE),"")</f>
        <v>#REF!</v>
      </c>
      <c r="AY927" s="221"/>
      <c r="AZ927" s="481"/>
      <c r="BA927" s="481"/>
      <c r="BB927" s="481"/>
      <c r="BC927" s="481"/>
      <c r="BD927" s="163">
        <f t="shared" si="599"/>
        <v>68.430000000000007</v>
      </c>
      <c r="BE927" s="163">
        <f t="shared" si="596"/>
        <v>86.78</v>
      </c>
      <c r="BF927" s="163">
        <f t="shared" si="600"/>
        <v>86.78</v>
      </c>
    </row>
    <row r="928" spans="1:58" s="62" customFormat="1" ht="30">
      <c r="A928" s="23" t="s">
        <v>1326</v>
      </c>
      <c r="B928" s="24">
        <v>93654</v>
      </c>
      <c r="C928" s="23" t="s">
        <v>1730</v>
      </c>
      <c r="D928" s="25" t="s">
        <v>12</v>
      </c>
      <c r="E928" s="25" t="s">
        <v>17</v>
      </c>
      <c r="F928" s="26">
        <v>2</v>
      </c>
      <c r="G928" s="26">
        <f t="shared" si="591"/>
        <v>9.6050000000000004</v>
      </c>
      <c r="H928" s="26">
        <f t="shared" si="597"/>
        <v>12.18</v>
      </c>
      <c r="I928" s="26">
        <f t="shared" ref="I928" si="601">ROUND(H928*F928,2)</f>
        <v>24.36</v>
      </c>
      <c r="J928" s="64" t="e">
        <f>IF(B928&lt;&gt;0,VLOOKUP(B928,#REF!,4,FALSE),"")</f>
        <v>#REF!</v>
      </c>
      <c r="K928" s="362" t="s">
        <v>3243</v>
      </c>
      <c r="L928" s="362">
        <f t="shared" si="593"/>
        <v>19.21</v>
      </c>
      <c r="M928" s="64"/>
      <c r="N928" s="65" t="e">
        <f>IF(B928&lt;&gt;0,VLOOKUP(B928,#REF!,2,FALSE),"")</f>
        <v>#REF!</v>
      </c>
      <c r="AY928" s="221"/>
      <c r="AZ928" s="481"/>
      <c r="BA928" s="481"/>
      <c r="BB928" s="481"/>
      <c r="BC928" s="481"/>
      <c r="BD928" s="163">
        <f t="shared" si="599"/>
        <v>10.7</v>
      </c>
      <c r="BE928" s="163">
        <f t="shared" si="596"/>
        <v>13.57</v>
      </c>
      <c r="BF928" s="163">
        <f t="shared" si="600"/>
        <v>27.14</v>
      </c>
    </row>
    <row r="929" spans="1:58" s="62" customFormat="1">
      <c r="A929" s="23" t="s">
        <v>1327</v>
      </c>
      <c r="B929" s="25" t="s">
        <v>2322</v>
      </c>
      <c r="C929" s="23" t="s">
        <v>277</v>
      </c>
      <c r="D929" s="25" t="s">
        <v>1915</v>
      </c>
      <c r="E929" s="25" t="s">
        <v>17</v>
      </c>
      <c r="F929" s="26">
        <v>2</v>
      </c>
      <c r="G929" s="26">
        <f t="shared" si="591"/>
        <v>100.232</v>
      </c>
      <c r="H929" s="26">
        <f t="shared" si="597"/>
        <v>127.1</v>
      </c>
      <c r="I929" s="26">
        <f t="shared" ref="I929" si="602">ROUND(H929*F929,2)</f>
        <v>254.2</v>
      </c>
      <c r="J929" s="64">
        <f>'COMPOSIÇÃO DE CUSTOS'!G1413</f>
        <v>100.23</v>
      </c>
      <c r="K929" s="362">
        <v>117.92</v>
      </c>
      <c r="L929" s="362">
        <f t="shared" si="593"/>
        <v>200.464</v>
      </c>
      <c r="M929" s="64"/>
      <c r="N929" s="65"/>
      <c r="AY929" s="221"/>
      <c r="AZ929" s="481"/>
      <c r="BA929" s="481"/>
      <c r="BB929" s="481"/>
      <c r="BC929" s="481"/>
      <c r="BD929" s="163">
        <f t="shared" si="599"/>
        <v>111.66</v>
      </c>
      <c r="BE929" s="163">
        <f t="shared" si="596"/>
        <v>141.6</v>
      </c>
      <c r="BF929" s="163">
        <f t="shared" si="600"/>
        <v>283.2</v>
      </c>
    </row>
    <row r="930" spans="1:58" s="62" customFormat="1" ht="45">
      <c r="A930" s="23" t="s">
        <v>1328</v>
      </c>
      <c r="B930" s="24">
        <v>72343</v>
      </c>
      <c r="C930" s="23" t="s">
        <v>291</v>
      </c>
      <c r="D930" s="25" t="s">
        <v>1915</v>
      </c>
      <c r="E930" s="25" t="s">
        <v>17</v>
      </c>
      <c r="F930" s="26">
        <v>2</v>
      </c>
      <c r="G930" s="26">
        <f t="shared" si="591"/>
        <v>227.42599999999999</v>
      </c>
      <c r="H930" s="26">
        <f t="shared" si="597"/>
        <v>288.39999999999998</v>
      </c>
      <c r="I930" s="26">
        <f t="shared" ref="I930:I931" si="603">ROUND(H930*F930,2)</f>
        <v>576.79999999999995</v>
      </c>
      <c r="J930" s="64">
        <f>'COMPOSIÇÃO DE CUSTOS'!G1464</f>
        <v>227.42</v>
      </c>
      <c r="K930" s="362">
        <v>267.56</v>
      </c>
      <c r="L930" s="362">
        <f t="shared" si="593"/>
        <v>454.85199999999998</v>
      </c>
      <c r="M930" s="64"/>
      <c r="N930" s="65"/>
      <c r="AY930" s="221"/>
      <c r="AZ930" s="481"/>
      <c r="BA930" s="481"/>
      <c r="BB930" s="481"/>
      <c r="BC930" s="481"/>
      <c r="BD930" s="163">
        <f t="shared" si="599"/>
        <v>253.35</v>
      </c>
      <c r="BE930" s="163">
        <f t="shared" si="596"/>
        <v>321.27</v>
      </c>
      <c r="BF930" s="163">
        <f t="shared" si="600"/>
        <v>642.54</v>
      </c>
    </row>
    <row r="931" spans="1:58" s="62" customFormat="1" ht="45">
      <c r="A931" s="23" t="s">
        <v>1329</v>
      </c>
      <c r="B931" s="25" t="s">
        <v>2335</v>
      </c>
      <c r="C931" s="23" t="s">
        <v>292</v>
      </c>
      <c r="D931" s="25" t="s">
        <v>1915</v>
      </c>
      <c r="E931" s="25" t="s">
        <v>17</v>
      </c>
      <c r="F931" s="26">
        <v>2</v>
      </c>
      <c r="G931" s="26">
        <f t="shared" si="591"/>
        <v>191.79399999999998</v>
      </c>
      <c r="H931" s="26">
        <f t="shared" si="597"/>
        <v>243.21</v>
      </c>
      <c r="I931" s="26">
        <f t="shared" si="603"/>
        <v>486.42</v>
      </c>
      <c r="J931" s="64">
        <f>'COMPOSIÇÃO DE CUSTOS'!G1472</f>
        <v>191.8</v>
      </c>
      <c r="K931" s="362">
        <v>225.64</v>
      </c>
      <c r="L931" s="362">
        <f t="shared" si="593"/>
        <v>383.58799999999997</v>
      </c>
      <c r="M931" s="64"/>
      <c r="N931" s="65"/>
      <c r="AY931" s="221"/>
      <c r="AZ931" s="481"/>
      <c r="BA931" s="481"/>
      <c r="BB931" s="481"/>
      <c r="BC931" s="481"/>
      <c r="BD931" s="163">
        <f t="shared" si="599"/>
        <v>213.66</v>
      </c>
      <c r="BE931" s="163">
        <f t="shared" si="596"/>
        <v>270.94</v>
      </c>
      <c r="BF931" s="163">
        <f t="shared" si="600"/>
        <v>541.88</v>
      </c>
    </row>
    <row r="932" spans="1:58" s="62" customFormat="1">
      <c r="A932" s="23" t="s">
        <v>1330</v>
      </c>
      <c r="B932" s="25" t="s">
        <v>2323</v>
      </c>
      <c r="C932" s="23" t="s">
        <v>278</v>
      </c>
      <c r="D932" s="25" t="s">
        <v>1915</v>
      </c>
      <c r="E932" s="25" t="s">
        <v>17</v>
      </c>
      <c r="F932" s="26">
        <v>2</v>
      </c>
      <c r="G932" s="26">
        <f t="shared" si="591"/>
        <v>113.61949999999999</v>
      </c>
      <c r="H932" s="26">
        <f t="shared" si="597"/>
        <v>144.08000000000001</v>
      </c>
      <c r="I932" s="26">
        <f t="shared" ref="I932" si="604">ROUND(H932*F932,2)</f>
        <v>288.16000000000003</v>
      </c>
      <c r="J932" s="64">
        <f>'COMPOSIÇÃO DE CUSTOS'!G1420</f>
        <v>113.62</v>
      </c>
      <c r="K932" s="362">
        <v>133.66999999999999</v>
      </c>
      <c r="L932" s="362">
        <f t="shared" si="593"/>
        <v>227.23899999999998</v>
      </c>
      <c r="M932" s="64"/>
      <c r="N932" s="65"/>
      <c r="AY932" s="221"/>
      <c r="AZ932" s="481"/>
      <c r="BA932" s="481"/>
      <c r="BB932" s="481"/>
      <c r="BC932" s="481"/>
      <c r="BD932" s="163">
        <f t="shared" si="599"/>
        <v>126.57</v>
      </c>
      <c r="BE932" s="163">
        <f t="shared" si="596"/>
        <v>160.5</v>
      </c>
      <c r="BF932" s="163">
        <f t="shared" si="600"/>
        <v>321</v>
      </c>
    </row>
    <row r="933" spans="1:58" s="62" customFormat="1" ht="45">
      <c r="A933" s="41" t="s">
        <v>3729</v>
      </c>
      <c r="B933" s="24">
        <v>1571</v>
      </c>
      <c r="C933" s="470" t="s">
        <v>3760</v>
      </c>
      <c r="D933" s="25" t="s">
        <v>12</v>
      </c>
      <c r="E933" s="25" t="s">
        <v>17</v>
      </c>
      <c r="F933" s="26">
        <v>50</v>
      </c>
      <c r="G933" s="26">
        <f t="shared" si="591"/>
        <v>1.0114999999999998</v>
      </c>
      <c r="H933" s="26">
        <f t="shared" si="597"/>
        <v>1.28</v>
      </c>
      <c r="I933" s="26">
        <f t="shared" ref="I933:I935" si="605">ROUND(H933*F933,2)</f>
        <v>64</v>
      </c>
      <c r="J933" s="64" t="e">
        <f>IF(B933&lt;&gt;0,VLOOKUP(B933,#REF!,4,FALSE),"")</f>
        <v>#REF!</v>
      </c>
      <c r="K933" s="362" t="s">
        <v>1844</v>
      </c>
      <c r="L933" s="362">
        <f t="shared" si="593"/>
        <v>50.574999999999989</v>
      </c>
      <c r="M933" s="64"/>
      <c r="N933" s="65" t="e">
        <f>IF(B933&lt;&gt;0,VLOOKUP(B933,#REF!,2,FALSE),"")</f>
        <v>#REF!</v>
      </c>
      <c r="AY933" s="221"/>
      <c r="AZ933" s="481"/>
      <c r="BA933" s="481"/>
      <c r="BB933" s="481"/>
      <c r="BC933" s="481"/>
      <c r="BD933" s="163">
        <f t="shared" si="599"/>
        <v>1.1299999999999999</v>
      </c>
      <c r="BE933" s="163">
        <f t="shared" si="596"/>
        <v>1.43</v>
      </c>
      <c r="BF933" s="163">
        <f t="shared" si="600"/>
        <v>71.5</v>
      </c>
    </row>
    <row r="934" spans="1:58" s="62" customFormat="1" ht="45">
      <c r="A934" s="41" t="s">
        <v>3730</v>
      </c>
      <c r="B934" s="24">
        <v>1573</v>
      </c>
      <c r="C934" s="470" t="s">
        <v>3758</v>
      </c>
      <c r="D934" s="25" t="s">
        <v>12</v>
      </c>
      <c r="E934" s="25" t="s">
        <v>17</v>
      </c>
      <c r="F934" s="26">
        <v>25</v>
      </c>
      <c r="G934" s="26">
        <f t="shared" si="591"/>
        <v>1.1984999999999999</v>
      </c>
      <c r="H934" s="26">
        <f t="shared" si="597"/>
        <v>1.52</v>
      </c>
      <c r="I934" s="26">
        <f t="shared" si="605"/>
        <v>38</v>
      </c>
      <c r="J934" s="64" t="e">
        <f>IF(B934&lt;&gt;0,VLOOKUP(B934,#REF!,4,FALSE),"")</f>
        <v>#REF!</v>
      </c>
      <c r="K934" s="362" t="s">
        <v>3191</v>
      </c>
      <c r="L934" s="362">
        <f t="shared" si="593"/>
        <v>29.962499999999999</v>
      </c>
      <c r="M934" s="64"/>
      <c r="N934" s="65" t="e">
        <f>IF(B934&lt;&gt;0,VLOOKUP(B934,#REF!,2,FALSE),"")</f>
        <v>#REF!</v>
      </c>
      <c r="AY934" s="221"/>
      <c r="AZ934" s="481"/>
      <c r="BA934" s="481"/>
      <c r="BB934" s="481"/>
      <c r="BC934" s="481"/>
      <c r="BD934" s="163">
        <f t="shared" si="599"/>
        <v>1.34</v>
      </c>
      <c r="BE934" s="163">
        <f t="shared" si="596"/>
        <v>1.7</v>
      </c>
      <c r="BF934" s="163">
        <f t="shared" si="600"/>
        <v>42.5</v>
      </c>
    </row>
    <row r="935" spans="1:58" s="62" customFormat="1" ht="45">
      <c r="A935" s="41" t="s">
        <v>3731</v>
      </c>
      <c r="B935" s="24">
        <v>1570</v>
      </c>
      <c r="C935" s="470" t="s">
        <v>3757</v>
      </c>
      <c r="D935" s="25" t="s">
        <v>12</v>
      </c>
      <c r="E935" s="25" t="s">
        <v>17</v>
      </c>
      <c r="F935" s="26">
        <v>100</v>
      </c>
      <c r="G935" s="26">
        <f t="shared" si="591"/>
        <v>0.77350000000000008</v>
      </c>
      <c r="H935" s="26">
        <f t="shared" si="597"/>
        <v>0.98</v>
      </c>
      <c r="I935" s="26">
        <f t="shared" si="605"/>
        <v>98</v>
      </c>
      <c r="J935" s="64" t="e">
        <f>IF(B935&lt;&gt;0,VLOOKUP(B935,#REF!,4,FALSE),"")</f>
        <v>#REF!</v>
      </c>
      <c r="K935" s="362" t="s">
        <v>1859</v>
      </c>
      <c r="L935" s="362">
        <f t="shared" si="593"/>
        <v>77.350000000000009</v>
      </c>
      <c r="M935" s="64"/>
      <c r="N935" s="65" t="e">
        <f>IF(B935&lt;&gt;0,VLOOKUP(B935,#REF!,2,FALSE),"")</f>
        <v>#REF!</v>
      </c>
      <c r="AY935" s="221"/>
      <c r="AZ935" s="481"/>
      <c r="BA935" s="481"/>
      <c r="BB935" s="481"/>
      <c r="BC935" s="481"/>
      <c r="BD935" s="163">
        <f t="shared" si="599"/>
        <v>0.86</v>
      </c>
      <c r="BE935" s="163">
        <f t="shared" si="596"/>
        <v>1.0900000000000001</v>
      </c>
      <c r="BF935" s="163">
        <f t="shared" si="600"/>
        <v>109</v>
      </c>
    </row>
    <row r="936" spans="1:58" s="62" customFormat="1" ht="45">
      <c r="A936" s="23" t="s">
        <v>1331</v>
      </c>
      <c r="B936" s="24">
        <v>91931</v>
      </c>
      <c r="C936" s="23" t="s">
        <v>1737</v>
      </c>
      <c r="D936" s="25" t="s">
        <v>12</v>
      </c>
      <c r="E936" s="25" t="s">
        <v>52</v>
      </c>
      <c r="F936" s="26">
        <v>2</v>
      </c>
      <c r="G936" s="26">
        <f t="shared" si="591"/>
        <v>7.9474999999999998</v>
      </c>
      <c r="H936" s="26">
        <f t="shared" si="597"/>
        <v>10.08</v>
      </c>
      <c r="I936" s="26">
        <f t="shared" ref="I936" si="606">ROUND(H936*F936,2)</f>
        <v>20.16</v>
      </c>
      <c r="J936" s="64" t="e">
        <f>IF(B936&lt;&gt;0,VLOOKUP(B936,#REF!,4,FALSE),"")</f>
        <v>#REF!</v>
      </c>
      <c r="K936" s="362" t="s">
        <v>1902</v>
      </c>
      <c r="L936" s="362">
        <f t="shared" si="593"/>
        <v>15.895</v>
      </c>
      <c r="M936" s="64"/>
      <c r="N936" s="65" t="e">
        <f>IF(B936&lt;&gt;0,VLOOKUP(B936,#REF!,2,FALSE),"")</f>
        <v>#REF!</v>
      </c>
      <c r="AY936" s="221"/>
      <c r="AZ936" s="481"/>
      <c r="BA936" s="481"/>
      <c r="BB936" s="481"/>
      <c r="BC936" s="481"/>
      <c r="BD936" s="163">
        <f t="shared" si="599"/>
        <v>8.85</v>
      </c>
      <c r="BE936" s="163">
        <f t="shared" si="596"/>
        <v>11.22</v>
      </c>
      <c r="BF936" s="163">
        <f t="shared" si="600"/>
        <v>22.44</v>
      </c>
    </row>
    <row r="937" spans="1:58" s="62" customFormat="1" ht="30">
      <c r="A937" s="23" t="s">
        <v>1332</v>
      </c>
      <c r="B937" s="24">
        <v>64355</v>
      </c>
      <c r="C937" s="23" t="s">
        <v>280</v>
      </c>
      <c r="D937" s="25" t="s">
        <v>1915</v>
      </c>
      <c r="E937" s="25" t="s">
        <v>17</v>
      </c>
      <c r="F937" s="26">
        <v>1</v>
      </c>
      <c r="G937" s="26">
        <f t="shared" si="591"/>
        <v>182.55450000000002</v>
      </c>
      <c r="H937" s="26">
        <f t="shared" si="597"/>
        <v>231.5</v>
      </c>
      <c r="I937" s="26">
        <f t="shared" ref="I937:I939" si="607">ROUND(H937*F937,2)</f>
        <v>231.5</v>
      </c>
      <c r="J937" s="64">
        <f>'COMPOSIÇÃO DE CUSTOS'!G1435</f>
        <v>182.56</v>
      </c>
      <c r="K937" s="362">
        <v>214.77</v>
      </c>
      <c r="L937" s="362">
        <f t="shared" si="593"/>
        <v>182.55450000000002</v>
      </c>
      <c r="M937" s="64"/>
      <c r="N937" s="65"/>
      <c r="AY937" s="221"/>
      <c r="AZ937" s="481"/>
      <c r="BA937" s="481"/>
      <c r="BB937" s="481"/>
      <c r="BC937" s="481"/>
      <c r="BD937" s="163">
        <f t="shared" si="599"/>
        <v>203.37</v>
      </c>
      <c r="BE937" s="163">
        <f t="shared" si="596"/>
        <v>257.89</v>
      </c>
      <c r="BF937" s="163">
        <f t="shared" si="600"/>
        <v>257.89</v>
      </c>
    </row>
    <row r="938" spans="1:58" s="62" customFormat="1" ht="30">
      <c r="A938" s="23" t="s">
        <v>1333</v>
      </c>
      <c r="B938" s="24">
        <v>3803</v>
      </c>
      <c r="C938" s="23" t="s">
        <v>282</v>
      </c>
      <c r="D938" s="25" t="s">
        <v>44</v>
      </c>
      <c r="E938" s="25" t="s">
        <v>17</v>
      </c>
      <c r="F938" s="26">
        <v>4</v>
      </c>
      <c r="G938" s="26">
        <f t="shared" si="591"/>
        <v>51.858499999999999</v>
      </c>
      <c r="H938" s="26">
        <f t="shared" si="597"/>
        <v>65.760000000000005</v>
      </c>
      <c r="I938" s="26">
        <f t="shared" si="607"/>
        <v>263.04000000000002</v>
      </c>
      <c r="J938" s="64">
        <f>'COMPOSIÇÃO DE CUSTOS'!G1449</f>
        <v>51.86</v>
      </c>
      <c r="K938" s="362">
        <v>61.01</v>
      </c>
      <c r="L938" s="362">
        <f t="shared" si="593"/>
        <v>207.434</v>
      </c>
      <c r="M938" s="64"/>
      <c r="N938" s="65"/>
      <c r="AY938" s="221"/>
      <c r="AZ938" s="481"/>
      <c r="BA938" s="481"/>
      <c r="BB938" s="481"/>
      <c r="BC938" s="481"/>
      <c r="BD938" s="163">
        <f t="shared" si="599"/>
        <v>57.77</v>
      </c>
      <c r="BE938" s="163">
        <f t="shared" si="596"/>
        <v>73.260000000000005</v>
      </c>
      <c r="BF938" s="163">
        <f t="shared" si="600"/>
        <v>293.04000000000002</v>
      </c>
    </row>
    <row r="939" spans="1:58" s="62" customFormat="1" ht="30">
      <c r="A939" s="23" t="s">
        <v>1334</v>
      </c>
      <c r="B939" s="25" t="s">
        <v>2331</v>
      </c>
      <c r="C939" s="23" t="s">
        <v>283</v>
      </c>
      <c r="D939" s="25" t="s">
        <v>1915</v>
      </c>
      <c r="E939" s="25" t="s">
        <v>17</v>
      </c>
      <c r="F939" s="26">
        <v>2</v>
      </c>
      <c r="G939" s="26">
        <f t="shared" si="591"/>
        <v>40.910499999999999</v>
      </c>
      <c r="H939" s="26">
        <f t="shared" si="597"/>
        <v>51.88</v>
      </c>
      <c r="I939" s="26">
        <f t="shared" si="607"/>
        <v>103.76</v>
      </c>
      <c r="J939" s="64">
        <f>'COMPOSIÇÃO DE CUSTOS'!G1456</f>
        <v>40.909999999999997</v>
      </c>
      <c r="K939" s="362">
        <v>48.13</v>
      </c>
      <c r="L939" s="362">
        <f t="shared" si="593"/>
        <v>81.820999999999998</v>
      </c>
      <c r="M939" s="64"/>
      <c r="N939" s="65"/>
      <c r="AY939" s="221"/>
      <c r="AZ939" s="481"/>
      <c r="BA939" s="481"/>
      <c r="BB939" s="481"/>
      <c r="BC939" s="481"/>
      <c r="BD939" s="163">
        <f t="shared" si="599"/>
        <v>45.57</v>
      </c>
      <c r="BE939" s="163">
        <f t="shared" si="596"/>
        <v>57.79</v>
      </c>
      <c r="BF939" s="163">
        <f t="shared" si="600"/>
        <v>115.58</v>
      </c>
    </row>
    <row r="940" spans="1:58" s="62" customFormat="1" ht="15" customHeight="1">
      <c r="A940" s="356" t="s">
        <v>1335</v>
      </c>
      <c r="B940" s="356"/>
      <c r="C940" s="356" t="s">
        <v>293</v>
      </c>
      <c r="D940" s="357"/>
      <c r="E940" s="357"/>
      <c r="F940" s="357"/>
      <c r="G940" s="26"/>
      <c r="H940" s="357"/>
      <c r="I940" s="96"/>
      <c r="J940" s="65"/>
      <c r="K940" s="362"/>
      <c r="L940" s="362">
        <f t="shared" si="593"/>
        <v>0</v>
      </c>
      <c r="M940" s="65"/>
      <c r="N940" s="65"/>
      <c r="AY940" s="221"/>
      <c r="AZ940" s="481"/>
      <c r="BA940" s="481"/>
      <c r="BB940" s="481"/>
      <c r="BC940" s="481"/>
      <c r="BD940" s="163"/>
      <c r="BE940" s="163"/>
      <c r="BF940" s="163"/>
    </row>
    <row r="941" spans="1:58" s="62" customFormat="1" ht="45">
      <c r="A941" s="23" t="s">
        <v>1336</v>
      </c>
      <c r="B941" s="24">
        <v>3836</v>
      </c>
      <c r="C941" s="23" t="s">
        <v>2332</v>
      </c>
      <c r="D941" s="25" t="s">
        <v>44</v>
      </c>
      <c r="E941" s="25" t="s">
        <v>17</v>
      </c>
      <c r="F941" s="26">
        <v>1</v>
      </c>
      <c r="G941" s="26">
        <f t="shared" si="591"/>
        <v>410.44799999999998</v>
      </c>
      <c r="H941" s="26">
        <f t="shared" ref="H941:H954" si="608">ROUND(G941*(1+$J$14),2)</f>
        <v>520.49</v>
      </c>
      <c r="I941" s="26">
        <f t="shared" ref="I941:I942" si="609">ROUND(H941*F941,2)</f>
        <v>520.49</v>
      </c>
      <c r="J941" s="64">
        <f>'COMPOSIÇÃO DE CUSTOS'!G1399</f>
        <v>410.45</v>
      </c>
      <c r="K941" s="362">
        <v>482.88</v>
      </c>
      <c r="L941" s="362">
        <f t="shared" si="593"/>
        <v>410.44799999999998</v>
      </c>
      <c r="M941" s="64"/>
      <c r="N941" s="65"/>
      <c r="AY941" s="221"/>
      <c r="AZ941" s="481"/>
      <c r="BA941" s="481"/>
      <c r="BB941" s="481"/>
      <c r="BC941" s="481"/>
      <c r="BD941" s="163">
        <f t="shared" si="599"/>
        <v>457.24</v>
      </c>
      <c r="BE941" s="163">
        <f t="shared" si="596"/>
        <v>579.83000000000004</v>
      </c>
      <c r="BF941" s="163">
        <f t="shared" ref="BF941:BF954" si="610">ROUND(BE941*F941,2)</f>
        <v>579.83000000000004</v>
      </c>
    </row>
    <row r="942" spans="1:58" s="62" customFormat="1" ht="45">
      <c r="A942" s="41" t="s">
        <v>3732</v>
      </c>
      <c r="B942" s="24">
        <v>93669</v>
      </c>
      <c r="C942" s="470" t="s">
        <v>3771</v>
      </c>
      <c r="D942" s="25" t="s">
        <v>12</v>
      </c>
      <c r="E942" s="25" t="s">
        <v>17</v>
      </c>
      <c r="F942" s="26">
        <v>1</v>
      </c>
      <c r="G942" s="26">
        <f t="shared" si="591"/>
        <v>61.429499999999997</v>
      </c>
      <c r="H942" s="26">
        <f t="shared" si="608"/>
        <v>77.900000000000006</v>
      </c>
      <c r="I942" s="26">
        <f t="shared" si="609"/>
        <v>77.900000000000006</v>
      </c>
      <c r="J942" s="64" t="e">
        <f>IF(B942&lt;&gt;0,VLOOKUP(B942,#REF!,4,FALSE),"")</f>
        <v>#REF!</v>
      </c>
      <c r="K942" s="362" t="s">
        <v>3245</v>
      </c>
      <c r="L942" s="362">
        <f t="shared" si="593"/>
        <v>61.429499999999997</v>
      </c>
      <c r="M942" s="64"/>
      <c r="N942" s="65" t="e">
        <f>IF(B942&lt;&gt;0,VLOOKUP(B942,#REF!,2,FALSE),"")</f>
        <v>#REF!</v>
      </c>
      <c r="AY942" s="221"/>
      <c r="AZ942" s="481"/>
      <c r="BA942" s="481"/>
      <c r="BB942" s="481"/>
      <c r="BC942" s="481"/>
      <c r="BD942" s="163">
        <f t="shared" si="599"/>
        <v>68.430000000000007</v>
      </c>
      <c r="BE942" s="163">
        <f t="shared" si="596"/>
        <v>86.78</v>
      </c>
      <c r="BF942" s="163">
        <f t="shared" si="610"/>
        <v>86.78</v>
      </c>
    </row>
    <row r="943" spans="1:58" s="62" customFormat="1" ht="30">
      <c r="A943" s="23" t="s">
        <v>1337</v>
      </c>
      <c r="B943" s="24">
        <v>93654</v>
      </c>
      <c r="C943" s="23" t="s">
        <v>1730</v>
      </c>
      <c r="D943" s="25" t="s">
        <v>12</v>
      </c>
      <c r="E943" s="25" t="s">
        <v>17</v>
      </c>
      <c r="F943" s="26">
        <v>2</v>
      </c>
      <c r="G943" s="26">
        <f t="shared" si="591"/>
        <v>9.6050000000000004</v>
      </c>
      <c r="H943" s="26">
        <f t="shared" si="608"/>
        <v>12.18</v>
      </c>
      <c r="I943" s="26">
        <f t="shared" ref="I943" si="611">ROUND(H943*F943,2)</f>
        <v>24.36</v>
      </c>
      <c r="J943" s="64" t="e">
        <f>IF(B943&lt;&gt;0,VLOOKUP(B943,#REF!,4,FALSE),"")</f>
        <v>#REF!</v>
      </c>
      <c r="K943" s="362" t="s">
        <v>3243</v>
      </c>
      <c r="L943" s="362">
        <f t="shared" si="593"/>
        <v>19.21</v>
      </c>
      <c r="M943" s="64"/>
      <c r="N943" s="65" t="e">
        <f>IF(B943&lt;&gt;0,VLOOKUP(B943,#REF!,2,FALSE),"")</f>
        <v>#REF!</v>
      </c>
      <c r="AY943" s="221"/>
      <c r="AZ943" s="481"/>
      <c r="BA943" s="481"/>
      <c r="BB943" s="481"/>
      <c r="BC943" s="481"/>
      <c r="BD943" s="163">
        <f t="shared" si="599"/>
        <v>10.7</v>
      </c>
      <c r="BE943" s="163">
        <f t="shared" si="596"/>
        <v>13.57</v>
      </c>
      <c r="BF943" s="163">
        <f t="shared" si="610"/>
        <v>27.14</v>
      </c>
    </row>
    <row r="944" spans="1:58" s="62" customFormat="1">
      <c r="A944" s="23" t="s">
        <v>1338</v>
      </c>
      <c r="B944" s="25" t="s">
        <v>2322</v>
      </c>
      <c r="C944" s="23" t="s">
        <v>277</v>
      </c>
      <c r="D944" s="25" t="s">
        <v>1915</v>
      </c>
      <c r="E944" s="25" t="s">
        <v>17</v>
      </c>
      <c r="F944" s="26">
        <v>2</v>
      </c>
      <c r="G944" s="26">
        <f t="shared" si="591"/>
        <v>100.232</v>
      </c>
      <c r="H944" s="26">
        <f t="shared" si="608"/>
        <v>127.1</v>
      </c>
      <c r="I944" s="26">
        <f t="shared" ref="I944" si="612">ROUND(H944*F944,2)</f>
        <v>254.2</v>
      </c>
      <c r="J944" s="64">
        <f>'COMPOSIÇÃO DE CUSTOS'!G1413</f>
        <v>100.23</v>
      </c>
      <c r="K944" s="362">
        <v>117.92</v>
      </c>
      <c r="L944" s="362">
        <f t="shared" si="593"/>
        <v>200.464</v>
      </c>
      <c r="M944" s="64"/>
      <c r="N944" s="65"/>
      <c r="AY944" s="221"/>
      <c r="AZ944" s="481"/>
      <c r="BA944" s="481"/>
      <c r="BB944" s="481"/>
      <c r="BC944" s="481"/>
      <c r="BD944" s="163">
        <f t="shared" si="599"/>
        <v>111.66</v>
      </c>
      <c r="BE944" s="163">
        <f t="shared" si="596"/>
        <v>141.6</v>
      </c>
      <c r="BF944" s="163">
        <f t="shared" si="610"/>
        <v>283.2</v>
      </c>
    </row>
    <row r="945" spans="1:58" s="62" customFormat="1" ht="45">
      <c r="A945" s="23" t="s">
        <v>1339</v>
      </c>
      <c r="B945" s="24">
        <v>72343</v>
      </c>
      <c r="C945" s="23" t="s">
        <v>291</v>
      </c>
      <c r="D945" s="25" t="s">
        <v>1915</v>
      </c>
      <c r="E945" s="25" t="s">
        <v>17</v>
      </c>
      <c r="F945" s="26">
        <v>2</v>
      </c>
      <c r="G945" s="26">
        <f t="shared" si="591"/>
        <v>227.42599999999999</v>
      </c>
      <c r="H945" s="26">
        <f t="shared" si="608"/>
        <v>288.39999999999998</v>
      </c>
      <c r="I945" s="26">
        <f t="shared" ref="I945:I946" si="613">ROUND(H945*F945,2)</f>
        <v>576.79999999999995</v>
      </c>
      <c r="J945" s="64">
        <f>'COMPOSIÇÃO DE CUSTOS'!G1464</f>
        <v>227.42</v>
      </c>
      <c r="K945" s="362">
        <v>267.56</v>
      </c>
      <c r="L945" s="362">
        <f t="shared" si="593"/>
        <v>454.85199999999998</v>
      </c>
      <c r="M945" s="64"/>
      <c r="N945" s="65" t="e">
        <f>IF(B945&lt;&gt;0,VLOOKUP(B945,#REF!,2,FALSE),"")</f>
        <v>#REF!</v>
      </c>
      <c r="AY945" s="221"/>
      <c r="AZ945" s="481"/>
      <c r="BA945" s="481"/>
      <c r="BB945" s="481"/>
      <c r="BC945" s="481"/>
      <c r="BD945" s="163">
        <f t="shared" si="599"/>
        <v>253.35</v>
      </c>
      <c r="BE945" s="163">
        <f t="shared" si="596"/>
        <v>321.27</v>
      </c>
      <c r="BF945" s="163">
        <f t="shared" si="610"/>
        <v>642.54</v>
      </c>
    </row>
    <row r="946" spans="1:58" s="62" customFormat="1" ht="45">
      <c r="A946" s="23" t="s">
        <v>1340</v>
      </c>
      <c r="B946" s="25" t="s">
        <v>2335</v>
      </c>
      <c r="C946" s="23" t="s">
        <v>292</v>
      </c>
      <c r="D946" s="25" t="s">
        <v>1915</v>
      </c>
      <c r="E946" s="25" t="s">
        <v>17</v>
      </c>
      <c r="F946" s="26">
        <v>2</v>
      </c>
      <c r="G946" s="26">
        <f t="shared" si="591"/>
        <v>191.79399999999998</v>
      </c>
      <c r="H946" s="26">
        <f t="shared" si="608"/>
        <v>243.21</v>
      </c>
      <c r="I946" s="26">
        <f t="shared" si="613"/>
        <v>486.42</v>
      </c>
      <c r="J946" s="64">
        <f>'COMPOSIÇÃO DE CUSTOS'!G1472</f>
        <v>191.8</v>
      </c>
      <c r="K946" s="362">
        <v>225.64</v>
      </c>
      <c r="L946" s="362">
        <f t="shared" si="593"/>
        <v>383.58799999999997</v>
      </c>
      <c r="M946" s="64"/>
      <c r="N946" s="65" t="e">
        <f>IF(B946&lt;&gt;0,VLOOKUP(B946,#REF!,2,FALSE),"")</f>
        <v>#REF!</v>
      </c>
      <c r="AY946" s="221"/>
      <c r="AZ946" s="481"/>
      <c r="BA946" s="481"/>
      <c r="BB946" s="481"/>
      <c r="BC946" s="481"/>
      <c r="BD946" s="163">
        <f t="shared" si="599"/>
        <v>213.66</v>
      </c>
      <c r="BE946" s="163">
        <f t="shared" si="596"/>
        <v>270.94</v>
      </c>
      <c r="BF946" s="163">
        <f t="shared" si="610"/>
        <v>541.88</v>
      </c>
    </row>
    <row r="947" spans="1:58" s="62" customFormat="1">
      <c r="A947" s="23" t="s">
        <v>1341</v>
      </c>
      <c r="B947" s="25" t="s">
        <v>2323</v>
      </c>
      <c r="C947" s="23" t="s">
        <v>278</v>
      </c>
      <c r="D947" s="25" t="s">
        <v>1915</v>
      </c>
      <c r="E947" s="25" t="s">
        <v>17</v>
      </c>
      <c r="F947" s="26">
        <v>2</v>
      </c>
      <c r="G947" s="26">
        <f t="shared" si="591"/>
        <v>113.61949999999999</v>
      </c>
      <c r="H947" s="26">
        <f t="shared" si="608"/>
        <v>144.08000000000001</v>
      </c>
      <c r="I947" s="26">
        <f t="shared" ref="I947:I950" si="614">ROUND(H947*F947,2)</f>
        <v>288.16000000000003</v>
      </c>
      <c r="J947" s="64">
        <f>'COMPOSIÇÃO DE CUSTOS'!G1420</f>
        <v>113.62</v>
      </c>
      <c r="K947" s="362">
        <v>133.66999999999999</v>
      </c>
      <c r="L947" s="362">
        <f t="shared" si="593"/>
        <v>227.23899999999998</v>
      </c>
      <c r="M947" s="64"/>
      <c r="N947" s="65"/>
      <c r="AY947" s="221"/>
      <c r="AZ947" s="481"/>
      <c r="BA947" s="481"/>
      <c r="BB947" s="481"/>
      <c r="BC947" s="481"/>
      <c r="BD947" s="163">
        <f t="shared" si="599"/>
        <v>126.57</v>
      </c>
      <c r="BE947" s="163">
        <f t="shared" si="596"/>
        <v>160.5</v>
      </c>
      <c r="BF947" s="163">
        <f t="shared" si="610"/>
        <v>321</v>
      </c>
    </row>
    <row r="948" spans="1:58" s="62" customFormat="1" ht="45">
      <c r="A948" s="41" t="s">
        <v>3733</v>
      </c>
      <c r="B948" s="24">
        <v>1571</v>
      </c>
      <c r="C948" s="470" t="s">
        <v>3760</v>
      </c>
      <c r="D948" s="25" t="s">
        <v>12</v>
      </c>
      <c r="E948" s="25" t="s">
        <v>17</v>
      </c>
      <c r="F948" s="26">
        <v>50</v>
      </c>
      <c r="G948" s="26">
        <f t="shared" si="591"/>
        <v>1.0114999999999998</v>
      </c>
      <c r="H948" s="26">
        <f t="shared" si="608"/>
        <v>1.28</v>
      </c>
      <c r="I948" s="26">
        <f t="shared" si="614"/>
        <v>64</v>
      </c>
      <c r="J948" s="64" t="e">
        <f>IF(B948&lt;&gt;0,VLOOKUP(B948,#REF!,4,FALSE),"")</f>
        <v>#REF!</v>
      </c>
      <c r="K948" s="362" t="s">
        <v>1844</v>
      </c>
      <c r="L948" s="362">
        <f t="shared" si="593"/>
        <v>50.574999999999989</v>
      </c>
      <c r="M948" s="64"/>
      <c r="N948" s="65" t="e">
        <f>IF(B948&lt;&gt;0,VLOOKUP(B948,#REF!,2,FALSE),"")</f>
        <v>#REF!</v>
      </c>
      <c r="AY948" s="221"/>
      <c r="AZ948" s="481"/>
      <c r="BA948" s="481"/>
      <c r="BB948" s="481"/>
      <c r="BC948" s="481"/>
      <c r="BD948" s="163">
        <f t="shared" si="599"/>
        <v>1.1299999999999999</v>
      </c>
      <c r="BE948" s="163">
        <f t="shared" si="596"/>
        <v>1.43</v>
      </c>
      <c r="BF948" s="163">
        <f t="shared" si="610"/>
        <v>71.5</v>
      </c>
    </row>
    <row r="949" spans="1:58" s="62" customFormat="1" ht="45">
      <c r="A949" s="41" t="s">
        <v>3734</v>
      </c>
      <c r="B949" s="24">
        <v>1573</v>
      </c>
      <c r="C949" s="470" t="s">
        <v>3758</v>
      </c>
      <c r="D949" s="25" t="s">
        <v>12</v>
      </c>
      <c r="E949" s="25" t="s">
        <v>17</v>
      </c>
      <c r="F949" s="26">
        <v>25</v>
      </c>
      <c r="G949" s="26">
        <f t="shared" si="591"/>
        <v>1.1984999999999999</v>
      </c>
      <c r="H949" s="26">
        <f t="shared" si="608"/>
        <v>1.52</v>
      </c>
      <c r="I949" s="26">
        <f t="shared" si="614"/>
        <v>38</v>
      </c>
      <c r="J949" s="64" t="e">
        <f>IF(B949&lt;&gt;0,VLOOKUP(B949,#REF!,4,FALSE),"")</f>
        <v>#REF!</v>
      </c>
      <c r="K949" s="362" t="s">
        <v>3191</v>
      </c>
      <c r="L949" s="362">
        <f t="shared" si="593"/>
        <v>29.962499999999999</v>
      </c>
      <c r="M949" s="64"/>
      <c r="N949" s="65" t="e">
        <f>IF(B949&lt;&gt;0,VLOOKUP(B949,#REF!,2,FALSE),"")</f>
        <v>#REF!</v>
      </c>
      <c r="AY949" s="221"/>
      <c r="AZ949" s="481"/>
      <c r="BA949" s="481"/>
      <c r="BB949" s="481"/>
      <c r="BC949" s="481"/>
      <c r="BD949" s="163">
        <f t="shared" si="599"/>
        <v>1.34</v>
      </c>
      <c r="BE949" s="163">
        <f t="shared" si="596"/>
        <v>1.7</v>
      </c>
      <c r="BF949" s="163">
        <f t="shared" si="610"/>
        <v>42.5</v>
      </c>
    </row>
    <row r="950" spans="1:58" s="62" customFormat="1" ht="45">
      <c r="A950" s="41" t="s">
        <v>3735</v>
      </c>
      <c r="B950" s="24">
        <v>1570</v>
      </c>
      <c r="C950" s="470" t="s">
        <v>3757</v>
      </c>
      <c r="D950" s="25" t="s">
        <v>12</v>
      </c>
      <c r="E950" s="25" t="s">
        <v>17</v>
      </c>
      <c r="F950" s="26">
        <v>100</v>
      </c>
      <c r="G950" s="26">
        <f t="shared" si="591"/>
        <v>0.77350000000000008</v>
      </c>
      <c r="H950" s="26">
        <f t="shared" si="608"/>
        <v>0.98</v>
      </c>
      <c r="I950" s="26">
        <f t="shared" si="614"/>
        <v>98</v>
      </c>
      <c r="J950" s="64" t="e">
        <f>IF(B950&lt;&gt;0,VLOOKUP(B950,#REF!,4,FALSE),"")</f>
        <v>#REF!</v>
      </c>
      <c r="K950" s="362" t="s">
        <v>1859</v>
      </c>
      <c r="L950" s="362">
        <f t="shared" si="593"/>
        <v>77.350000000000009</v>
      </c>
      <c r="M950" s="64"/>
      <c r="N950" s="65" t="e">
        <f>IF(B950&lt;&gt;0,VLOOKUP(B950,#REF!,2,FALSE),"")</f>
        <v>#REF!</v>
      </c>
      <c r="AY950" s="221"/>
      <c r="AZ950" s="481"/>
      <c r="BA950" s="481"/>
      <c r="BB950" s="481"/>
      <c r="BC950" s="481"/>
      <c r="BD950" s="163">
        <f t="shared" si="599"/>
        <v>0.86</v>
      </c>
      <c r="BE950" s="163">
        <f t="shared" si="596"/>
        <v>1.0900000000000001</v>
      </c>
      <c r="BF950" s="163">
        <f t="shared" si="610"/>
        <v>109</v>
      </c>
    </row>
    <row r="951" spans="1:58" s="62" customFormat="1" ht="45">
      <c r="A951" s="23" t="s">
        <v>1342</v>
      </c>
      <c r="B951" s="24">
        <v>91931</v>
      </c>
      <c r="C951" s="23" t="s">
        <v>1737</v>
      </c>
      <c r="D951" s="25" t="s">
        <v>12</v>
      </c>
      <c r="E951" s="25" t="s">
        <v>52</v>
      </c>
      <c r="F951" s="26">
        <v>2</v>
      </c>
      <c r="G951" s="26">
        <f t="shared" si="591"/>
        <v>7.9474999999999998</v>
      </c>
      <c r="H951" s="26">
        <f t="shared" si="608"/>
        <v>10.08</v>
      </c>
      <c r="I951" s="26">
        <f t="shared" ref="I951" si="615">ROUND(H951*F951,2)</f>
        <v>20.16</v>
      </c>
      <c r="J951" s="64" t="e">
        <f>IF(B951&lt;&gt;0,VLOOKUP(B951,#REF!,4,FALSE),"")</f>
        <v>#REF!</v>
      </c>
      <c r="K951" s="362" t="s">
        <v>1902</v>
      </c>
      <c r="L951" s="362">
        <f t="shared" si="593"/>
        <v>15.895</v>
      </c>
      <c r="M951" s="64"/>
      <c r="N951" s="65" t="e">
        <f>IF(B951&lt;&gt;0,VLOOKUP(B951,#REF!,2,FALSE),"")</f>
        <v>#REF!</v>
      </c>
      <c r="AY951" s="221"/>
      <c r="AZ951" s="481"/>
      <c r="BA951" s="481"/>
      <c r="BB951" s="481"/>
      <c r="BC951" s="481"/>
      <c r="BD951" s="163">
        <f t="shared" si="599"/>
        <v>8.85</v>
      </c>
      <c r="BE951" s="163">
        <f t="shared" si="596"/>
        <v>11.22</v>
      </c>
      <c r="BF951" s="163">
        <f t="shared" si="610"/>
        <v>22.44</v>
      </c>
    </row>
    <row r="952" spans="1:58" s="62" customFormat="1" ht="30">
      <c r="A952" s="23" t="s">
        <v>1343</v>
      </c>
      <c r="B952" s="24">
        <f>B937</f>
        <v>64355</v>
      </c>
      <c r="C952" s="23" t="s">
        <v>280</v>
      </c>
      <c r="D952" s="25" t="s">
        <v>1915</v>
      </c>
      <c r="E952" s="25" t="s">
        <v>17</v>
      </c>
      <c r="F952" s="26">
        <v>1</v>
      </c>
      <c r="G952" s="26">
        <f t="shared" si="591"/>
        <v>182.55450000000002</v>
      </c>
      <c r="H952" s="26">
        <f t="shared" si="608"/>
        <v>231.5</v>
      </c>
      <c r="I952" s="26">
        <f t="shared" ref="I952:I954" si="616">ROUND(H952*F952,2)</f>
        <v>231.5</v>
      </c>
      <c r="J952" s="64">
        <f>J937</f>
        <v>182.56</v>
      </c>
      <c r="K952" s="362">
        <v>214.77</v>
      </c>
      <c r="L952" s="362">
        <f t="shared" si="593"/>
        <v>182.55450000000002</v>
      </c>
      <c r="M952" s="64"/>
      <c r="N952" s="65"/>
      <c r="AY952" s="221"/>
      <c r="AZ952" s="481"/>
      <c r="BA952" s="481"/>
      <c r="BB952" s="481"/>
      <c r="BC952" s="481"/>
      <c r="BD952" s="163">
        <f t="shared" si="599"/>
        <v>203.37</v>
      </c>
      <c r="BE952" s="163">
        <f t="shared" si="596"/>
        <v>257.89</v>
      </c>
      <c r="BF952" s="163">
        <f t="shared" si="610"/>
        <v>257.89</v>
      </c>
    </row>
    <row r="953" spans="1:58" s="62" customFormat="1" ht="30">
      <c r="A953" s="23" t="s">
        <v>1344</v>
      </c>
      <c r="B953" s="24">
        <v>3803</v>
      </c>
      <c r="C953" s="23" t="s">
        <v>282</v>
      </c>
      <c r="D953" s="25" t="s">
        <v>44</v>
      </c>
      <c r="E953" s="25" t="s">
        <v>17</v>
      </c>
      <c r="F953" s="26">
        <v>4</v>
      </c>
      <c r="G953" s="26">
        <f t="shared" si="591"/>
        <v>51.858499999999999</v>
      </c>
      <c r="H953" s="26">
        <f t="shared" si="608"/>
        <v>65.760000000000005</v>
      </c>
      <c r="I953" s="26">
        <f t="shared" si="616"/>
        <v>263.04000000000002</v>
      </c>
      <c r="J953" s="64">
        <f>J938</f>
        <v>51.86</v>
      </c>
      <c r="K953" s="362">
        <v>61.01</v>
      </c>
      <c r="L953" s="362">
        <f t="shared" si="593"/>
        <v>207.434</v>
      </c>
      <c r="M953" s="64"/>
      <c r="N953" s="65"/>
      <c r="AY953" s="221"/>
      <c r="AZ953" s="481"/>
      <c r="BA953" s="481"/>
      <c r="BB953" s="481"/>
      <c r="BC953" s="481"/>
      <c r="BD953" s="163">
        <f t="shared" si="599"/>
        <v>57.77</v>
      </c>
      <c r="BE953" s="163">
        <f t="shared" si="596"/>
        <v>73.260000000000005</v>
      </c>
      <c r="BF953" s="163">
        <f t="shared" si="610"/>
        <v>293.04000000000002</v>
      </c>
    </row>
    <row r="954" spans="1:58" s="62" customFormat="1" ht="30">
      <c r="A954" s="23" t="s">
        <v>1345</v>
      </c>
      <c r="B954" s="25" t="s">
        <v>2331</v>
      </c>
      <c r="C954" s="23" t="s">
        <v>283</v>
      </c>
      <c r="D954" s="25" t="s">
        <v>1915</v>
      </c>
      <c r="E954" s="25" t="s">
        <v>17</v>
      </c>
      <c r="F954" s="26">
        <v>2</v>
      </c>
      <c r="G954" s="26">
        <f t="shared" si="591"/>
        <v>40.910499999999999</v>
      </c>
      <c r="H954" s="26">
        <f t="shared" si="608"/>
        <v>51.88</v>
      </c>
      <c r="I954" s="26">
        <f t="shared" si="616"/>
        <v>103.76</v>
      </c>
      <c r="J954" s="64">
        <f>J939</f>
        <v>40.909999999999997</v>
      </c>
      <c r="K954" s="362">
        <v>48.13</v>
      </c>
      <c r="L954" s="362">
        <f t="shared" si="593"/>
        <v>81.820999999999998</v>
      </c>
      <c r="M954" s="64"/>
      <c r="N954" s="65"/>
      <c r="AY954" s="221"/>
      <c r="AZ954" s="481"/>
      <c r="BA954" s="481"/>
      <c r="BB954" s="481"/>
      <c r="BC954" s="481"/>
      <c r="BD954" s="163">
        <f t="shared" si="599"/>
        <v>45.57</v>
      </c>
      <c r="BE954" s="163">
        <f t="shared" si="596"/>
        <v>57.79</v>
      </c>
      <c r="BF954" s="163">
        <f t="shared" si="610"/>
        <v>115.58</v>
      </c>
    </row>
    <row r="955" spans="1:58" ht="26.25" customHeight="1">
      <c r="A955" s="23"/>
      <c r="B955" s="25"/>
      <c r="C955" s="23"/>
      <c r="D955" s="25"/>
      <c r="E955" s="25"/>
      <c r="F955" s="26"/>
      <c r="G955" s="26"/>
      <c r="H955" s="26"/>
      <c r="I955" s="26"/>
      <c r="J955" s="35"/>
      <c r="K955" s="375"/>
      <c r="L955" s="362">
        <f t="shared" si="593"/>
        <v>0</v>
      </c>
      <c r="M955" s="35"/>
      <c r="N955" s="35"/>
      <c r="AY955" s="21"/>
      <c r="AZ955" s="481"/>
      <c r="BA955" s="481"/>
      <c r="BB955" s="481"/>
      <c r="BC955" s="481"/>
      <c r="BD955" s="163"/>
      <c r="BE955" s="163"/>
      <c r="BF955" s="163"/>
    </row>
    <row r="956" spans="1:58" s="45" customFormat="1" ht="15" customHeight="1">
      <c r="A956" s="356" t="s">
        <v>1346</v>
      </c>
      <c r="B956" s="356"/>
      <c r="C956" s="356" t="s">
        <v>294</v>
      </c>
      <c r="D956" s="357"/>
      <c r="E956" s="357"/>
      <c r="F956" s="357"/>
      <c r="G956" s="26"/>
      <c r="H956" s="357"/>
      <c r="I956" s="96">
        <f>ROUND(SUM(I958:I985),2)</f>
        <v>16890.25</v>
      </c>
      <c r="J956" s="46"/>
      <c r="K956" s="364"/>
      <c r="L956" s="362">
        <f t="shared" si="593"/>
        <v>0</v>
      </c>
      <c r="M956" s="46"/>
      <c r="N956" s="46"/>
      <c r="AY956" s="56"/>
      <c r="AZ956" s="481"/>
      <c r="BA956" s="481"/>
      <c r="BB956" s="481"/>
      <c r="BC956" s="481"/>
      <c r="BD956" s="163"/>
      <c r="BE956" s="163"/>
      <c r="BF956" s="96">
        <f>ROUND(SUM(BF958:BF985),2)</f>
        <v>18814.68</v>
      </c>
    </row>
    <row r="957" spans="1:58" s="62" customFormat="1" ht="15" customHeight="1">
      <c r="A957" s="356" t="s">
        <v>1347</v>
      </c>
      <c r="B957" s="356"/>
      <c r="C957" s="356" t="s">
        <v>193</v>
      </c>
      <c r="D957" s="357"/>
      <c r="E957" s="357"/>
      <c r="F957" s="357"/>
      <c r="G957" s="26"/>
      <c r="H957" s="357"/>
      <c r="I957" s="96"/>
      <c r="J957" s="65"/>
      <c r="K957" s="362"/>
      <c r="L957" s="362">
        <f t="shared" si="593"/>
        <v>0</v>
      </c>
      <c r="M957" s="65"/>
      <c r="N957" s="65"/>
      <c r="AY957" s="221"/>
      <c r="AZ957" s="481"/>
      <c r="BA957" s="481"/>
      <c r="BB957" s="481"/>
      <c r="BC957" s="481"/>
      <c r="BD957" s="163"/>
      <c r="BE957" s="163"/>
      <c r="BF957" s="163"/>
    </row>
    <row r="958" spans="1:58" s="62" customFormat="1" ht="45">
      <c r="A958" s="23" t="s">
        <v>1348</v>
      </c>
      <c r="B958" s="24">
        <v>91863</v>
      </c>
      <c r="C958" s="23" t="s">
        <v>1692</v>
      </c>
      <c r="D958" s="25" t="s">
        <v>12</v>
      </c>
      <c r="E958" s="25" t="s">
        <v>52</v>
      </c>
      <c r="F958" s="26">
        <v>69</v>
      </c>
      <c r="G958" s="26">
        <f t="shared" si="591"/>
        <v>6.8849999999999998</v>
      </c>
      <c r="H958" s="26">
        <f t="shared" ref="H958:H965" si="617">ROUND(G958*(1+$J$14),2)</f>
        <v>8.73</v>
      </c>
      <c r="I958" s="26">
        <f t="shared" ref="I958:I960" si="618">ROUND(H958*F958,2)</f>
        <v>602.37</v>
      </c>
      <c r="J958" s="64" t="e">
        <f>IF(B958&lt;&gt;0,VLOOKUP(B958,#REF!,4,FALSE),"")</f>
        <v>#REF!</v>
      </c>
      <c r="K958" s="362" t="s">
        <v>1886</v>
      </c>
      <c r="L958" s="362">
        <f t="shared" si="593"/>
        <v>475.065</v>
      </c>
      <c r="M958" s="64"/>
      <c r="N958" s="65" t="e">
        <f>IF(B958&lt;&gt;0,VLOOKUP(B958,#REF!,2,FALSE),"")</f>
        <v>#REF!</v>
      </c>
      <c r="AY958" s="221"/>
      <c r="AZ958" s="481"/>
      <c r="BA958" s="481"/>
      <c r="BB958" s="481"/>
      <c r="BC958" s="481"/>
      <c r="BD958" s="163">
        <f t="shared" si="599"/>
        <v>7.67</v>
      </c>
      <c r="BE958" s="163">
        <f t="shared" si="596"/>
        <v>9.73</v>
      </c>
      <c r="BF958" s="163">
        <f t="shared" ref="BF958:BF965" si="619">ROUND(BE958*F958,2)</f>
        <v>671.37</v>
      </c>
    </row>
    <row r="959" spans="1:58" s="62" customFormat="1" ht="45">
      <c r="A959" s="23" t="s">
        <v>1349</v>
      </c>
      <c r="B959" s="24">
        <v>91875</v>
      </c>
      <c r="C959" s="23" t="s">
        <v>1694</v>
      </c>
      <c r="D959" s="25" t="s">
        <v>12</v>
      </c>
      <c r="E959" s="25" t="s">
        <v>17</v>
      </c>
      <c r="F959" s="26">
        <v>25</v>
      </c>
      <c r="G959" s="26">
        <f t="shared" si="591"/>
        <v>3.7654999999999998</v>
      </c>
      <c r="H959" s="26">
        <f t="shared" si="617"/>
        <v>4.78</v>
      </c>
      <c r="I959" s="26">
        <f t="shared" si="618"/>
        <v>119.5</v>
      </c>
      <c r="J959" s="64" t="e">
        <f>IF(B959&lt;&gt;0,VLOOKUP(B959,#REF!,4,FALSE),"")</f>
        <v>#REF!</v>
      </c>
      <c r="K959" s="362" t="s">
        <v>1865</v>
      </c>
      <c r="L959" s="362">
        <f t="shared" si="593"/>
        <v>94.137500000000003</v>
      </c>
      <c r="M959" s="64"/>
      <c r="N959" s="65" t="e">
        <f>IF(B959&lt;&gt;0,VLOOKUP(B959,#REF!,2,FALSE),"")</f>
        <v>#REF!</v>
      </c>
      <c r="AY959" s="221"/>
      <c r="AZ959" s="481"/>
      <c r="BA959" s="481"/>
      <c r="BB959" s="481"/>
      <c r="BC959" s="481"/>
      <c r="BD959" s="163">
        <f t="shared" si="599"/>
        <v>4.1900000000000004</v>
      </c>
      <c r="BE959" s="163">
        <f t="shared" si="596"/>
        <v>5.31</v>
      </c>
      <c r="BF959" s="163">
        <f t="shared" si="619"/>
        <v>132.75</v>
      </c>
    </row>
    <row r="960" spans="1:58" s="62" customFormat="1" ht="60">
      <c r="A960" s="23" t="s">
        <v>1350</v>
      </c>
      <c r="B960" s="24">
        <v>91890</v>
      </c>
      <c r="C960" s="23" t="s">
        <v>1693</v>
      </c>
      <c r="D960" s="25" t="s">
        <v>12</v>
      </c>
      <c r="E960" s="25" t="s">
        <v>17</v>
      </c>
      <c r="F960" s="26">
        <v>1</v>
      </c>
      <c r="G960" s="26">
        <f t="shared" si="591"/>
        <v>6.375</v>
      </c>
      <c r="H960" s="26">
        <f t="shared" si="617"/>
        <v>8.08</v>
      </c>
      <c r="I960" s="26">
        <f t="shared" si="618"/>
        <v>8.08</v>
      </c>
      <c r="J960" s="64" t="e">
        <f>IF(B960&lt;&gt;0,VLOOKUP(B960,#REF!,4,FALSE),"")</f>
        <v>#REF!</v>
      </c>
      <c r="K960" s="362" t="s">
        <v>3225</v>
      </c>
      <c r="L960" s="362">
        <f t="shared" si="593"/>
        <v>6.375</v>
      </c>
      <c r="M960" s="64"/>
      <c r="N960" s="65" t="e">
        <f>IF(B960&lt;&gt;0,VLOOKUP(B960,#REF!,2,FALSE),"")</f>
        <v>#REF!</v>
      </c>
      <c r="AY960" s="221"/>
      <c r="AZ960" s="481"/>
      <c r="BA960" s="481"/>
      <c r="BB960" s="481"/>
      <c r="BC960" s="481"/>
      <c r="BD960" s="163">
        <f t="shared" si="599"/>
        <v>7.1</v>
      </c>
      <c r="BE960" s="163">
        <f t="shared" si="596"/>
        <v>9</v>
      </c>
      <c r="BF960" s="163">
        <f t="shared" si="619"/>
        <v>9</v>
      </c>
    </row>
    <row r="961" spans="1:58" s="62" customFormat="1" ht="45">
      <c r="A961" s="23" t="s">
        <v>1351</v>
      </c>
      <c r="B961" s="24">
        <v>91871</v>
      </c>
      <c r="C961" s="23" t="s">
        <v>1695</v>
      </c>
      <c r="D961" s="25" t="s">
        <v>12</v>
      </c>
      <c r="E961" s="25" t="s">
        <v>52</v>
      </c>
      <c r="F961" s="26">
        <v>15</v>
      </c>
      <c r="G961" s="26">
        <f t="shared" si="591"/>
        <v>7.3949999999999996</v>
      </c>
      <c r="H961" s="26">
        <f t="shared" si="617"/>
        <v>9.3800000000000008</v>
      </c>
      <c r="I961" s="26">
        <f t="shared" ref="I961:I963" si="620">ROUND(H961*F961,2)</f>
        <v>140.69999999999999</v>
      </c>
      <c r="J961" s="64" t="e">
        <f>IF(B961&lt;&gt;0,VLOOKUP(B961,#REF!,4,FALSE),"")</f>
        <v>#REF!</v>
      </c>
      <c r="K961" s="362" t="s">
        <v>2648</v>
      </c>
      <c r="L961" s="362">
        <f t="shared" si="593"/>
        <v>110.925</v>
      </c>
      <c r="M961" s="64"/>
      <c r="N961" s="65" t="e">
        <f>IF(B961&lt;&gt;0,VLOOKUP(B961,#REF!,2,FALSE),"")</f>
        <v>#REF!</v>
      </c>
      <c r="AY961" s="221"/>
      <c r="AZ961" s="481"/>
      <c r="BA961" s="481"/>
      <c r="BB961" s="481"/>
      <c r="BC961" s="481"/>
      <c r="BD961" s="163">
        <f t="shared" si="599"/>
        <v>8.24</v>
      </c>
      <c r="BE961" s="163">
        <f t="shared" si="596"/>
        <v>10.45</v>
      </c>
      <c r="BF961" s="163">
        <f t="shared" si="619"/>
        <v>156.75</v>
      </c>
    </row>
    <row r="962" spans="1:58" s="62" customFormat="1" ht="45">
      <c r="A962" s="23" t="s">
        <v>1352</v>
      </c>
      <c r="B962" s="24">
        <v>91884</v>
      </c>
      <c r="C962" s="23" t="s">
        <v>1697</v>
      </c>
      <c r="D962" s="25" t="s">
        <v>12</v>
      </c>
      <c r="E962" s="25" t="s">
        <v>17</v>
      </c>
      <c r="F962" s="26">
        <v>23</v>
      </c>
      <c r="G962" s="26">
        <f t="shared" si="591"/>
        <v>5.1849999999999996</v>
      </c>
      <c r="H962" s="26">
        <f t="shared" si="617"/>
        <v>6.58</v>
      </c>
      <c r="I962" s="26">
        <f t="shared" si="620"/>
        <v>151.34</v>
      </c>
      <c r="J962" s="64" t="e">
        <f>IF(B962&lt;&gt;0,VLOOKUP(B962,#REF!,4,FALSE),"")</f>
        <v>#REF!</v>
      </c>
      <c r="K962" s="362" t="s">
        <v>3141</v>
      </c>
      <c r="L962" s="362">
        <f t="shared" si="593"/>
        <v>119.255</v>
      </c>
      <c r="M962" s="64"/>
      <c r="N962" s="65" t="e">
        <f>IF(B962&lt;&gt;0,VLOOKUP(B962,#REF!,2,FALSE),"")</f>
        <v>#REF!</v>
      </c>
      <c r="AY962" s="221"/>
      <c r="AZ962" s="481"/>
      <c r="BA962" s="481"/>
      <c r="BB962" s="481"/>
      <c r="BC962" s="481"/>
      <c r="BD962" s="163">
        <f t="shared" si="599"/>
        <v>5.78</v>
      </c>
      <c r="BE962" s="163">
        <f t="shared" si="596"/>
        <v>7.33</v>
      </c>
      <c r="BF962" s="163">
        <f t="shared" si="619"/>
        <v>168.59</v>
      </c>
    </row>
    <row r="963" spans="1:58" s="62" customFormat="1" ht="60">
      <c r="A963" s="23" t="s">
        <v>1353</v>
      </c>
      <c r="B963" s="24">
        <v>91914</v>
      </c>
      <c r="C963" s="23" t="s">
        <v>1696</v>
      </c>
      <c r="D963" s="25" t="s">
        <v>12</v>
      </c>
      <c r="E963" s="25" t="s">
        <v>17</v>
      </c>
      <c r="F963" s="26">
        <v>9</v>
      </c>
      <c r="G963" s="26">
        <f t="shared" si="591"/>
        <v>8.5084999999999997</v>
      </c>
      <c r="H963" s="26">
        <f t="shared" si="617"/>
        <v>10.79</v>
      </c>
      <c r="I963" s="26">
        <f t="shared" si="620"/>
        <v>97.11</v>
      </c>
      <c r="J963" s="64" t="e">
        <f>IF(B963&lt;&gt;0,VLOOKUP(B963,#REF!,4,FALSE),"")</f>
        <v>#REF!</v>
      </c>
      <c r="K963" s="362" t="s">
        <v>1908</v>
      </c>
      <c r="L963" s="362">
        <f t="shared" si="593"/>
        <v>76.576499999999996</v>
      </c>
      <c r="M963" s="64"/>
      <c r="N963" s="65" t="e">
        <f>IF(B963&lt;&gt;0,VLOOKUP(B963,#REF!,2,FALSE),"")</f>
        <v>#REF!</v>
      </c>
      <c r="AY963" s="221"/>
      <c r="AZ963" s="481"/>
      <c r="BA963" s="481"/>
      <c r="BB963" s="481"/>
      <c r="BC963" s="481"/>
      <c r="BD963" s="163">
        <f t="shared" si="599"/>
        <v>9.48</v>
      </c>
      <c r="BE963" s="163">
        <f t="shared" si="596"/>
        <v>12.02</v>
      </c>
      <c r="BF963" s="163">
        <f t="shared" si="619"/>
        <v>108.18</v>
      </c>
    </row>
    <row r="964" spans="1:58" s="62" customFormat="1" ht="30">
      <c r="A964" s="23" t="s">
        <v>1354</v>
      </c>
      <c r="B964" s="24">
        <v>91864</v>
      </c>
      <c r="C964" s="23" t="s">
        <v>194</v>
      </c>
      <c r="D964" s="25" t="s">
        <v>12</v>
      </c>
      <c r="E964" s="25" t="s">
        <v>52</v>
      </c>
      <c r="F964" s="26">
        <v>9</v>
      </c>
      <c r="G964" s="26">
        <f t="shared" si="591"/>
        <v>9.1204999999999998</v>
      </c>
      <c r="H964" s="26">
        <f t="shared" si="617"/>
        <v>11.57</v>
      </c>
      <c r="I964" s="26">
        <f t="shared" ref="I964:I965" si="621">ROUND(H964*F964,2)</f>
        <v>104.13</v>
      </c>
      <c r="J964" s="64" t="e">
        <f>IF(B964&lt;&gt;0,VLOOKUP(B964,#REF!,4,FALSE),"")</f>
        <v>#REF!</v>
      </c>
      <c r="K964" s="362" t="s">
        <v>1837</v>
      </c>
      <c r="L964" s="362">
        <f t="shared" si="593"/>
        <v>82.084499999999991</v>
      </c>
      <c r="M964" s="64"/>
      <c r="N964" s="65" t="e">
        <f>IF(B964&lt;&gt;0,VLOOKUP(B964,#REF!,2,FALSE),"")</f>
        <v>#REF!</v>
      </c>
      <c r="AY964" s="221"/>
      <c r="AZ964" s="481"/>
      <c r="BA964" s="481"/>
      <c r="BB964" s="481"/>
      <c r="BC964" s="481"/>
      <c r="BD964" s="163">
        <f t="shared" si="599"/>
        <v>10.16</v>
      </c>
      <c r="BE964" s="163">
        <f t="shared" si="596"/>
        <v>12.88</v>
      </c>
      <c r="BF964" s="163">
        <f t="shared" si="619"/>
        <v>115.92</v>
      </c>
    </row>
    <row r="965" spans="1:58" s="62" customFormat="1" ht="30">
      <c r="A965" s="23" t="s">
        <v>1355</v>
      </c>
      <c r="B965" s="24">
        <v>91876</v>
      </c>
      <c r="C965" s="23" t="s">
        <v>195</v>
      </c>
      <c r="D965" s="25" t="s">
        <v>12</v>
      </c>
      <c r="E965" s="25" t="s">
        <v>17</v>
      </c>
      <c r="F965" s="26">
        <v>3</v>
      </c>
      <c r="G965" s="26">
        <f t="shared" si="591"/>
        <v>4.9980000000000002</v>
      </c>
      <c r="H965" s="26">
        <f t="shared" si="617"/>
        <v>6.34</v>
      </c>
      <c r="I965" s="26">
        <f t="shared" si="621"/>
        <v>19.02</v>
      </c>
      <c r="J965" s="64" t="e">
        <f>IF(B965&lt;&gt;0,VLOOKUP(B965,#REF!,4,FALSE),"")</f>
        <v>#REF!</v>
      </c>
      <c r="K965" s="362" t="s">
        <v>3194</v>
      </c>
      <c r="L965" s="362">
        <f t="shared" si="593"/>
        <v>14.994</v>
      </c>
      <c r="M965" s="64"/>
      <c r="N965" s="65" t="e">
        <f>IF(B965&lt;&gt;0,VLOOKUP(B965,#REF!,2,FALSE),"")</f>
        <v>#REF!</v>
      </c>
      <c r="AY965" s="221"/>
      <c r="AZ965" s="481"/>
      <c r="BA965" s="481"/>
      <c r="BB965" s="481"/>
      <c r="BC965" s="481"/>
      <c r="BD965" s="163">
        <f t="shared" si="599"/>
        <v>5.57</v>
      </c>
      <c r="BE965" s="163">
        <f t="shared" si="596"/>
        <v>7.06</v>
      </c>
      <c r="BF965" s="163">
        <f t="shared" si="619"/>
        <v>21.18</v>
      </c>
    </row>
    <row r="966" spans="1:58" s="62" customFormat="1">
      <c r="A966" s="356" t="s">
        <v>1356</v>
      </c>
      <c r="B966" s="356"/>
      <c r="C966" s="356" t="s">
        <v>214</v>
      </c>
      <c r="D966" s="357"/>
      <c r="E966" s="357"/>
      <c r="F966" s="357"/>
      <c r="G966" s="26"/>
      <c r="H966" s="357"/>
      <c r="I966" s="96"/>
      <c r="J966" s="65"/>
      <c r="K966" s="362"/>
      <c r="L966" s="362">
        <f t="shared" si="593"/>
        <v>0</v>
      </c>
      <c r="M966" s="65"/>
      <c r="N966" s="65"/>
      <c r="AY966" s="221"/>
      <c r="AZ966" s="481"/>
      <c r="BA966" s="481"/>
      <c r="BB966" s="481"/>
      <c r="BC966" s="481"/>
      <c r="BD966" s="163"/>
      <c r="BE966" s="163"/>
      <c r="BF966" s="163"/>
    </row>
    <row r="967" spans="1:58" s="62" customFormat="1">
      <c r="A967" s="23" t="s">
        <v>1357</v>
      </c>
      <c r="B967" s="24">
        <v>416</v>
      </c>
      <c r="C967" s="23" t="s">
        <v>295</v>
      </c>
      <c r="D967" s="25" t="s">
        <v>44</v>
      </c>
      <c r="E967" s="25" t="s">
        <v>52</v>
      </c>
      <c r="F967" s="26">
        <v>140</v>
      </c>
      <c r="G967" s="26">
        <f t="shared" si="591"/>
        <v>7.4969999999999999</v>
      </c>
      <c r="H967" s="26">
        <f>ROUND(G967*(1+$J$14),2)</f>
        <v>9.51</v>
      </c>
      <c r="I967" s="26">
        <f t="shared" ref="I967" si="622">ROUND(H967*F967,2)</f>
        <v>1331.4</v>
      </c>
      <c r="J967" s="64">
        <f>'COMPOSIÇÃO DE CUSTOS'!G1928</f>
        <v>7.5</v>
      </c>
      <c r="K967" s="362">
        <v>8.82</v>
      </c>
      <c r="L967" s="362">
        <f t="shared" si="593"/>
        <v>1049.58</v>
      </c>
      <c r="M967" s="64"/>
      <c r="N967" s="65"/>
      <c r="AY967" s="221"/>
      <c r="AZ967" s="481"/>
      <c r="BA967" s="481"/>
      <c r="BB967" s="481"/>
      <c r="BC967" s="481"/>
      <c r="BD967" s="163">
        <f t="shared" si="599"/>
        <v>8.35</v>
      </c>
      <c r="BE967" s="163">
        <f t="shared" si="596"/>
        <v>10.59</v>
      </c>
      <c r="BF967" s="163">
        <f>ROUND(BE967*F967,2)</f>
        <v>1482.6</v>
      </c>
    </row>
    <row r="968" spans="1:58" s="62" customFormat="1" ht="30">
      <c r="A968" s="23" t="s">
        <v>1358</v>
      </c>
      <c r="B968" s="24">
        <v>11752</v>
      </c>
      <c r="C968" s="23" t="s">
        <v>587</v>
      </c>
      <c r="D968" s="25" t="s">
        <v>44</v>
      </c>
      <c r="E968" s="25" t="s">
        <v>52</v>
      </c>
      <c r="F968" s="26">
        <v>222</v>
      </c>
      <c r="G968" s="26">
        <f t="shared" si="591"/>
        <v>8.109</v>
      </c>
      <c r="H968" s="26">
        <f>ROUND(G968*(1+$J$14),2)</f>
        <v>10.28</v>
      </c>
      <c r="I968" s="26">
        <f t="shared" ref="I968" si="623">ROUND(H968*F968,2)</f>
        <v>2282.16</v>
      </c>
      <c r="J968" s="64">
        <f>'COMPOSIÇÃO DE CUSTOS'!G1967</f>
        <v>8.11</v>
      </c>
      <c r="K968" s="362">
        <v>9.5399999999999991</v>
      </c>
      <c r="L968" s="362">
        <f t="shared" si="593"/>
        <v>1800.1980000000001</v>
      </c>
      <c r="M968" s="64"/>
      <c r="N968" s="65"/>
      <c r="AY968" s="221"/>
      <c r="AZ968" s="481"/>
      <c r="BA968" s="481"/>
      <c r="BB968" s="481"/>
      <c r="BC968" s="481"/>
      <c r="BD968" s="163">
        <f t="shared" si="599"/>
        <v>9.0299999999999994</v>
      </c>
      <c r="BE968" s="163">
        <f t="shared" si="596"/>
        <v>11.45</v>
      </c>
      <c r="BF968" s="163">
        <f>ROUND(BE968*F968,2)</f>
        <v>2541.9</v>
      </c>
    </row>
    <row r="969" spans="1:58" s="62" customFormat="1" ht="15" customHeight="1">
      <c r="A969" s="356" t="s">
        <v>1359</v>
      </c>
      <c r="B969" s="356"/>
      <c r="C969" s="356" t="s">
        <v>216</v>
      </c>
      <c r="D969" s="357"/>
      <c r="E969" s="357"/>
      <c r="F969" s="357"/>
      <c r="G969" s="26"/>
      <c r="H969" s="357"/>
      <c r="I969" s="96"/>
      <c r="J969" s="65"/>
      <c r="K969" s="362"/>
      <c r="L969" s="362">
        <f t="shared" si="593"/>
        <v>0</v>
      </c>
      <c r="M969" s="65"/>
      <c r="N969" s="65"/>
      <c r="AY969" s="221"/>
      <c r="AZ969" s="481"/>
      <c r="BA969" s="481"/>
      <c r="BB969" s="481"/>
      <c r="BC969" s="481"/>
      <c r="BD969" s="163"/>
      <c r="BE969" s="163"/>
      <c r="BF969" s="163"/>
    </row>
    <row r="970" spans="1:58" s="62" customFormat="1" ht="45">
      <c r="A970" s="23" t="s">
        <v>1360</v>
      </c>
      <c r="B970" s="24">
        <v>95795</v>
      </c>
      <c r="C970" s="23" t="s">
        <v>1707</v>
      </c>
      <c r="D970" s="25" t="s">
        <v>12</v>
      </c>
      <c r="E970" s="25" t="s">
        <v>17</v>
      </c>
      <c r="F970" s="26">
        <v>6</v>
      </c>
      <c r="G970" s="26">
        <f t="shared" si="591"/>
        <v>21.488</v>
      </c>
      <c r="H970" s="26">
        <f>ROUND(G970*(1+$J$14),2)</f>
        <v>27.25</v>
      </c>
      <c r="I970" s="26">
        <f t="shared" ref="I970:I973" si="624">ROUND(H970*F970,2)</f>
        <v>163.5</v>
      </c>
      <c r="J970" s="64" t="e">
        <f>IF(B970&lt;&gt;0,VLOOKUP(B970,#REF!,4,FALSE),"")</f>
        <v>#REF!</v>
      </c>
      <c r="K970" s="362" t="s">
        <v>3238</v>
      </c>
      <c r="L970" s="362">
        <f t="shared" si="593"/>
        <v>128.928</v>
      </c>
      <c r="M970" s="64"/>
      <c r="N970" s="65" t="e">
        <f>IF(B970&lt;&gt;0,VLOOKUP(B970,#REF!,2,FALSE),"")</f>
        <v>#REF!</v>
      </c>
      <c r="AY970" s="221"/>
      <c r="AZ970" s="481"/>
      <c r="BA970" s="481"/>
      <c r="BB970" s="481"/>
      <c r="BC970" s="481"/>
      <c r="BD970" s="163">
        <f t="shared" si="599"/>
        <v>23.94</v>
      </c>
      <c r="BE970" s="163">
        <f t="shared" si="596"/>
        <v>30.36</v>
      </c>
      <c r="BF970" s="163">
        <f>ROUND(BE970*F970,2)</f>
        <v>182.16</v>
      </c>
    </row>
    <row r="971" spans="1:58" s="62" customFormat="1" ht="45">
      <c r="A971" s="23" t="s">
        <v>1361</v>
      </c>
      <c r="B971" s="24">
        <v>95787</v>
      </c>
      <c r="C971" s="23" t="s">
        <v>1708</v>
      </c>
      <c r="D971" s="25" t="s">
        <v>12</v>
      </c>
      <c r="E971" s="25" t="s">
        <v>17</v>
      </c>
      <c r="F971" s="26">
        <v>5</v>
      </c>
      <c r="G971" s="26">
        <f t="shared" si="591"/>
        <v>18.614999999999998</v>
      </c>
      <c r="H971" s="26">
        <f>ROUND(G971*(1+$J$14),2)</f>
        <v>23.61</v>
      </c>
      <c r="I971" s="26">
        <f t="shared" si="624"/>
        <v>118.05</v>
      </c>
      <c r="J971" s="64" t="e">
        <f>IF(B971&lt;&gt;0,VLOOKUP(B971,#REF!,4,FALSE),"")</f>
        <v>#REF!</v>
      </c>
      <c r="K971" s="362" t="s">
        <v>1888</v>
      </c>
      <c r="L971" s="362">
        <f t="shared" si="593"/>
        <v>93.074999999999989</v>
      </c>
      <c r="M971" s="64"/>
      <c r="N971" s="65" t="e">
        <f>IF(B971&lt;&gt;0,VLOOKUP(B971,#REF!,2,FALSE),"")</f>
        <v>#REF!</v>
      </c>
      <c r="AY971" s="221"/>
      <c r="AZ971" s="481"/>
      <c r="BA971" s="481"/>
      <c r="BB971" s="481"/>
      <c r="BC971" s="481"/>
      <c r="BD971" s="163">
        <f t="shared" si="599"/>
        <v>20.74</v>
      </c>
      <c r="BE971" s="163">
        <f t="shared" si="596"/>
        <v>26.3</v>
      </c>
      <c r="BF971" s="163">
        <f>ROUND(BE971*F971,2)</f>
        <v>131.5</v>
      </c>
    </row>
    <row r="972" spans="1:58" s="62" customFormat="1" ht="45">
      <c r="A972" s="23" t="s">
        <v>1362</v>
      </c>
      <c r="B972" s="24">
        <v>95778</v>
      </c>
      <c r="C972" s="23" t="s">
        <v>1709</v>
      </c>
      <c r="D972" s="25" t="s">
        <v>12</v>
      </c>
      <c r="E972" s="25" t="s">
        <v>17</v>
      </c>
      <c r="F972" s="26">
        <v>5</v>
      </c>
      <c r="G972" s="26">
        <f t="shared" si="591"/>
        <v>19.3035</v>
      </c>
      <c r="H972" s="26">
        <f>ROUND(G972*(1+$J$14),2)</f>
        <v>24.48</v>
      </c>
      <c r="I972" s="26">
        <f t="shared" si="624"/>
        <v>122.4</v>
      </c>
      <c r="J972" s="64" t="e">
        <f>IF(B972&lt;&gt;0,VLOOKUP(B972,#REF!,4,FALSE),"")</f>
        <v>#REF!</v>
      </c>
      <c r="K972" s="362" t="s">
        <v>3137</v>
      </c>
      <c r="L972" s="362">
        <f t="shared" si="593"/>
        <v>96.517499999999998</v>
      </c>
      <c r="M972" s="64"/>
      <c r="N972" s="65" t="e">
        <f>IF(B972&lt;&gt;0,VLOOKUP(B972,#REF!,2,FALSE),"")</f>
        <v>#REF!</v>
      </c>
      <c r="AY972" s="221"/>
      <c r="AZ972" s="481"/>
      <c r="BA972" s="481"/>
      <c r="BB972" s="481"/>
      <c r="BC972" s="481"/>
      <c r="BD972" s="163">
        <f t="shared" si="599"/>
        <v>21.5</v>
      </c>
      <c r="BE972" s="163">
        <f t="shared" si="596"/>
        <v>27.26</v>
      </c>
      <c r="BF972" s="163">
        <f>ROUND(BE972*F972,2)</f>
        <v>136.30000000000001</v>
      </c>
    </row>
    <row r="973" spans="1:58" s="62" customFormat="1" ht="45">
      <c r="A973" s="23" t="s">
        <v>1363</v>
      </c>
      <c r="B973" s="24">
        <v>95779</v>
      </c>
      <c r="C973" s="23" t="s">
        <v>1710</v>
      </c>
      <c r="D973" s="25" t="s">
        <v>12</v>
      </c>
      <c r="E973" s="25" t="s">
        <v>17</v>
      </c>
      <c r="F973" s="26">
        <v>2</v>
      </c>
      <c r="G973" s="26">
        <f t="shared" si="591"/>
        <v>17.442</v>
      </c>
      <c r="H973" s="26">
        <f>ROUND(G973*(1+$J$14),2)</f>
        <v>22.12</v>
      </c>
      <c r="I973" s="26">
        <f t="shared" si="624"/>
        <v>44.24</v>
      </c>
      <c r="J973" s="64" t="e">
        <f>IF(B973&lt;&gt;0,VLOOKUP(B973,#REF!,4,FALSE),"")</f>
        <v>#REF!</v>
      </c>
      <c r="K973" s="362" t="s">
        <v>1900</v>
      </c>
      <c r="L973" s="362">
        <f t="shared" si="593"/>
        <v>34.884</v>
      </c>
      <c r="M973" s="64"/>
      <c r="N973" s="65" t="e">
        <f>IF(B973&lt;&gt;0,VLOOKUP(B973,#REF!,2,FALSE),"")</f>
        <v>#REF!</v>
      </c>
      <c r="AY973" s="221"/>
      <c r="AZ973" s="481"/>
      <c r="BA973" s="481"/>
      <c r="BB973" s="481"/>
      <c r="BC973" s="481"/>
      <c r="BD973" s="163">
        <f t="shared" si="599"/>
        <v>19.43</v>
      </c>
      <c r="BE973" s="163">
        <f t="shared" si="596"/>
        <v>24.64</v>
      </c>
      <c r="BF973" s="163">
        <f>ROUND(BE973*F973,2)</f>
        <v>49.28</v>
      </c>
    </row>
    <row r="974" spans="1:58" s="62" customFormat="1" ht="30">
      <c r="A974" s="23" t="s">
        <v>1364</v>
      </c>
      <c r="B974" s="25" t="s">
        <v>2285</v>
      </c>
      <c r="C974" s="42" t="str">
        <f>C571</f>
        <v>CAIXA DE PASSAGEM COM TAMPA PARAFUSADA 150X150X80MM</v>
      </c>
      <c r="D974" s="25" t="str">
        <f>D571</f>
        <v>SEINFRA</v>
      </c>
      <c r="E974" s="25" t="s">
        <v>17</v>
      </c>
      <c r="F974" s="26">
        <v>4</v>
      </c>
      <c r="G974" s="26">
        <f t="shared" si="591"/>
        <v>43.978999999999999</v>
      </c>
      <c r="H974" s="26">
        <f>ROUND(G974*(1+$J$14),2)</f>
        <v>55.77</v>
      </c>
      <c r="I974" s="26">
        <f t="shared" ref="I974" si="625">ROUND(H974*F974,2)</f>
        <v>223.08</v>
      </c>
      <c r="J974" s="64">
        <f>J571</f>
        <v>43.97</v>
      </c>
      <c r="K974" s="362">
        <v>51.74</v>
      </c>
      <c r="L974" s="362">
        <f t="shared" si="593"/>
        <v>175.916</v>
      </c>
      <c r="M974" s="64"/>
      <c r="N974" s="65"/>
      <c r="AY974" s="221"/>
      <c r="AZ974" s="481"/>
      <c r="BA974" s="481"/>
      <c r="BB974" s="481"/>
      <c r="BC974" s="481"/>
      <c r="BD974" s="163">
        <f t="shared" si="599"/>
        <v>48.99</v>
      </c>
      <c r="BE974" s="163">
        <f t="shared" si="596"/>
        <v>62.12</v>
      </c>
      <c r="BF974" s="163">
        <f>ROUND(BE974*F974,2)</f>
        <v>248.48</v>
      </c>
    </row>
    <row r="975" spans="1:58" s="62" customFormat="1" ht="15" customHeight="1">
      <c r="A975" s="356" t="s">
        <v>1365</v>
      </c>
      <c r="B975" s="356"/>
      <c r="C975" s="356" t="s">
        <v>296</v>
      </c>
      <c r="D975" s="357"/>
      <c r="E975" s="357"/>
      <c r="F975" s="357"/>
      <c r="G975" s="26"/>
      <c r="H975" s="357"/>
      <c r="I975" s="96"/>
      <c r="J975" s="65"/>
      <c r="K975" s="362"/>
      <c r="L975" s="362">
        <f t="shared" si="593"/>
        <v>0</v>
      </c>
      <c r="M975" s="65"/>
      <c r="N975" s="65"/>
      <c r="AY975" s="221"/>
      <c r="AZ975" s="481"/>
      <c r="BA975" s="481"/>
      <c r="BB975" s="481"/>
      <c r="BC975" s="481"/>
      <c r="BD975" s="163"/>
      <c r="BE975" s="163"/>
      <c r="BF975" s="163"/>
    </row>
    <row r="976" spans="1:58" s="62" customFormat="1">
      <c r="A976" s="23" t="s">
        <v>1366</v>
      </c>
      <c r="B976" s="24">
        <v>4439</v>
      </c>
      <c r="C976" s="23" t="s">
        <v>1950</v>
      </c>
      <c r="D976" s="25" t="s">
        <v>44</v>
      </c>
      <c r="E976" s="25" t="s">
        <v>17</v>
      </c>
      <c r="F976" s="26">
        <v>17</v>
      </c>
      <c r="G976" s="26">
        <f t="shared" si="591"/>
        <v>71.722999999999999</v>
      </c>
      <c r="H976" s="26">
        <f t="shared" ref="H976:H985" si="626">ROUND(G976*(1+$J$14),2)</f>
        <v>90.95</v>
      </c>
      <c r="I976" s="26">
        <f t="shared" ref="I976" si="627">ROUND(H976*F976,2)</f>
        <v>1546.15</v>
      </c>
      <c r="J976" s="64">
        <f>'COMPOSIÇÃO DE CUSTOS'!G1947</f>
        <v>71.73</v>
      </c>
      <c r="K976" s="362">
        <v>84.38</v>
      </c>
      <c r="L976" s="362">
        <f t="shared" si="593"/>
        <v>1219.2909999999999</v>
      </c>
      <c r="M976" s="64"/>
      <c r="N976" s="65"/>
      <c r="AY976" s="221"/>
      <c r="AZ976" s="481"/>
      <c r="BA976" s="481"/>
      <c r="BB976" s="481"/>
      <c r="BC976" s="481"/>
      <c r="BD976" s="163">
        <f t="shared" si="599"/>
        <v>79.900000000000006</v>
      </c>
      <c r="BE976" s="163">
        <f t="shared" si="596"/>
        <v>101.32</v>
      </c>
      <c r="BF976" s="163">
        <f t="shared" ref="BF976:BF985" si="628">ROUND(BE976*F976,2)</f>
        <v>1722.44</v>
      </c>
    </row>
    <row r="977" spans="1:59" s="62" customFormat="1">
      <c r="A977" s="23" t="s">
        <v>1367</v>
      </c>
      <c r="B977" s="24">
        <v>11527</v>
      </c>
      <c r="C977" s="23" t="s">
        <v>297</v>
      </c>
      <c r="D977" s="25" t="s">
        <v>44</v>
      </c>
      <c r="E977" s="25" t="s">
        <v>17</v>
      </c>
      <c r="F977" s="26">
        <v>3</v>
      </c>
      <c r="G977" s="26">
        <f t="shared" si="591"/>
        <v>1156.9860000000001</v>
      </c>
      <c r="H977" s="26">
        <f t="shared" si="626"/>
        <v>1467.17</v>
      </c>
      <c r="I977" s="26">
        <f t="shared" ref="I977" si="629">ROUND(H977*F977,2)</f>
        <v>4401.51</v>
      </c>
      <c r="J977" s="64">
        <f>'COMPOSIÇÃO DE CUSTOS'!G2175</f>
        <v>1156.99</v>
      </c>
      <c r="K977" s="362">
        <v>1361.16</v>
      </c>
      <c r="L977" s="362">
        <f t="shared" si="593"/>
        <v>3470.9580000000005</v>
      </c>
      <c r="M977" s="64"/>
      <c r="N977" s="65"/>
      <c r="AY977" s="221"/>
      <c r="AZ977" s="481"/>
      <c r="BA977" s="481"/>
      <c r="BB977" s="481"/>
      <c r="BC977" s="481"/>
      <c r="BD977" s="163">
        <f t="shared" si="599"/>
        <v>1288.8900000000001</v>
      </c>
      <c r="BE977" s="163">
        <f t="shared" si="596"/>
        <v>1634.44</v>
      </c>
      <c r="BF977" s="163">
        <f t="shared" si="628"/>
        <v>4903.32</v>
      </c>
    </row>
    <row r="978" spans="1:59" s="62" customFormat="1">
      <c r="A978" s="23" t="s">
        <v>1368</v>
      </c>
      <c r="B978" s="160">
        <v>4436</v>
      </c>
      <c r="C978" s="161" t="s">
        <v>2342</v>
      </c>
      <c r="D978" s="162" t="s">
        <v>44</v>
      </c>
      <c r="E978" s="162" t="s">
        <v>17</v>
      </c>
      <c r="F978" s="155">
        <v>4</v>
      </c>
      <c r="G978" s="26">
        <f t="shared" si="591"/>
        <v>126.65</v>
      </c>
      <c r="H978" s="155">
        <f t="shared" si="626"/>
        <v>160.6</v>
      </c>
      <c r="I978" s="155">
        <f t="shared" ref="I978" si="630">ROUND(H978*F978,2)</f>
        <v>642.4</v>
      </c>
      <c r="J978" s="64">
        <f>'COMPOSIÇÃO DE CUSTOS'!G2170</f>
        <v>126.65</v>
      </c>
      <c r="K978" s="362">
        <v>149</v>
      </c>
      <c r="L978" s="362">
        <f t="shared" si="593"/>
        <v>506.6</v>
      </c>
      <c r="M978" s="64"/>
      <c r="N978" s="65"/>
      <c r="AY978" s="221"/>
      <c r="AZ978" s="481"/>
      <c r="BA978" s="481"/>
      <c r="BB978" s="481"/>
      <c r="BC978" s="481"/>
      <c r="BD978" s="163">
        <f t="shared" si="599"/>
        <v>141.09</v>
      </c>
      <c r="BE978" s="163">
        <f t="shared" si="596"/>
        <v>178.92</v>
      </c>
      <c r="BF978" s="163">
        <f t="shared" si="628"/>
        <v>715.68</v>
      </c>
    </row>
    <row r="979" spans="1:59" s="62" customFormat="1">
      <c r="A979" s="143" t="s">
        <v>2336</v>
      </c>
      <c r="B979" s="148">
        <v>10243</v>
      </c>
      <c r="C979" s="149" t="s">
        <v>2035</v>
      </c>
      <c r="D979" s="141" t="s">
        <v>44</v>
      </c>
      <c r="E979" s="141" t="s">
        <v>17</v>
      </c>
      <c r="F979" s="158">
        <v>6</v>
      </c>
      <c r="G979" s="26">
        <f t="shared" si="591"/>
        <v>12.75</v>
      </c>
      <c r="H979" s="158">
        <f t="shared" si="626"/>
        <v>16.170000000000002</v>
      </c>
      <c r="I979" s="158">
        <f t="shared" ref="I979" si="631">ROUND(H979*F979,2)</f>
        <v>97.02</v>
      </c>
      <c r="J979" s="64">
        <f>'COMPOSIÇÃO DE CUSTOS'!G2180</f>
        <v>12.75</v>
      </c>
      <c r="K979" s="362">
        <v>15</v>
      </c>
      <c r="L979" s="362">
        <f t="shared" si="593"/>
        <v>76.5</v>
      </c>
      <c r="M979" s="64"/>
      <c r="N979" s="65"/>
      <c r="AY979" s="221"/>
      <c r="AZ979" s="481"/>
      <c r="BA979" s="481"/>
      <c r="BB979" s="481"/>
      <c r="BC979" s="481"/>
      <c r="BD979" s="163">
        <f t="shared" si="599"/>
        <v>14.2</v>
      </c>
      <c r="BE979" s="163">
        <f t="shared" si="596"/>
        <v>18.010000000000002</v>
      </c>
      <c r="BF979" s="163">
        <f t="shared" si="628"/>
        <v>108.06</v>
      </c>
    </row>
    <row r="980" spans="1:59" s="62" customFormat="1" ht="30">
      <c r="A980" s="143" t="s">
        <v>2337</v>
      </c>
      <c r="B980" s="148" t="s">
        <v>2447</v>
      </c>
      <c r="C980" s="149" t="s">
        <v>1957</v>
      </c>
      <c r="D980" s="141" t="s">
        <v>1915</v>
      </c>
      <c r="E980" s="141" t="s">
        <v>17</v>
      </c>
      <c r="F980" s="158">
        <v>6</v>
      </c>
      <c r="G980" s="26">
        <f t="shared" si="591"/>
        <v>35.453499999999998</v>
      </c>
      <c r="H980" s="158">
        <f t="shared" si="626"/>
        <v>44.96</v>
      </c>
      <c r="I980" s="158">
        <f t="shared" ref="I980" si="632">ROUND(H980*F980,2)</f>
        <v>269.76</v>
      </c>
      <c r="J980" s="64">
        <f>'COMPOSIÇÃO DE CUSTOS'!G2238</f>
        <v>35.44</v>
      </c>
      <c r="K980" s="362">
        <v>41.71</v>
      </c>
      <c r="L980" s="362">
        <f t="shared" si="593"/>
        <v>212.721</v>
      </c>
      <c r="M980" s="64"/>
      <c r="N980" s="65"/>
      <c r="AY980" s="221"/>
      <c r="AZ980" s="481"/>
      <c r="BA980" s="481"/>
      <c r="BB980" s="481"/>
      <c r="BC980" s="481"/>
      <c r="BD980" s="163">
        <f t="shared" si="599"/>
        <v>39.5</v>
      </c>
      <c r="BE980" s="163">
        <f t="shared" si="596"/>
        <v>50.09</v>
      </c>
      <c r="BF980" s="163">
        <f t="shared" si="628"/>
        <v>300.54000000000002</v>
      </c>
    </row>
    <row r="981" spans="1:59" s="62" customFormat="1" ht="40.5" customHeight="1">
      <c r="A981" s="143" t="s">
        <v>2338</v>
      </c>
      <c r="B981" s="148">
        <f>B522</f>
        <v>8681</v>
      </c>
      <c r="C981" s="163" t="str">
        <f>C522</f>
        <v>FORNECIMENTO E INSTALAÇÃO DE MINI RACK DE PAREDE 19" X 5U X 450MM</v>
      </c>
      <c r="D981" s="141" t="s">
        <v>44</v>
      </c>
      <c r="E981" s="141" t="s">
        <v>17</v>
      </c>
      <c r="F981" s="158">
        <v>1</v>
      </c>
      <c r="G981" s="26">
        <f t="shared" si="591"/>
        <v>387.66800000000001</v>
      </c>
      <c r="H981" s="158">
        <f t="shared" si="626"/>
        <v>491.6</v>
      </c>
      <c r="I981" s="158">
        <f t="shared" ref="I981" si="633">ROUND(H981*F981,2)</f>
        <v>491.6</v>
      </c>
      <c r="J981" s="64">
        <f>J522</f>
        <v>387.68</v>
      </c>
      <c r="K981" s="362">
        <v>456.08</v>
      </c>
      <c r="L981" s="362">
        <f t="shared" si="593"/>
        <v>387.66800000000001</v>
      </c>
      <c r="M981" s="64"/>
      <c r="N981" s="65"/>
      <c r="AY981" s="221"/>
      <c r="AZ981" s="481"/>
      <c r="BA981" s="481"/>
      <c r="BB981" s="481"/>
      <c r="BC981" s="481"/>
      <c r="BD981" s="163">
        <f t="shared" si="599"/>
        <v>431.87</v>
      </c>
      <c r="BE981" s="163">
        <f t="shared" si="596"/>
        <v>547.65</v>
      </c>
      <c r="BF981" s="163">
        <f t="shared" si="628"/>
        <v>547.65</v>
      </c>
    </row>
    <row r="982" spans="1:59" s="62" customFormat="1" ht="30">
      <c r="A982" s="23" t="s">
        <v>2339</v>
      </c>
      <c r="B982" s="154">
        <v>13247</v>
      </c>
      <c r="C982" s="153" t="str">
        <f>'COMPOSIÇÃO DE CUSTOS'!A1949</f>
        <v>MESA DE SOM / MIXER 8 CANAIS C/ USB OMX 52 - ONEAL OU SIMILAR</v>
      </c>
      <c r="D982" s="164" t="s">
        <v>44</v>
      </c>
      <c r="E982" s="164" t="s">
        <v>17</v>
      </c>
      <c r="F982" s="159">
        <v>1</v>
      </c>
      <c r="G982" s="26">
        <f t="shared" si="591"/>
        <v>759.39</v>
      </c>
      <c r="H982" s="159">
        <f t="shared" si="626"/>
        <v>962.98</v>
      </c>
      <c r="I982" s="159">
        <f t="shared" ref="I982" si="634">ROUND(H982*F982,2)</f>
        <v>962.98</v>
      </c>
      <c r="J982" s="64">
        <f>'COMPOSIÇÃO DE CUSTOS'!G1954</f>
        <v>759.4</v>
      </c>
      <c r="K982" s="362">
        <v>893.4</v>
      </c>
      <c r="L982" s="362">
        <f t="shared" si="593"/>
        <v>759.39</v>
      </c>
      <c r="M982" s="64"/>
      <c r="N982" s="65"/>
      <c r="AY982" s="221"/>
      <c r="AZ982" s="481"/>
      <c r="BA982" s="481"/>
      <c r="BB982" s="481"/>
      <c r="BC982" s="481"/>
      <c r="BD982" s="163">
        <f t="shared" si="599"/>
        <v>845.97</v>
      </c>
      <c r="BE982" s="163">
        <f t="shared" si="596"/>
        <v>1072.77</v>
      </c>
      <c r="BF982" s="163">
        <f t="shared" si="628"/>
        <v>1072.77</v>
      </c>
    </row>
    <row r="983" spans="1:59" s="62" customFormat="1" ht="30">
      <c r="A983" s="23" t="s">
        <v>2340</v>
      </c>
      <c r="B983" s="24">
        <v>4350</v>
      </c>
      <c r="C983" s="23" t="str">
        <f>'COMPOSIÇÃO DE CUSTOS'!A1956</f>
        <v>AMPLIFICADOR CICLOTRON DBK 4000 (OU SIMILAR) - FORNECIMENTO E INSTALAÇÃO</v>
      </c>
      <c r="D983" s="25" t="s">
        <v>44</v>
      </c>
      <c r="E983" s="25" t="s">
        <v>17</v>
      </c>
      <c r="F983" s="26">
        <v>1</v>
      </c>
      <c r="G983" s="26">
        <f t="shared" si="591"/>
        <v>1506.4634999999998</v>
      </c>
      <c r="H983" s="26">
        <f t="shared" si="626"/>
        <v>1910.35</v>
      </c>
      <c r="I983" s="26">
        <f t="shared" ref="I983" si="635">ROUND(H983*F983,2)</f>
        <v>1910.35</v>
      </c>
      <c r="J983" s="64">
        <f>'COMPOSIÇÃO DE CUSTOS'!G1960</f>
        <v>1506.47</v>
      </c>
      <c r="K983" s="362">
        <v>1772.31</v>
      </c>
      <c r="L983" s="362">
        <f t="shared" si="593"/>
        <v>1506.4634999999998</v>
      </c>
      <c r="M983" s="64"/>
      <c r="N983" s="65"/>
      <c r="AY983" s="221"/>
      <c r="AZ983" s="481"/>
      <c r="BA983" s="481"/>
      <c r="BB983" s="481"/>
      <c r="BC983" s="481"/>
      <c r="BD983" s="163">
        <f t="shared" si="599"/>
        <v>1678.21</v>
      </c>
      <c r="BE983" s="163">
        <f t="shared" si="596"/>
        <v>2128.14</v>
      </c>
      <c r="BF983" s="163">
        <f t="shared" si="628"/>
        <v>2128.14</v>
      </c>
    </row>
    <row r="984" spans="1:59" s="62" customFormat="1">
      <c r="A984" s="23" t="s">
        <v>2341</v>
      </c>
      <c r="B984" s="24">
        <v>8914</v>
      </c>
      <c r="C984" s="23" t="s">
        <v>298</v>
      </c>
      <c r="D984" s="25" t="s">
        <v>44</v>
      </c>
      <c r="E984" s="25" t="s">
        <v>17</v>
      </c>
      <c r="F984" s="26">
        <v>2</v>
      </c>
      <c r="G984" s="26">
        <f t="shared" ref="G984:G1047" si="636">K984-(K984*$K$15)</f>
        <v>401.625</v>
      </c>
      <c r="H984" s="26">
        <f t="shared" si="626"/>
        <v>509.3</v>
      </c>
      <c r="I984" s="26">
        <f t="shared" ref="I984" si="637">ROUND(H984*F984,2)</f>
        <v>1018.6</v>
      </c>
      <c r="J984" s="64">
        <f>'COMPOSIÇÃO DE CUSTOS'!G2143</f>
        <v>401.63</v>
      </c>
      <c r="K984" s="362">
        <v>472.5</v>
      </c>
      <c r="L984" s="362">
        <f t="shared" ref="L984:L1047" si="638">F984*G984</f>
        <v>803.25</v>
      </c>
      <c r="M984" s="64"/>
      <c r="N984" s="65"/>
      <c r="AY984" s="221"/>
      <c r="AZ984" s="481"/>
      <c r="BA984" s="481"/>
      <c r="BB984" s="481"/>
      <c r="BC984" s="481"/>
      <c r="BD984" s="163">
        <f t="shared" si="599"/>
        <v>447.41</v>
      </c>
      <c r="BE984" s="163">
        <f t="shared" si="596"/>
        <v>567.36</v>
      </c>
      <c r="BF984" s="163">
        <f t="shared" si="628"/>
        <v>1134.72</v>
      </c>
    </row>
    <row r="985" spans="1:59" s="62" customFormat="1" ht="30">
      <c r="A985" s="23" t="s">
        <v>2446</v>
      </c>
      <c r="B985" s="165">
        <f>B508</f>
        <v>11419</v>
      </c>
      <c r="C985" s="23" t="s">
        <v>220</v>
      </c>
      <c r="D985" s="152" t="str">
        <f>D508</f>
        <v>ORSE</v>
      </c>
      <c r="E985" s="25" t="s">
        <v>17</v>
      </c>
      <c r="F985" s="26">
        <v>1</v>
      </c>
      <c r="G985" s="26">
        <f t="shared" si="636"/>
        <v>17.977499999999999</v>
      </c>
      <c r="H985" s="26">
        <f t="shared" si="626"/>
        <v>22.8</v>
      </c>
      <c r="I985" s="26">
        <f t="shared" ref="I985" si="639">ROUND(H985*F985,2)</f>
        <v>22.8</v>
      </c>
      <c r="J985" s="64">
        <f>J508</f>
        <v>21.15</v>
      </c>
      <c r="K985" s="362">
        <v>21.15</v>
      </c>
      <c r="L985" s="362">
        <f t="shared" si="638"/>
        <v>17.977499999999999</v>
      </c>
      <c r="M985" s="64"/>
      <c r="N985" s="65"/>
      <c r="AY985" s="221"/>
      <c r="AZ985" s="481"/>
      <c r="BA985" s="481"/>
      <c r="BB985" s="481"/>
      <c r="BC985" s="481"/>
      <c r="BD985" s="163">
        <f t="shared" si="599"/>
        <v>20.03</v>
      </c>
      <c r="BE985" s="163">
        <f t="shared" si="596"/>
        <v>25.4</v>
      </c>
      <c r="BF985" s="163">
        <f t="shared" si="628"/>
        <v>25.4</v>
      </c>
    </row>
    <row r="986" spans="1:59" ht="29.25" customHeight="1">
      <c r="A986" s="23"/>
      <c r="B986" s="25"/>
      <c r="C986" s="23"/>
      <c r="D986" s="25"/>
      <c r="E986" s="25"/>
      <c r="F986" s="26"/>
      <c r="G986" s="26"/>
      <c r="H986" s="26"/>
      <c r="I986" s="26"/>
      <c r="J986" s="35"/>
      <c r="K986" s="375"/>
      <c r="L986" s="362">
        <f t="shared" si="638"/>
        <v>0</v>
      </c>
      <c r="M986" s="35"/>
      <c r="N986" s="35"/>
      <c r="AY986" s="21"/>
      <c r="AZ986" s="481"/>
      <c r="BA986" s="481"/>
      <c r="BB986" s="481"/>
      <c r="BC986" s="481"/>
      <c r="BD986" s="481"/>
      <c r="BE986" s="481"/>
      <c r="BF986" s="481"/>
    </row>
    <row r="987" spans="1:59" s="45" customFormat="1">
      <c r="A987" s="356" t="s">
        <v>1373</v>
      </c>
      <c r="B987" s="356"/>
      <c r="C987" s="356" t="s">
        <v>299</v>
      </c>
      <c r="D987" s="357"/>
      <c r="E987" s="357"/>
      <c r="F987" s="357"/>
      <c r="G987" s="26"/>
      <c r="H987" s="357"/>
      <c r="I987" s="96">
        <f>SUM(I989:I1004)</f>
        <v>57648.86</v>
      </c>
      <c r="J987" s="46"/>
      <c r="K987" s="364"/>
      <c r="L987" s="362">
        <f t="shared" si="638"/>
        <v>0</v>
      </c>
      <c r="M987" s="46"/>
      <c r="N987" s="46"/>
      <c r="AY987" s="56"/>
      <c r="AZ987" s="481"/>
      <c r="BA987" s="481"/>
      <c r="BB987" s="481"/>
      <c r="BC987" s="481"/>
      <c r="BD987" s="481"/>
      <c r="BE987" s="481"/>
      <c r="BF987" s="96">
        <f>SUM(BF989:BF1004)</f>
        <v>66423.349999999991</v>
      </c>
    </row>
    <row r="988" spans="1:59" s="62" customFormat="1" ht="15" customHeight="1">
      <c r="A988" s="356" t="s">
        <v>1374</v>
      </c>
      <c r="B988" s="356"/>
      <c r="C988" s="356" t="s">
        <v>300</v>
      </c>
      <c r="D988" s="357"/>
      <c r="E988" s="357"/>
      <c r="F988" s="357"/>
      <c r="G988" s="26"/>
      <c r="H988" s="357"/>
      <c r="I988" s="96"/>
      <c r="J988" s="65"/>
      <c r="K988" s="362"/>
      <c r="L988" s="362">
        <f t="shared" si="638"/>
        <v>0</v>
      </c>
      <c r="M988" s="65"/>
      <c r="N988" s="65"/>
      <c r="AY988" s="221"/>
      <c r="AZ988" s="481"/>
      <c r="BA988" s="481"/>
      <c r="BB988" s="481"/>
      <c r="BC988" s="481"/>
      <c r="BD988" s="481"/>
      <c r="BE988" s="481"/>
      <c r="BF988" s="481"/>
    </row>
    <row r="989" spans="1:59" s="34" customFormat="1" ht="46.5" customHeight="1">
      <c r="A989" s="471" t="s">
        <v>1375</v>
      </c>
      <c r="B989" s="475">
        <v>96973</v>
      </c>
      <c r="C989" s="471" t="s">
        <v>2509</v>
      </c>
      <c r="D989" s="472" t="s">
        <v>12</v>
      </c>
      <c r="E989" s="472" t="s">
        <v>52</v>
      </c>
      <c r="F989" s="473">
        <v>425</v>
      </c>
      <c r="G989" s="473">
        <f t="shared" si="636"/>
        <v>49.376500000000007</v>
      </c>
      <c r="H989" s="473">
        <f t="shared" ref="H989:H994" si="640">ROUND(G989*(1+$J$14),2)</f>
        <v>62.61</v>
      </c>
      <c r="I989" s="473">
        <f t="shared" ref="I989" si="641">ROUND(H989*F989,2)</f>
        <v>26609.25</v>
      </c>
      <c r="J989" s="474" t="e">
        <f>IF(B989&lt;&gt;0,VLOOKUP(B989,#REF!,4,FALSE),"")</f>
        <v>#REF!</v>
      </c>
      <c r="K989" s="378" t="s">
        <v>3260</v>
      </c>
      <c r="L989" s="378">
        <f t="shared" si="638"/>
        <v>20985.012500000004</v>
      </c>
      <c r="M989" s="474"/>
      <c r="N989" s="47" t="e">
        <f>IF(B989&lt;&gt;0,VLOOKUP(B989,#REF!,2,FALSE),"")</f>
        <v>#REF!</v>
      </c>
      <c r="AY989" s="577"/>
      <c r="AZ989" s="502"/>
      <c r="BA989" s="502"/>
      <c r="BB989" s="502"/>
      <c r="BC989" s="502"/>
      <c r="BD989" s="523">
        <f t="shared" ref="BD989" si="642">BG989</f>
        <v>59.09</v>
      </c>
      <c r="BE989" s="523">
        <f>ROUND(BD989*(1+$J$14),2)</f>
        <v>74.930000000000007</v>
      </c>
      <c r="BF989" s="523">
        <f t="shared" ref="BF989:BF994" si="643">ROUND(BE989*F989,2)</f>
        <v>31845.25</v>
      </c>
      <c r="BG989" s="34">
        <f>'COMPOSIÇÃO AB'!G630</f>
        <v>59.09</v>
      </c>
    </row>
    <row r="990" spans="1:59" s="62" customFormat="1" ht="30">
      <c r="A990" s="23" t="s">
        <v>2343</v>
      </c>
      <c r="B990" s="24">
        <v>8795</v>
      </c>
      <c r="C990" s="23" t="s">
        <v>301</v>
      </c>
      <c r="D990" s="25" t="s">
        <v>44</v>
      </c>
      <c r="E990" s="25" t="s">
        <v>17</v>
      </c>
      <c r="F990" s="26">
        <v>17</v>
      </c>
      <c r="G990" s="26">
        <f t="shared" si="636"/>
        <v>19.473500000000001</v>
      </c>
      <c r="H990" s="26">
        <f t="shared" si="640"/>
        <v>24.69</v>
      </c>
      <c r="I990" s="26">
        <f t="shared" ref="I990" si="644">ROUND(H990*F990,2)</f>
        <v>419.73</v>
      </c>
      <c r="J990" s="64">
        <f>'COMPOSIÇÃO DE CUSTOS'!G2150</f>
        <v>19.47</v>
      </c>
      <c r="K990" s="362">
        <v>22.91</v>
      </c>
      <c r="L990" s="362">
        <f t="shared" si="638"/>
        <v>331.04950000000002</v>
      </c>
      <c r="M990" s="64"/>
      <c r="N990" s="65"/>
      <c r="AY990" s="221"/>
      <c r="AZ990" s="481"/>
      <c r="BA990" s="481"/>
      <c r="BB990" s="481"/>
      <c r="BC990" s="481"/>
      <c r="BD990" s="163">
        <f t="shared" ref="BD990" si="645">ROUND(G990*$BH$19,2)</f>
        <v>21.69</v>
      </c>
      <c r="BE990" s="163">
        <f t="shared" ref="BE990:BE1004" si="646">ROUND(BD990*(1+$J$14),2)</f>
        <v>27.51</v>
      </c>
      <c r="BF990" s="163">
        <f t="shared" si="643"/>
        <v>467.67</v>
      </c>
    </row>
    <row r="991" spans="1:59" s="62" customFormat="1" ht="30">
      <c r="A991" s="23" t="s">
        <v>2344</v>
      </c>
      <c r="B991" s="24">
        <v>10694</v>
      </c>
      <c r="C991" s="23" t="s">
        <v>302</v>
      </c>
      <c r="D991" s="25" t="s">
        <v>44</v>
      </c>
      <c r="E991" s="25" t="s">
        <v>17</v>
      </c>
      <c r="F991" s="26">
        <v>267</v>
      </c>
      <c r="G991" s="26">
        <f t="shared" si="636"/>
        <v>19.694500000000001</v>
      </c>
      <c r="H991" s="26">
        <f t="shared" si="640"/>
        <v>24.97</v>
      </c>
      <c r="I991" s="26">
        <f t="shared" ref="I991:I992" si="647">ROUND(H991*F991,2)</f>
        <v>6666.99</v>
      </c>
      <c r="J991" s="64">
        <f>'COMPOSIÇÃO DE CUSTOS'!G1921</f>
        <v>19.690000000000001</v>
      </c>
      <c r="K991" s="362">
        <v>23.17</v>
      </c>
      <c r="L991" s="362">
        <f t="shared" si="638"/>
        <v>5258.4315000000006</v>
      </c>
      <c r="M991" s="64"/>
      <c r="N991" s="65"/>
      <c r="AY991" s="221"/>
      <c r="AZ991" s="481"/>
      <c r="BA991" s="481"/>
      <c r="BB991" s="481"/>
      <c r="BC991" s="481"/>
      <c r="BD991" s="163">
        <f t="shared" ref="BD991:BD1004" si="648">ROUND(G991*$BH$19,2)</f>
        <v>21.94</v>
      </c>
      <c r="BE991" s="163">
        <f t="shared" si="646"/>
        <v>27.82</v>
      </c>
      <c r="BF991" s="163">
        <f t="shared" si="643"/>
        <v>7427.94</v>
      </c>
    </row>
    <row r="992" spans="1:59" s="62" customFormat="1" ht="30">
      <c r="A992" s="41" t="s">
        <v>3736</v>
      </c>
      <c r="B992" s="24">
        <v>96987</v>
      </c>
      <c r="C992" s="470" t="s">
        <v>3737</v>
      </c>
      <c r="D992" s="25" t="s">
        <v>12</v>
      </c>
      <c r="E992" s="25" t="s">
        <v>17</v>
      </c>
      <c r="F992" s="26">
        <v>1</v>
      </c>
      <c r="G992" s="26">
        <f t="shared" si="636"/>
        <v>97.393000000000001</v>
      </c>
      <c r="H992" s="26">
        <f t="shared" si="640"/>
        <v>123.5</v>
      </c>
      <c r="I992" s="26">
        <f t="shared" si="647"/>
        <v>123.5</v>
      </c>
      <c r="J992" s="43" t="e">
        <f>IF(B992&lt;&gt;0,VLOOKUP(B992,#REF!,4,FALSE),"")</f>
        <v>#REF!</v>
      </c>
      <c r="K992" s="365" t="s">
        <v>3262</v>
      </c>
      <c r="L992" s="362">
        <f t="shared" si="638"/>
        <v>97.393000000000001</v>
      </c>
      <c r="M992" s="43"/>
      <c r="N992" s="42" t="e">
        <f>IF(B992&lt;&gt;0,VLOOKUP(B992,#REF!,2,FALSE),"")</f>
        <v>#REF!</v>
      </c>
      <c r="AY992" s="221"/>
      <c r="AZ992" s="481"/>
      <c r="BA992" s="481"/>
      <c r="BB992" s="481"/>
      <c r="BC992" s="481"/>
      <c r="BD992" s="163">
        <f t="shared" si="648"/>
        <v>108.5</v>
      </c>
      <c r="BE992" s="163">
        <f t="shared" si="646"/>
        <v>137.59</v>
      </c>
      <c r="BF992" s="163">
        <f t="shared" si="643"/>
        <v>137.59</v>
      </c>
    </row>
    <row r="993" spans="1:58" s="62" customFormat="1" ht="30">
      <c r="A993" s="41" t="s">
        <v>3738</v>
      </c>
      <c r="B993" s="24">
        <v>96988</v>
      </c>
      <c r="C993" s="470" t="s">
        <v>3739</v>
      </c>
      <c r="D993" s="25" t="s">
        <v>12</v>
      </c>
      <c r="E993" s="25" t="s">
        <v>17</v>
      </c>
      <c r="F993" s="26">
        <v>1</v>
      </c>
      <c r="G993" s="26">
        <f t="shared" si="636"/>
        <v>156.995</v>
      </c>
      <c r="H993" s="26">
        <f t="shared" si="640"/>
        <v>199.09</v>
      </c>
      <c r="I993" s="26">
        <f t="shared" ref="I993" si="649">ROUND(H993*F993,2)</f>
        <v>199.09</v>
      </c>
      <c r="J993" s="43" t="e">
        <f>IF(B993&lt;&gt;0,VLOOKUP(B993,#REF!,4,FALSE),"")</f>
        <v>#REF!</v>
      </c>
      <c r="K993" s="365" t="s">
        <v>3263</v>
      </c>
      <c r="L993" s="362">
        <f t="shared" si="638"/>
        <v>156.995</v>
      </c>
      <c r="M993" s="43"/>
      <c r="N993" s="42" t="e">
        <f>IF(B993&lt;&gt;0,VLOOKUP(B993,#REF!,2,FALSE),"")</f>
        <v>#REF!</v>
      </c>
      <c r="AY993" s="221"/>
      <c r="AZ993" s="481"/>
      <c r="BA993" s="481"/>
      <c r="BB993" s="481"/>
      <c r="BC993" s="481"/>
      <c r="BD993" s="163">
        <f t="shared" si="648"/>
        <v>174.89</v>
      </c>
      <c r="BE993" s="163">
        <f t="shared" si="646"/>
        <v>221.78</v>
      </c>
      <c r="BF993" s="163">
        <f t="shared" si="643"/>
        <v>221.78</v>
      </c>
    </row>
    <row r="994" spans="1:58" s="27" customFormat="1" ht="30" customHeight="1">
      <c r="A994" s="23" t="s">
        <v>3085</v>
      </c>
      <c r="B994" s="24">
        <v>96989</v>
      </c>
      <c r="C994" s="23" t="s">
        <v>2510</v>
      </c>
      <c r="D994" s="25" t="s">
        <v>12</v>
      </c>
      <c r="E994" s="25" t="s">
        <v>17</v>
      </c>
      <c r="F994" s="26">
        <v>1</v>
      </c>
      <c r="G994" s="26">
        <f t="shared" si="636"/>
        <v>103.10499999999999</v>
      </c>
      <c r="H994" s="26">
        <f t="shared" si="640"/>
        <v>130.75</v>
      </c>
      <c r="I994" s="26">
        <f t="shared" ref="I994" si="650">ROUND(H994*F994,2)</f>
        <v>130.75</v>
      </c>
      <c r="J994" s="43" t="e">
        <f>IF(B994&lt;&gt;0,VLOOKUP(B994,#REF!,4,FALSE),"")</f>
        <v>#REF!</v>
      </c>
      <c r="K994" s="365" t="s">
        <v>3264</v>
      </c>
      <c r="L994" s="362">
        <f t="shared" si="638"/>
        <v>103.10499999999999</v>
      </c>
      <c r="M994" s="43"/>
      <c r="N994" s="42" t="e">
        <f>IF(B994&lt;&gt;0,VLOOKUP(B994,#REF!,2,FALSE),"")</f>
        <v>#REF!</v>
      </c>
      <c r="AY994" s="552"/>
      <c r="AZ994" s="481"/>
      <c r="BA994" s="481"/>
      <c r="BB994" s="481"/>
      <c r="BC994" s="481"/>
      <c r="BD994" s="163">
        <f t="shared" si="648"/>
        <v>114.86</v>
      </c>
      <c r="BE994" s="163">
        <f t="shared" si="646"/>
        <v>145.65</v>
      </c>
      <c r="BF994" s="163">
        <f t="shared" si="643"/>
        <v>145.65</v>
      </c>
    </row>
    <row r="995" spans="1:58" s="62" customFormat="1">
      <c r="A995" s="356" t="s">
        <v>1382</v>
      </c>
      <c r="B995" s="356"/>
      <c r="C995" s="356" t="s">
        <v>303</v>
      </c>
      <c r="D995" s="357"/>
      <c r="E995" s="357"/>
      <c r="F995" s="357"/>
      <c r="G995" s="26"/>
      <c r="H995" s="357"/>
      <c r="I995" s="96"/>
      <c r="J995" s="65"/>
      <c r="K995" s="362"/>
      <c r="L995" s="362">
        <f t="shared" si="638"/>
        <v>0</v>
      </c>
      <c r="M995" s="65"/>
      <c r="N995" s="65"/>
      <c r="AY995" s="221"/>
      <c r="AZ995" s="481"/>
      <c r="BA995" s="481"/>
      <c r="BB995" s="481"/>
      <c r="BC995" s="481"/>
      <c r="BD995" s="163"/>
      <c r="BE995" s="163"/>
      <c r="BF995" s="163"/>
    </row>
    <row r="996" spans="1:58" s="62" customFormat="1" ht="45">
      <c r="A996" s="23" t="s">
        <v>1383</v>
      </c>
      <c r="B996" s="24">
        <v>7903</v>
      </c>
      <c r="C996" s="23" t="s">
        <v>304</v>
      </c>
      <c r="D996" s="25" t="s">
        <v>44</v>
      </c>
      <c r="E996" s="25" t="s">
        <v>17</v>
      </c>
      <c r="F996" s="26">
        <v>68</v>
      </c>
      <c r="G996" s="26">
        <f t="shared" si="636"/>
        <v>52.003</v>
      </c>
      <c r="H996" s="26">
        <f>ROUND(G996*(1+$J$14),2)</f>
        <v>65.95</v>
      </c>
      <c r="I996" s="26">
        <f t="shared" ref="I996" si="651">ROUND(H996*F996,2)</f>
        <v>4484.6000000000004</v>
      </c>
      <c r="J996" s="64">
        <f>'COMPOSIÇÃO DE CUSTOS'!G1479</f>
        <v>52</v>
      </c>
      <c r="K996" s="362">
        <v>61.18</v>
      </c>
      <c r="L996" s="362">
        <f t="shared" si="638"/>
        <v>3536.2040000000002</v>
      </c>
      <c r="M996" s="64"/>
      <c r="N996" s="65"/>
      <c r="AY996" s="221"/>
      <c r="AZ996" s="481"/>
      <c r="BA996" s="481"/>
      <c r="BB996" s="481"/>
      <c r="BC996" s="481"/>
      <c r="BD996" s="163">
        <f t="shared" si="648"/>
        <v>57.93</v>
      </c>
      <c r="BE996" s="163">
        <f t="shared" si="646"/>
        <v>73.459999999999994</v>
      </c>
      <c r="BF996" s="163">
        <f>ROUND(BE996*F996,2)</f>
        <v>4995.28</v>
      </c>
    </row>
    <row r="997" spans="1:58" s="62" customFormat="1" ht="30">
      <c r="A997" s="23" t="s">
        <v>1384</v>
      </c>
      <c r="B997" s="24">
        <v>7904</v>
      </c>
      <c r="C997" s="23" t="s">
        <v>3084</v>
      </c>
      <c r="D997" s="25" t="s">
        <v>44</v>
      </c>
      <c r="E997" s="25" t="s">
        <v>17</v>
      </c>
      <c r="F997" s="26">
        <v>51</v>
      </c>
      <c r="G997" s="26">
        <f t="shared" si="636"/>
        <v>7.6754999999999995</v>
      </c>
      <c r="H997" s="26">
        <f>ROUND(G997*(1+$J$14),2)</f>
        <v>9.73</v>
      </c>
      <c r="I997" s="26">
        <f t="shared" ref="I997" si="652">ROUND(H997*F997,2)</f>
        <v>496.23</v>
      </c>
      <c r="J997" s="64">
        <f>'COMPOSIÇÃO DE CUSTOS'!G1486</f>
        <v>7.67</v>
      </c>
      <c r="K997" s="362">
        <v>9.0299999999999994</v>
      </c>
      <c r="L997" s="362">
        <f t="shared" si="638"/>
        <v>391.45049999999998</v>
      </c>
      <c r="M997" s="64"/>
      <c r="N997" s="65"/>
      <c r="AY997" s="221"/>
      <c r="AZ997" s="481"/>
      <c r="BA997" s="481"/>
      <c r="BB997" s="481"/>
      <c r="BC997" s="481"/>
      <c r="BD997" s="163">
        <f t="shared" si="648"/>
        <v>8.5500000000000007</v>
      </c>
      <c r="BE997" s="163">
        <f t="shared" si="646"/>
        <v>10.84</v>
      </c>
      <c r="BF997" s="163">
        <f>ROUND(BE997*F997,2)</f>
        <v>552.84</v>
      </c>
    </row>
    <row r="998" spans="1:58" s="62" customFormat="1" ht="15" customHeight="1">
      <c r="A998" s="356" t="s">
        <v>1385</v>
      </c>
      <c r="B998" s="356"/>
      <c r="C998" s="356" t="s">
        <v>305</v>
      </c>
      <c r="D998" s="357"/>
      <c r="E998" s="357"/>
      <c r="F998" s="357"/>
      <c r="G998" s="26"/>
      <c r="H998" s="357"/>
      <c r="I998" s="96"/>
      <c r="J998" s="65"/>
      <c r="K998" s="362"/>
      <c r="L998" s="362">
        <f t="shared" si="638"/>
        <v>0</v>
      </c>
      <c r="M998" s="65"/>
      <c r="N998" s="65"/>
      <c r="AY998" s="221"/>
      <c r="AZ998" s="481"/>
      <c r="BA998" s="481"/>
      <c r="BB998" s="481"/>
      <c r="BC998" s="481"/>
      <c r="BD998" s="163"/>
      <c r="BE998" s="163"/>
      <c r="BF998" s="163"/>
    </row>
    <row r="999" spans="1:58" s="62" customFormat="1" ht="49.5" customHeight="1">
      <c r="A999" s="23" t="s">
        <v>1386</v>
      </c>
      <c r="B999" s="24">
        <v>98111</v>
      </c>
      <c r="C999" s="23" t="s">
        <v>2511</v>
      </c>
      <c r="D999" s="25" t="s">
        <v>12</v>
      </c>
      <c r="E999" s="25" t="s">
        <v>17</v>
      </c>
      <c r="F999" s="26">
        <v>50</v>
      </c>
      <c r="G999" s="26">
        <f t="shared" si="636"/>
        <v>15.359500000000001</v>
      </c>
      <c r="H999" s="26">
        <f t="shared" ref="H999:H1004" si="653">ROUND(G999*(1+$J$14),2)</f>
        <v>19.48</v>
      </c>
      <c r="I999" s="26">
        <f t="shared" ref="I999" si="654">ROUND(H999*F999,2)</f>
        <v>974</v>
      </c>
      <c r="J999" s="64" t="e">
        <f>IF(B999&lt;&gt;0,VLOOKUP(B999,#REF!,4,FALSE),"")</f>
        <v>#REF!</v>
      </c>
      <c r="K999" s="362" t="s">
        <v>3136</v>
      </c>
      <c r="L999" s="362">
        <f t="shared" si="638"/>
        <v>767.97500000000002</v>
      </c>
      <c r="M999" s="64"/>
      <c r="N999" s="65" t="e">
        <f>IF(B999&lt;&gt;0,VLOOKUP(B999,#REF!,2,FALSE),"")</f>
        <v>#REF!</v>
      </c>
      <c r="AY999" s="221"/>
      <c r="AZ999" s="481"/>
      <c r="BA999" s="481"/>
      <c r="BB999" s="481"/>
      <c r="BC999" s="481"/>
      <c r="BD999" s="163">
        <f t="shared" si="648"/>
        <v>17.11</v>
      </c>
      <c r="BE999" s="163">
        <f t="shared" si="646"/>
        <v>21.7</v>
      </c>
      <c r="BF999" s="163">
        <f t="shared" ref="BF999:BF1004" si="655">ROUND(BE999*F999,2)</f>
        <v>1085</v>
      </c>
    </row>
    <row r="1000" spans="1:58" s="62" customFormat="1" ht="45" customHeight="1">
      <c r="A1000" s="41" t="s">
        <v>3740</v>
      </c>
      <c r="B1000" s="24">
        <v>96977</v>
      </c>
      <c r="C1000" s="470" t="s">
        <v>3772</v>
      </c>
      <c r="D1000" s="25" t="s">
        <v>12</v>
      </c>
      <c r="E1000" s="25" t="s">
        <v>52</v>
      </c>
      <c r="F1000" s="26">
        <v>198</v>
      </c>
      <c r="G1000" s="26">
        <f t="shared" si="636"/>
        <v>50.226500000000001</v>
      </c>
      <c r="H1000" s="26">
        <f t="shared" si="653"/>
        <v>63.69</v>
      </c>
      <c r="I1000" s="26">
        <f t="shared" ref="I1000" si="656">ROUND(H1000*F1000,2)</f>
        <v>12610.62</v>
      </c>
      <c r="J1000" s="64" t="e">
        <f>IF(B1000&lt;&gt;0,VLOOKUP(B1000,#REF!,4,FALSE),"")</f>
        <v>#REF!</v>
      </c>
      <c r="K1000" s="362" t="s">
        <v>3261</v>
      </c>
      <c r="L1000" s="362">
        <f t="shared" si="638"/>
        <v>9944.8469999999998</v>
      </c>
      <c r="M1000" s="64"/>
      <c r="N1000" s="65" t="e">
        <f>IF(B1000&lt;&gt;0,VLOOKUP(B1000,#REF!,2,FALSE),"")</f>
        <v>#REF!</v>
      </c>
      <c r="AY1000" s="221"/>
      <c r="AZ1000" s="481"/>
      <c r="BA1000" s="481"/>
      <c r="BB1000" s="481"/>
      <c r="BC1000" s="481"/>
      <c r="BD1000" s="163">
        <f t="shared" si="648"/>
        <v>55.95</v>
      </c>
      <c r="BE1000" s="163">
        <f t="shared" si="646"/>
        <v>70.95</v>
      </c>
      <c r="BF1000" s="163">
        <f t="shared" si="655"/>
        <v>14048.1</v>
      </c>
    </row>
    <row r="1001" spans="1:58" s="62" customFormat="1" ht="30">
      <c r="A1001" s="23" t="s">
        <v>2345</v>
      </c>
      <c r="B1001" s="24">
        <v>10694</v>
      </c>
      <c r="C1001" s="23" t="s">
        <v>302</v>
      </c>
      <c r="D1001" s="25" t="s">
        <v>44</v>
      </c>
      <c r="E1001" s="25" t="s">
        <v>17</v>
      </c>
      <c r="F1001" s="26">
        <v>50</v>
      </c>
      <c r="G1001" s="26">
        <f t="shared" si="636"/>
        <v>19.694500000000001</v>
      </c>
      <c r="H1001" s="26">
        <f t="shared" si="653"/>
        <v>24.97</v>
      </c>
      <c r="I1001" s="26">
        <f t="shared" ref="I1001" si="657">ROUND(H1001*F1001,2)</f>
        <v>1248.5</v>
      </c>
      <c r="J1001" s="64">
        <f>J991</f>
        <v>19.690000000000001</v>
      </c>
      <c r="K1001" s="362">
        <v>23.17</v>
      </c>
      <c r="L1001" s="362">
        <f t="shared" si="638"/>
        <v>984.72500000000002</v>
      </c>
      <c r="M1001" s="64"/>
      <c r="N1001" s="65"/>
      <c r="AY1001" s="221"/>
      <c r="AZ1001" s="481"/>
      <c r="BA1001" s="481"/>
      <c r="BB1001" s="481"/>
      <c r="BC1001" s="481"/>
      <c r="BD1001" s="163">
        <f t="shared" si="648"/>
        <v>21.94</v>
      </c>
      <c r="BE1001" s="163">
        <f t="shared" si="646"/>
        <v>27.82</v>
      </c>
      <c r="BF1001" s="163">
        <f t="shared" si="655"/>
        <v>1391</v>
      </c>
    </row>
    <row r="1002" spans="1:58" s="62" customFormat="1" ht="105">
      <c r="A1002" s="23" t="s">
        <v>2346</v>
      </c>
      <c r="B1002" s="24">
        <v>90092</v>
      </c>
      <c r="C1002" s="23" t="s">
        <v>1679</v>
      </c>
      <c r="D1002" s="25" t="s">
        <v>12</v>
      </c>
      <c r="E1002" s="25" t="s">
        <v>35</v>
      </c>
      <c r="F1002" s="26">
        <v>47</v>
      </c>
      <c r="G1002" s="26">
        <f t="shared" si="636"/>
        <v>3.4595000000000002</v>
      </c>
      <c r="H1002" s="26">
        <f t="shared" si="653"/>
        <v>4.3899999999999997</v>
      </c>
      <c r="I1002" s="26">
        <f t="shared" ref="I1002:I1003" si="658">ROUND(H1002*F1002,2)</f>
        <v>206.33</v>
      </c>
      <c r="J1002" s="64" t="e">
        <f>IF(B1002&lt;&gt;0,VLOOKUP(B1002,#REF!,4,FALSE),"")</f>
        <v>#REF!</v>
      </c>
      <c r="K1002" s="362" t="s">
        <v>1855</v>
      </c>
      <c r="L1002" s="362">
        <f t="shared" si="638"/>
        <v>162.59650000000002</v>
      </c>
      <c r="M1002" s="64"/>
      <c r="N1002" s="65" t="e">
        <f>IF(B1002&lt;&gt;0,VLOOKUP(B1002,#REF!,2,FALSE),"")</f>
        <v>#REF!</v>
      </c>
      <c r="AY1002" s="221"/>
      <c r="AZ1002" s="481"/>
      <c r="BA1002" s="481"/>
      <c r="BB1002" s="481"/>
      <c r="BC1002" s="481"/>
      <c r="BD1002" s="163">
        <f t="shared" si="648"/>
        <v>3.85</v>
      </c>
      <c r="BE1002" s="163">
        <f t="shared" si="646"/>
        <v>4.88</v>
      </c>
      <c r="BF1002" s="163">
        <f t="shared" si="655"/>
        <v>229.36</v>
      </c>
    </row>
    <row r="1003" spans="1:58" s="62" customFormat="1" ht="90">
      <c r="A1003" s="23" t="s">
        <v>2347</v>
      </c>
      <c r="B1003" s="24">
        <v>93381</v>
      </c>
      <c r="C1003" s="23" t="s">
        <v>1680</v>
      </c>
      <c r="D1003" s="25" t="s">
        <v>12</v>
      </c>
      <c r="E1003" s="25" t="s">
        <v>35</v>
      </c>
      <c r="F1003" s="26">
        <v>47</v>
      </c>
      <c r="G1003" s="26">
        <f t="shared" si="636"/>
        <v>6.63</v>
      </c>
      <c r="H1003" s="26">
        <f t="shared" si="653"/>
        <v>8.41</v>
      </c>
      <c r="I1003" s="26">
        <f t="shared" si="658"/>
        <v>395.27</v>
      </c>
      <c r="J1003" s="64" t="e">
        <f>IF(B1003&lt;&gt;0,VLOOKUP(B1003,#REF!,4,FALSE),"")</f>
        <v>#REF!</v>
      </c>
      <c r="K1003" s="362" t="s">
        <v>3117</v>
      </c>
      <c r="L1003" s="362">
        <f t="shared" si="638"/>
        <v>311.61</v>
      </c>
      <c r="M1003" s="64"/>
      <c r="N1003" s="65" t="e">
        <f>IF(B1003&lt;&gt;0,VLOOKUP(B1003,#REF!,2,FALSE),"")</f>
        <v>#REF!</v>
      </c>
      <c r="AY1003" s="221"/>
      <c r="AZ1003" s="481"/>
      <c r="BA1003" s="481"/>
      <c r="BB1003" s="481"/>
      <c r="BC1003" s="481"/>
      <c r="BD1003" s="163">
        <f t="shared" si="648"/>
        <v>7.39</v>
      </c>
      <c r="BE1003" s="163">
        <f t="shared" si="646"/>
        <v>9.3699999999999992</v>
      </c>
      <c r="BF1003" s="163">
        <f t="shared" si="655"/>
        <v>440.39</v>
      </c>
    </row>
    <row r="1004" spans="1:58" s="62" customFormat="1" ht="30">
      <c r="A1004" s="23" t="s">
        <v>2348</v>
      </c>
      <c r="B1004" s="24">
        <v>96985</v>
      </c>
      <c r="C1004" s="23" t="s">
        <v>2512</v>
      </c>
      <c r="D1004" s="25" t="s">
        <v>12</v>
      </c>
      <c r="E1004" s="25" t="s">
        <v>17</v>
      </c>
      <c r="F1004" s="26">
        <f>33+17</f>
        <v>50</v>
      </c>
      <c r="G1004" s="26">
        <f t="shared" si="636"/>
        <v>48.637</v>
      </c>
      <c r="H1004" s="26">
        <f t="shared" si="653"/>
        <v>61.68</v>
      </c>
      <c r="I1004" s="26">
        <f t="shared" ref="I1004" si="659">ROUND(H1004*F1004,2)</f>
        <v>3084</v>
      </c>
      <c r="J1004" s="64" t="e">
        <f>IF(B1004&lt;&gt;0,VLOOKUP(B1004,#REF!,4,FALSE),"")</f>
        <v>#REF!</v>
      </c>
      <c r="K1004" s="362" t="s">
        <v>1884</v>
      </c>
      <c r="L1004" s="362">
        <f t="shared" si="638"/>
        <v>2431.85</v>
      </c>
      <c r="M1004" s="64"/>
      <c r="N1004" s="65" t="e">
        <f>IF(B1004&lt;&gt;0,VLOOKUP(B1004,#REF!,2,FALSE),"")</f>
        <v>#REF!</v>
      </c>
      <c r="AY1004" s="221"/>
      <c r="AZ1004" s="481"/>
      <c r="BA1004" s="481"/>
      <c r="BB1004" s="481"/>
      <c r="BC1004" s="481"/>
      <c r="BD1004" s="163">
        <f t="shared" si="648"/>
        <v>54.18</v>
      </c>
      <c r="BE1004" s="163">
        <f t="shared" si="646"/>
        <v>68.709999999999994</v>
      </c>
      <c r="BF1004" s="163">
        <f t="shared" si="655"/>
        <v>3435.5</v>
      </c>
    </row>
    <row r="1005" spans="1:58" ht="32.25" customHeight="1">
      <c r="A1005" s="23"/>
      <c r="B1005" s="25"/>
      <c r="C1005" s="23"/>
      <c r="D1005" s="25"/>
      <c r="E1005" s="25"/>
      <c r="F1005" s="26"/>
      <c r="G1005" s="26"/>
      <c r="H1005" s="26"/>
      <c r="I1005" s="26"/>
      <c r="J1005" s="35"/>
      <c r="K1005" s="375"/>
      <c r="L1005" s="362">
        <f t="shared" si="638"/>
        <v>0</v>
      </c>
      <c r="M1005" s="35"/>
      <c r="N1005" s="35"/>
      <c r="AY1005" s="21"/>
      <c r="AZ1005" s="481"/>
      <c r="BA1005" s="481"/>
      <c r="BB1005" s="481"/>
      <c r="BC1005" s="481"/>
      <c r="BD1005" s="481"/>
      <c r="BE1005" s="481"/>
      <c r="BF1005" s="481"/>
    </row>
    <row r="1006" spans="1:58" s="45" customFormat="1" ht="15" customHeight="1">
      <c r="A1006" s="356" t="s">
        <v>1390</v>
      </c>
      <c r="B1006" s="356"/>
      <c r="C1006" s="356" t="s">
        <v>307</v>
      </c>
      <c r="D1006" s="357"/>
      <c r="E1006" s="357"/>
      <c r="F1006" s="357"/>
      <c r="G1006" s="26"/>
      <c r="H1006" s="357"/>
      <c r="I1006" s="96">
        <f>ROUND(SUM(I1009:I1058),2)</f>
        <v>1498654.93</v>
      </c>
      <c r="J1006" s="46"/>
      <c r="K1006" s="364"/>
      <c r="L1006" s="362">
        <f t="shared" si="638"/>
        <v>0</v>
      </c>
      <c r="M1006" s="46"/>
      <c r="N1006" s="46"/>
      <c r="AY1006" s="56"/>
      <c r="AZ1006" s="481"/>
      <c r="BA1006" s="481"/>
      <c r="BB1006" s="481"/>
      <c r="BC1006" s="481"/>
      <c r="BD1006" s="481"/>
      <c r="BE1006" s="481"/>
      <c r="BF1006" s="96">
        <f>ROUND(SUM(BF1009:BF1058),2)</f>
        <v>2504181.71</v>
      </c>
    </row>
    <row r="1007" spans="1:58" s="62" customFormat="1" ht="15" customHeight="1">
      <c r="A1007" s="356" t="s">
        <v>1391</v>
      </c>
      <c r="B1007" s="356"/>
      <c r="C1007" s="356" t="s">
        <v>308</v>
      </c>
      <c r="D1007" s="357"/>
      <c r="E1007" s="357"/>
      <c r="F1007" s="357"/>
      <c r="G1007" s="26"/>
      <c r="H1007" s="357"/>
      <c r="I1007" s="96"/>
      <c r="J1007" s="65"/>
      <c r="K1007" s="362"/>
      <c r="L1007" s="362">
        <f t="shared" si="638"/>
        <v>0</v>
      </c>
      <c r="M1007" s="65"/>
      <c r="N1007" s="65"/>
      <c r="AY1007" s="221"/>
      <c r="AZ1007" s="481"/>
      <c r="BA1007" s="481"/>
      <c r="BB1007" s="481"/>
      <c r="BC1007" s="481"/>
      <c r="BD1007" s="481"/>
      <c r="BE1007" s="481"/>
      <c r="BF1007" s="481"/>
    </row>
    <row r="1008" spans="1:58" s="62" customFormat="1" ht="28.5">
      <c r="A1008" s="356" t="s">
        <v>1392</v>
      </c>
      <c r="B1008" s="356"/>
      <c r="C1008" s="356" t="s">
        <v>309</v>
      </c>
      <c r="D1008" s="357"/>
      <c r="E1008" s="357"/>
      <c r="F1008" s="357"/>
      <c r="G1008" s="26"/>
      <c r="H1008" s="357"/>
      <c r="I1008" s="96"/>
      <c r="J1008" s="65"/>
      <c r="K1008" s="362"/>
      <c r="L1008" s="362">
        <f t="shared" si="638"/>
        <v>0</v>
      </c>
      <c r="M1008" s="65"/>
      <c r="N1008" s="65"/>
      <c r="AY1008" s="221"/>
      <c r="AZ1008" s="481"/>
      <c r="BA1008" s="481"/>
      <c r="BB1008" s="481"/>
      <c r="BC1008" s="481"/>
      <c r="BD1008" s="481"/>
      <c r="BE1008" s="481"/>
      <c r="BF1008" s="481"/>
    </row>
    <row r="1009" spans="1:59" s="34" customFormat="1" ht="45">
      <c r="A1009" s="471" t="s">
        <v>1393</v>
      </c>
      <c r="B1009" s="472" t="s">
        <v>2366</v>
      </c>
      <c r="C1009" s="471" t="s">
        <v>3350</v>
      </c>
      <c r="D1009" s="472" t="s">
        <v>1915</v>
      </c>
      <c r="E1009" s="472" t="s">
        <v>17</v>
      </c>
      <c r="F1009" s="473">
        <v>1</v>
      </c>
      <c r="G1009" s="473">
        <f t="shared" si="636"/>
        <v>220820.98150000002</v>
      </c>
      <c r="H1009" s="473">
        <f>ROUND(G1009*(1+$J$14),2)</f>
        <v>280023.09000000003</v>
      </c>
      <c r="I1009" s="473">
        <f t="shared" ref="I1009" si="660">ROUND(H1009*F1009,2)</f>
        <v>280023.09000000003</v>
      </c>
      <c r="J1009" s="474">
        <f>'COMPOSIÇÃO DE CUSTOS'!G1491</f>
        <v>220820.98</v>
      </c>
      <c r="K1009" s="378">
        <v>259789.39</v>
      </c>
      <c r="L1009" s="378">
        <f t="shared" si="638"/>
        <v>220820.98150000002</v>
      </c>
      <c r="M1009" s="474"/>
      <c r="N1009" s="47"/>
      <c r="AY1009" s="577"/>
      <c r="AZ1009" s="502"/>
      <c r="BA1009" s="502"/>
      <c r="BB1009" s="502"/>
      <c r="BC1009" s="502"/>
      <c r="BD1009" s="523">
        <f>BG1009</f>
        <v>552417.01</v>
      </c>
      <c r="BE1009" s="523">
        <f t="shared" ref="BE1009" si="661">ROUND(BD1009*(1+$J$15),2)</f>
        <v>655608.51</v>
      </c>
      <c r="BF1009" s="523">
        <f>ROUND(BE1009*F1009,2)</f>
        <v>655608.51</v>
      </c>
      <c r="BG1009" s="34">
        <f>'COMPOSIÇÃO AB'!G636</f>
        <v>552417.01</v>
      </c>
    </row>
    <row r="1010" spans="1:59" s="62" customFormat="1" ht="25.5" customHeight="1">
      <c r="A1010" s="356" t="s">
        <v>1394</v>
      </c>
      <c r="B1010" s="356"/>
      <c r="C1010" s="356" t="s">
        <v>310</v>
      </c>
      <c r="D1010" s="357"/>
      <c r="E1010" s="357"/>
      <c r="F1010" s="357"/>
      <c r="G1010" s="26"/>
      <c r="H1010" s="357"/>
      <c r="I1010" s="96"/>
      <c r="J1010" s="64"/>
      <c r="K1010" s="362"/>
      <c r="L1010" s="362">
        <f t="shared" si="638"/>
        <v>0</v>
      </c>
      <c r="M1010" s="64"/>
      <c r="N1010" s="65"/>
      <c r="AY1010" s="221"/>
      <c r="AZ1010" s="481"/>
      <c r="BA1010" s="481"/>
      <c r="BB1010" s="481"/>
      <c r="BC1010" s="481"/>
      <c r="BD1010" s="481"/>
      <c r="BE1010" s="481"/>
      <c r="BF1010" s="481"/>
    </row>
    <row r="1011" spans="1:59" s="34" customFormat="1" ht="45">
      <c r="A1011" s="471" t="s">
        <v>1395</v>
      </c>
      <c r="B1011" s="475">
        <v>9512</v>
      </c>
      <c r="C1011" s="471" t="s">
        <v>3348</v>
      </c>
      <c r="D1011" s="472" t="s">
        <v>44</v>
      </c>
      <c r="E1011" s="472" t="s">
        <v>17</v>
      </c>
      <c r="F1011" s="473">
        <v>3</v>
      </c>
      <c r="G1011" s="473">
        <f t="shared" si="636"/>
        <v>21460.3835</v>
      </c>
      <c r="H1011" s="473">
        <f>ROUND(G1011*(1+$J$14),2)</f>
        <v>27213.91</v>
      </c>
      <c r="I1011" s="473">
        <f t="shared" ref="I1011" si="662">ROUND(H1011*F1011,2)</f>
        <v>81641.73</v>
      </c>
      <c r="J1011" s="474">
        <f>'COMPOSIÇÃO DE CUSTOS'!G1500</f>
        <v>25231.35</v>
      </c>
      <c r="K1011" s="378">
        <v>25247.51</v>
      </c>
      <c r="L1011" s="378">
        <f t="shared" si="638"/>
        <v>64381.150500000003</v>
      </c>
      <c r="M1011" s="474"/>
      <c r="N1011" s="47"/>
      <c r="AY1011" s="577"/>
      <c r="AZ1011" s="502"/>
      <c r="BA1011" s="502"/>
      <c r="BB1011" s="502"/>
      <c r="BC1011" s="502"/>
      <c r="BD1011" s="523">
        <f>BG1011</f>
        <v>43617.86</v>
      </c>
      <c r="BE1011" s="523">
        <f t="shared" ref="BE1011:BE1013" si="663">ROUND(BD1011*(1+$J$15),2)</f>
        <v>51765.68</v>
      </c>
      <c r="BF1011" s="523">
        <f>ROUND(BE1011*F1011,2)</f>
        <v>155297.04</v>
      </c>
      <c r="BG1011" s="34">
        <f>'COMPOSIÇÃO AB'!G645</f>
        <v>43617.86</v>
      </c>
    </row>
    <row r="1012" spans="1:59" s="62" customFormat="1" ht="28.5">
      <c r="A1012" s="356" t="s">
        <v>1396</v>
      </c>
      <c r="B1012" s="356"/>
      <c r="C1012" s="356" t="s">
        <v>2365</v>
      </c>
      <c r="D1012" s="357"/>
      <c r="E1012" s="357"/>
      <c r="F1012" s="357"/>
      <c r="G1012" s="26"/>
      <c r="H1012" s="357"/>
      <c r="I1012" s="96"/>
      <c r="J1012" s="64"/>
      <c r="K1012" s="362"/>
      <c r="L1012" s="362">
        <f t="shared" si="638"/>
        <v>0</v>
      </c>
      <c r="M1012" s="64"/>
      <c r="N1012" s="65"/>
      <c r="AY1012" s="221"/>
      <c r="AZ1012" s="481"/>
      <c r="BA1012" s="481"/>
      <c r="BB1012" s="481"/>
      <c r="BC1012" s="481"/>
      <c r="BD1012" s="481"/>
      <c r="BE1012" s="481"/>
      <c r="BF1012" s="481"/>
    </row>
    <row r="1013" spans="1:59" s="34" customFormat="1" ht="49.5" customHeight="1">
      <c r="A1013" s="471" t="s">
        <v>1397</v>
      </c>
      <c r="B1013" s="472" t="s">
        <v>3325</v>
      </c>
      <c r="C1013" s="471" t="str">
        <f>'COMPOSIÇÃO DE CUSTOS'!A1502</f>
        <v>GRUPO GERADOR 450 KVA COM QUADRO DE TRANSFERÊNCIA AUTOMÁTICA, CARENADO 85DB, COMPLETO (UN)</v>
      </c>
      <c r="D1013" s="472" t="s">
        <v>3049</v>
      </c>
      <c r="E1013" s="472" t="s">
        <v>17</v>
      </c>
      <c r="F1013" s="473">
        <v>2</v>
      </c>
      <c r="G1013" s="473">
        <f t="shared" si="636"/>
        <v>242522.28900000002</v>
      </c>
      <c r="H1013" s="473">
        <f>ROUND(G1013*(1+$J$15),2)</f>
        <v>287825.45</v>
      </c>
      <c r="I1013" s="473">
        <f t="shared" ref="I1013" si="664">ROUND(H1013*F1013,2)</f>
        <v>575650.9</v>
      </c>
      <c r="J1013" s="474">
        <f>'COMPOSIÇÃO DE CUSTOS'!G1505</f>
        <v>285320.34000000003</v>
      </c>
      <c r="K1013" s="378">
        <v>285320.34000000003</v>
      </c>
      <c r="L1013" s="378">
        <f t="shared" si="638"/>
        <v>485044.57800000004</v>
      </c>
      <c r="M1013" s="882">
        <f>G1013</f>
        <v>242522.28900000002</v>
      </c>
      <c r="N1013" s="47"/>
      <c r="AY1013" s="577"/>
      <c r="AZ1013" s="502"/>
      <c r="BA1013" s="502"/>
      <c r="BB1013" s="502"/>
      <c r="BC1013" s="502"/>
      <c r="BD1013" s="523">
        <f>BG1013</f>
        <v>386466.67</v>
      </c>
      <c r="BE1013" s="523">
        <f t="shared" si="663"/>
        <v>458658.64</v>
      </c>
      <c r="BF1013" s="523">
        <f>ROUND(BE1013*F1013,2)</f>
        <v>917317.28</v>
      </c>
      <c r="BG1013" s="47">
        <f>'COMPOSIÇÃO AB'!G650</f>
        <v>386466.67</v>
      </c>
    </row>
    <row r="1014" spans="1:59" s="62" customFormat="1" ht="30">
      <c r="A1014" s="23" t="s">
        <v>3025</v>
      </c>
      <c r="B1014" s="25" t="s">
        <v>3377</v>
      </c>
      <c r="C1014" s="23" t="s">
        <v>3026</v>
      </c>
      <c r="D1014" s="25" t="s">
        <v>70</v>
      </c>
      <c r="E1014" s="25" t="s">
        <v>17</v>
      </c>
      <c r="F1014" s="26">
        <v>2</v>
      </c>
      <c r="G1014" s="26">
        <f t="shared" si="636"/>
        <v>3170.16</v>
      </c>
      <c r="H1014" s="26">
        <f>ROUND(G1014*(1+$J$14),2)</f>
        <v>4020.08</v>
      </c>
      <c r="I1014" s="26">
        <f t="shared" ref="I1014" si="665">ROUND(H1014*F1014,2)</f>
        <v>8040.16</v>
      </c>
      <c r="J1014" s="64">
        <f>'COMPOSIÇÃO DE CUSTOS'!G2539</f>
        <v>3170.16</v>
      </c>
      <c r="K1014" s="362">
        <v>3729.6</v>
      </c>
      <c r="L1014" s="362">
        <f t="shared" si="638"/>
        <v>6340.32</v>
      </c>
      <c r="M1014" s="64"/>
      <c r="N1014" s="65"/>
      <c r="AY1014" s="221"/>
      <c r="AZ1014" s="481"/>
      <c r="BA1014" s="481"/>
      <c r="BB1014" s="481"/>
      <c r="BC1014" s="481"/>
      <c r="BD1014" s="163">
        <f t="shared" ref="BD1014" si="666">ROUND(G1014*$BH$19,2)</f>
        <v>3531.58</v>
      </c>
      <c r="BE1014" s="163">
        <f t="shared" ref="BE1014" si="667">ROUND(BD1014*(1+$J$14),2)</f>
        <v>4478.3999999999996</v>
      </c>
      <c r="BF1014" s="163">
        <f>ROUND(BE1014*F1014,2)</f>
        <v>8956.7999999999993</v>
      </c>
    </row>
    <row r="1015" spans="1:59" s="62" customFormat="1" ht="15" customHeight="1">
      <c r="A1015" s="356" t="s">
        <v>1398</v>
      </c>
      <c r="B1015" s="356"/>
      <c r="C1015" s="356" t="s">
        <v>193</v>
      </c>
      <c r="D1015" s="357"/>
      <c r="E1015" s="357"/>
      <c r="F1015" s="357"/>
      <c r="G1015" s="26"/>
      <c r="H1015" s="357"/>
      <c r="I1015" s="96"/>
      <c r="J1015" s="65"/>
      <c r="K1015" s="362"/>
      <c r="L1015" s="362">
        <f t="shared" si="638"/>
        <v>0</v>
      </c>
      <c r="M1015" s="65"/>
      <c r="N1015" s="65"/>
      <c r="AY1015" s="221"/>
      <c r="AZ1015" s="481"/>
      <c r="BA1015" s="481"/>
      <c r="BB1015" s="481"/>
      <c r="BC1015" s="481"/>
      <c r="BD1015" s="481"/>
      <c r="BE1015" s="481"/>
      <c r="BF1015" s="481"/>
    </row>
    <row r="1016" spans="1:59" s="62" customFormat="1" ht="105">
      <c r="A1016" s="23" t="s">
        <v>1399</v>
      </c>
      <c r="B1016" s="24">
        <v>90092</v>
      </c>
      <c r="C1016" s="23" t="s">
        <v>1679</v>
      </c>
      <c r="D1016" s="25" t="s">
        <v>12</v>
      </c>
      <c r="E1016" s="25" t="s">
        <v>35</v>
      </c>
      <c r="F1016" s="26">
        <v>28</v>
      </c>
      <c r="G1016" s="26">
        <f t="shared" si="636"/>
        <v>3.4595000000000002</v>
      </c>
      <c r="H1016" s="26">
        <f t="shared" ref="H1016:H1023" si="668">ROUND(G1016*(1+$J$14),2)</f>
        <v>4.3899999999999997</v>
      </c>
      <c r="I1016" s="26">
        <f t="shared" ref="I1016" si="669">ROUND(H1016*F1016,2)</f>
        <v>122.92</v>
      </c>
      <c r="J1016" s="64" t="e">
        <f>IF(B1016&lt;&gt;0,VLOOKUP(B1016,#REF!,4,FALSE),"")</f>
        <v>#REF!</v>
      </c>
      <c r="K1016" s="362" t="s">
        <v>1855</v>
      </c>
      <c r="L1016" s="362">
        <f t="shared" si="638"/>
        <v>96.866000000000014</v>
      </c>
      <c r="M1016" s="64"/>
      <c r="N1016" s="65" t="e">
        <f>IF(B1016&lt;&gt;0,VLOOKUP(B1016,#REF!,2,FALSE),"")</f>
        <v>#REF!</v>
      </c>
      <c r="AY1016" s="221"/>
      <c r="AZ1016" s="481"/>
      <c r="BA1016" s="481"/>
      <c r="BB1016" s="481"/>
      <c r="BC1016" s="481"/>
      <c r="BD1016" s="163">
        <f t="shared" ref="BD1016" si="670">ROUND(G1016*$BH$19,2)</f>
        <v>3.85</v>
      </c>
      <c r="BE1016" s="163">
        <f t="shared" ref="BE1016:BE1033" si="671">ROUND(BD1016*(1+$J$14),2)</f>
        <v>4.88</v>
      </c>
      <c r="BF1016" s="163">
        <f t="shared" ref="BF1016:BF1023" si="672">ROUND(BE1016*F1016,2)</f>
        <v>136.63999999999999</v>
      </c>
    </row>
    <row r="1017" spans="1:59" s="62" customFormat="1" ht="90">
      <c r="A1017" s="23" t="s">
        <v>1400</v>
      </c>
      <c r="B1017" s="24">
        <v>93381</v>
      </c>
      <c r="C1017" s="23" t="s">
        <v>1680</v>
      </c>
      <c r="D1017" s="25" t="s">
        <v>12</v>
      </c>
      <c r="E1017" s="25" t="s">
        <v>35</v>
      </c>
      <c r="F1017" s="26">
        <v>28</v>
      </c>
      <c r="G1017" s="26">
        <f t="shared" si="636"/>
        <v>6.63</v>
      </c>
      <c r="H1017" s="26">
        <f t="shared" si="668"/>
        <v>8.41</v>
      </c>
      <c r="I1017" s="26">
        <f t="shared" ref="I1017" si="673">ROUND(H1017*F1017,2)</f>
        <v>235.48</v>
      </c>
      <c r="J1017" s="64" t="e">
        <f>IF(B1017&lt;&gt;0,VLOOKUP(B1017,#REF!,4,FALSE),"")</f>
        <v>#REF!</v>
      </c>
      <c r="K1017" s="362" t="s">
        <v>3117</v>
      </c>
      <c r="L1017" s="362">
        <f t="shared" si="638"/>
        <v>185.64</v>
      </c>
      <c r="M1017" s="64"/>
      <c r="N1017" s="65" t="e">
        <f>IF(B1017&lt;&gt;0,VLOOKUP(B1017,#REF!,2,FALSE),"")</f>
        <v>#REF!</v>
      </c>
      <c r="AY1017" s="221"/>
      <c r="AZ1017" s="481"/>
      <c r="BA1017" s="481"/>
      <c r="BB1017" s="481"/>
      <c r="BC1017" s="481"/>
      <c r="BD1017" s="163">
        <f t="shared" ref="BD1017:BD1030" si="674">ROUND(G1017*$BH$19,2)</f>
        <v>7.39</v>
      </c>
      <c r="BE1017" s="163">
        <f t="shared" si="671"/>
        <v>9.3699999999999992</v>
      </c>
      <c r="BF1017" s="163">
        <f t="shared" si="672"/>
        <v>262.36</v>
      </c>
    </row>
    <row r="1018" spans="1:59" s="62" customFormat="1" ht="30">
      <c r="A1018" s="23" t="s">
        <v>1401</v>
      </c>
      <c r="B1018" s="24">
        <v>749</v>
      </c>
      <c r="C1018" s="23" t="s">
        <v>2351</v>
      </c>
      <c r="D1018" s="25" t="s">
        <v>44</v>
      </c>
      <c r="E1018" s="25" t="s">
        <v>17</v>
      </c>
      <c r="F1018" s="26">
        <v>3</v>
      </c>
      <c r="G1018" s="26">
        <f t="shared" si="636"/>
        <v>55.385999999999996</v>
      </c>
      <c r="H1018" s="26">
        <f t="shared" si="668"/>
        <v>70.23</v>
      </c>
      <c r="I1018" s="26">
        <f t="shared" ref="I1018:I1019" si="675">ROUND(H1018*F1018,2)</f>
        <v>210.69</v>
      </c>
      <c r="J1018" s="64">
        <f>'COMPOSIÇÃO DE CUSTOS'!G1032</f>
        <v>55.39</v>
      </c>
      <c r="K1018" s="362">
        <v>65.16</v>
      </c>
      <c r="L1018" s="362">
        <f t="shared" si="638"/>
        <v>166.15799999999999</v>
      </c>
      <c r="M1018" s="64"/>
      <c r="N1018" s="65"/>
      <c r="AY1018" s="221"/>
      <c r="AZ1018" s="481"/>
      <c r="BA1018" s="481"/>
      <c r="BB1018" s="481"/>
      <c r="BC1018" s="481"/>
      <c r="BD1018" s="163">
        <f t="shared" si="674"/>
        <v>61.7</v>
      </c>
      <c r="BE1018" s="163">
        <f t="shared" si="671"/>
        <v>78.239999999999995</v>
      </c>
      <c r="BF1018" s="163">
        <f t="shared" si="672"/>
        <v>234.72</v>
      </c>
    </row>
    <row r="1019" spans="1:59" s="62" customFormat="1" ht="30">
      <c r="A1019" s="23" t="s">
        <v>1402</v>
      </c>
      <c r="B1019" s="24">
        <v>11522</v>
      </c>
      <c r="C1019" s="23" t="s">
        <v>200</v>
      </c>
      <c r="D1019" s="25" t="s">
        <v>44</v>
      </c>
      <c r="E1019" s="25" t="s">
        <v>17</v>
      </c>
      <c r="F1019" s="26">
        <v>2</v>
      </c>
      <c r="G1019" s="26">
        <f t="shared" si="636"/>
        <v>28.814999999999998</v>
      </c>
      <c r="H1019" s="26">
        <f t="shared" si="668"/>
        <v>36.54</v>
      </c>
      <c r="I1019" s="26">
        <f t="shared" si="675"/>
        <v>73.08</v>
      </c>
      <c r="J1019" s="64">
        <f>'COMPOSIÇÃO DE CUSTOS'!G1046</f>
        <v>28.81</v>
      </c>
      <c r="K1019" s="362">
        <v>33.9</v>
      </c>
      <c r="L1019" s="362">
        <f t="shared" si="638"/>
        <v>57.629999999999995</v>
      </c>
      <c r="M1019" s="64"/>
      <c r="N1019" s="65"/>
      <c r="AY1019" s="221"/>
      <c r="AZ1019" s="481"/>
      <c r="BA1019" s="481"/>
      <c r="BB1019" s="481"/>
      <c r="BC1019" s="481"/>
      <c r="BD1019" s="163">
        <f t="shared" si="674"/>
        <v>32.1</v>
      </c>
      <c r="BE1019" s="163">
        <f t="shared" si="671"/>
        <v>40.71</v>
      </c>
      <c r="BF1019" s="163">
        <f t="shared" si="672"/>
        <v>81.42</v>
      </c>
    </row>
    <row r="1020" spans="1:59" s="62" customFormat="1" ht="37.5" customHeight="1">
      <c r="A1020" s="23" t="s">
        <v>1403</v>
      </c>
      <c r="B1020" s="24">
        <v>6913</v>
      </c>
      <c r="C1020" s="23" t="s">
        <v>2315</v>
      </c>
      <c r="D1020" s="25" t="s">
        <v>44</v>
      </c>
      <c r="E1020" s="25" t="s">
        <v>17</v>
      </c>
      <c r="F1020" s="26">
        <v>2</v>
      </c>
      <c r="G1020" s="26">
        <f t="shared" si="636"/>
        <v>12.1295</v>
      </c>
      <c r="H1020" s="26">
        <f t="shared" si="668"/>
        <v>15.38</v>
      </c>
      <c r="I1020" s="26">
        <f t="shared" ref="I1020" si="676">ROUND(H1020*F1020,2)</f>
        <v>30.76</v>
      </c>
      <c r="J1020" s="64">
        <f>'COMPOSIÇÃO DE CUSTOS'!G1378</f>
        <v>12.13</v>
      </c>
      <c r="K1020" s="362">
        <v>14.27</v>
      </c>
      <c r="L1020" s="362">
        <f t="shared" si="638"/>
        <v>24.259</v>
      </c>
      <c r="M1020" s="64"/>
      <c r="N1020" s="65"/>
      <c r="AY1020" s="221"/>
      <c r="AZ1020" s="481"/>
      <c r="BA1020" s="481"/>
      <c r="BB1020" s="481"/>
      <c r="BC1020" s="481"/>
      <c r="BD1020" s="163">
        <f t="shared" si="674"/>
        <v>13.51</v>
      </c>
      <c r="BE1020" s="163">
        <f t="shared" si="671"/>
        <v>17.13</v>
      </c>
      <c r="BF1020" s="163">
        <f t="shared" si="672"/>
        <v>34.26</v>
      </c>
    </row>
    <row r="1021" spans="1:59" s="62" customFormat="1" ht="30">
      <c r="A1021" s="23" t="s">
        <v>1404</v>
      </c>
      <c r="B1021" s="24">
        <v>11286</v>
      </c>
      <c r="C1021" s="23" t="s">
        <v>199</v>
      </c>
      <c r="D1021" s="25" t="s">
        <v>44</v>
      </c>
      <c r="E1021" s="25" t="s">
        <v>17</v>
      </c>
      <c r="F1021" s="26">
        <v>2</v>
      </c>
      <c r="G1021" s="26">
        <f t="shared" si="636"/>
        <v>63.231499999999997</v>
      </c>
      <c r="H1021" s="26">
        <f t="shared" si="668"/>
        <v>80.180000000000007</v>
      </c>
      <c r="I1021" s="26">
        <f t="shared" ref="I1021" si="677">ROUND(H1021*F1021,2)</f>
        <v>160.36000000000001</v>
      </c>
      <c r="J1021" s="64">
        <f>'COMPOSIÇÃO DE CUSTOS'!G1039</f>
        <v>63.23</v>
      </c>
      <c r="K1021" s="362">
        <v>74.39</v>
      </c>
      <c r="L1021" s="362">
        <f t="shared" si="638"/>
        <v>126.46299999999999</v>
      </c>
      <c r="M1021" s="64"/>
      <c r="N1021" s="65"/>
      <c r="AY1021" s="221"/>
      <c r="AZ1021" s="481"/>
      <c r="BA1021" s="481"/>
      <c r="BB1021" s="481"/>
      <c r="BC1021" s="481"/>
      <c r="BD1021" s="163">
        <f t="shared" si="674"/>
        <v>70.44</v>
      </c>
      <c r="BE1021" s="163">
        <f t="shared" si="671"/>
        <v>89.32</v>
      </c>
      <c r="BF1021" s="163">
        <f t="shared" si="672"/>
        <v>178.64</v>
      </c>
    </row>
    <row r="1022" spans="1:59" s="62" customFormat="1" ht="30">
      <c r="A1022" s="23" t="s">
        <v>1405</v>
      </c>
      <c r="B1022" s="24">
        <v>9546</v>
      </c>
      <c r="C1022" s="23" t="s">
        <v>2353</v>
      </c>
      <c r="D1022" s="25" t="s">
        <v>44</v>
      </c>
      <c r="E1022" s="25" t="s">
        <v>17</v>
      </c>
      <c r="F1022" s="26">
        <v>33</v>
      </c>
      <c r="G1022" s="26">
        <f t="shared" si="636"/>
        <v>249.34750000000003</v>
      </c>
      <c r="H1022" s="26">
        <f t="shared" si="668"/>
        <v>316.2</v>
      </c>
      <c r="I1022" s="26">
        <f t="shared" ref="I1022" si="678">ROUND(H1022*F1022,2)</f>
        <v>10434.6</v>
      </c>
      <c r="J1022" s="64">
        <f>'COMPOSIÇÃO DE CUSTOS'!G1512</f>
        <v>249.34</v>
      </c>
      <c r="K1022" s="362">
        <v>293.35000000000002</v>
      </c>
      <c r="L1022" s="362">
        <f t="shared" si="638"/>
        <v>8228.4675000000007</v>
      </c>
      <c r="M1022" s="64"/>
      <c r="N1022" s="65"/>
      <c r="AY1022" s="221"/>
      <c r="AZ1022" s="481"/>
      <c r="BA1022" s="481"/>
      <c r="BB1022" s="481"/>
      <c r="BC1022" s="481"/>
      <c r="BD1022" s="163">
        <f t="shared" si="674"/>
        <v>277.77999999999997</v>
      </c>
      <c r="BE1022" s="163">
        <f t="shared" si="671"/>
        <v>352.25</v>
      </c>
      <c r="BF1022" s="163">
        <f t="shared" si="672"/>
        <v>11624.25</v>
      </c>
    </row>
    <row r="1023" spans="1:59" s="62" customFormat="1" ht="30">
      <c r="A1023" s="23" t="s">
        <v>1406</v>
      </c>
      <c r="B1023" s="25" t="s">
        <v>2413</v>
      </c>
      <c r="C1023" s="23" t="s">
        <v>2412</v>
      </c>
      <c r="D1023" s="25" t="s">
        <v>70</v>
      </c>
      <c r="E1023" s="25" t="s">
        <v>17</v>
      </c>
      <c r="F1023" s="26">
        <v>70</v>
      </c>
      <c r="G1023" s="26">
        <f t="shared" si="636"/>
        <v>20.824999999999999</v>
      </c>
      <c r="H1023" s="26">
        <f t="shared" si="668"/>
        <v>26.41</v>
      </c>
      <c r="I1023" s="26">
        <f t="shared" ref="I1023" si="679">ROUND(H1023*F1023,2)</f>
        <v>1848.7</v>
      </c>
      <c r="J1023" s="64">
        <f>'COMPOSIÇÃO DE CUSTOS'!G1519</f>
        <v>20.81</v>
      </c>
      <c r="K1023" s="362">
        <v>24.5</v>
      </c>
      <c r="L1023" s="362">
        <f t="shared" si="638"/>
        <v>1457.75</v>
      </c>
      <c r="M1023" s="64"/>
      <c r="N1023" s="65"/>
      <c r="AY1023" s="221"/>
      <c r="AZ1023" s="481"/>
      <c r="BA1023" s="481"/>
      <c r="BB1023" s="481"/>
      <c r="BC1023" s="481"/>
      <c r="BD1023" s="163">
        <f t="shared" si="674"/>
        <v>23.2</v>
      </c>
      <c r="BE1023" s="163">
        <f t="shared" si="671"/>
        <v>29.42</v>
      </c>
      <c r="BF1023" s="163">
        <f t="shared" si="672"/>
        <v>2059.4</v>
      </c>
    </row>
    <row r="1024" spans="1:59" s="62" customFormat="1" ht="15" customHeight="1">
      <c r="A1024" s="356" t="s">
        <v>1407</v>
      </c>
      <c r="B1024" s="356"/>
      <c r="C1024" s="356" t="s">
        <v>311</v>
      </c>
      <c r="D1024" s="357"/>
      <c r="E1024" s="357"/>
      <c r="F1024" s="357"/>
      <c r="G1024" s="26"/>
      <c r="H1024" s="357"/>
      <c r="I1024" s="96"/>
      <c r="J1024" s="65"/>
      <c r="K1024" s="362"/>
      <c r="L1024" s="362">
        <f t="shared" si="638"/>
        <v>0</v>
      </c>
      <c r="M1024" s="65"/>
      <c r="N1024" s="65"/>
      <c r="AY1024" s="221"/>
      <c r="AZ1024" s="481"/>
      <c r="BA1024" s="481"/>
      <c r="BB1024" s="481"/>
      <c r="BC1024" s="481"/>
      <c r="BD1024" s="163"/>
      <c r="BE1024" s="163"/>
      <c r="BF1024" s="163"/>
    </row>
    <row r="1025" spans="1:59" s="62" customFormat="1" ht="45">
      <c r="A1025" s="23" t="s">
        <v>1408</v>
      </c>
      <c r="B1025" s="24">
        <v>619</v>
      </c>
      <c r="C1025" s="23" t="s">
        <v>3022</v>
      </c>
      <c r="D1025" s="25" t="s">
        <v>44</v>
      </c>
      <c r="E1025" s="25" t="s">
        <v>238</v>
      </c>
      <c r="F1025" s="26">
        <v>6</v>
      </c>
      <c r="G1025" s="26">
        <f t="shared" si="636"/>
        <v>376.56700000000001</v>
      </c>
      <c r="H1025" s="26">
        <f>ROUND(G1025*(1+$J$14),2)</f>
        <v>477.52</v>
      </c>
      <c r="I1025" s="26">
        <f t="shared" ref="I1025" si="680">ROUND(H1025*F1025,2)</f>
        <v>2865.12</v>
      </c>
      <c r="J1025" s="64">
        <f>'COMPOSIÇÃO DE CUSTOS'!G1527</f>
        <v>376.57</v>
      </c>
      <c r="K1025" s="362">
        <v>443.02</v>
      </c>
      <c r="L1025" s="362">
        <f t="shared" si="638"/>
        <v>2259.402</v>
      </c>
      <c r="M1025" s="64"/>
      <c r="N1025" s="65"/>
      <c r="AY1025" s="221"/>
      <c r="AZ1025" s="481"/>
      <c r="BA1025" s="481"/>
      <c r="BB1025" s="481"/>
      <c r="BC1025" s="481"/>
      <c r="BD1025" s="163">
        <f t="shared" si="674"/>
        <v>419.5</v>
      </c>
      <c r="BE1025" s="163">
        <f t="shared" si="671"/>
        <v>531.97</v>
      </c>
      <c r="BF1025" s="163">
        <f>ROUND(BE1025*F1025,2)</f>
        <v>3191.82</v>
      </c>
    </row>
    <row r="1026" spans="1:59" s="62" customFormat="1">
      <c r="A1026" s="23" t="s">
        <v>1409</v>
      </c>
      <c r="B1026" s="25" t="s">
        <v>2358</v>
      </c>
      <c r="C1026" s="23" t="s">
        <v>312</v>
      </c>
      <c r="D1026" s="25" t="s">
        <v>1915</v>
      </c>
      <c r="E1026" s="25" t="s">
        <v>17</v>
      </c>
      <c r="F1026" s="26">
        <v>4</v>
      </c>
      <c r="G1026" s="26">
        <f t="shared" si="636"/>
        <v>196.214</v>
      </c>
      <c r="H1026" s="26">
        <f>ROUND(G1026*(1+$J$14),2)</f>
        <v>248.82</v>
      </c>
      <c r="I1026" s="26">
        <f t="shared" ref="I1026" si="681">ROUND(H1026*F1026,2)</f>
        <v>995.28</v>
      </c>
      <c r="J1026" s="64">
        <f>'COMPOSIÇÃO DE CUSTOS'!G1533</f>
        <v>196.22</v>
      </c>
      <c r="K1026" s="362">
        <v>230.84</v>
      </c>
      <c r="L1026" s="362">
        <f t="shared" si="638"/>
        <v>784.85599999999999</v>
      </c>
      <c r="M1026" s="64"/>
      <c r="N1026" s="65"/>
      <c r="AY1026" s="221"/>
      <c r="AZ1026" s="481"/>
      <c r="BA1026" s="481"/>
      <c r="BB1026" s="481"/>
      <c r="BC1026" s="481"/>
      <c r="BD1026" s="163">
        <f t="shared" si="674"/>
        <v>218.58</v>
      </c>
      <c r="BE1026" s="163">
        <f t="shared" si="671"/>
        <v>277.18</v>
      </c>
      <c r="BF1026" s="163">
        <f>ROUND(BE1026*F1026,2)</f>
        <v>1108.72</v>
      </c>
    </row>
    <row r="1027" spans="1:59" s="62" customFormat="1" ht="45">
      <c r="A1027" s="23" t="s">
        <v>1410</v>
      </c>
      <c r="B1027" s="24">
        <v>91996</v>
      </c>
      <c r="C1027" s="23" t="s">
        <v>1719</v>
      </c>
      <c r="D1027" s="25" t="s">
        <v>12</v>
      </c>
      <c r="E1027" s="25" t="s">
        <v>17</v>
      </c>
      <c r="F1027" s="26">
        <v>4</v>
      </c>
      <c r="G1027" s="26">
        <f t="shared" si="636"/>
        <v>20.433999999999997</v>
      </c>
      <c r="H1027" s="26">
        <f>ROUND(G1027*(1+$J$14),2)</f>
        <v>25.91</v>
      </c>
      <c r="I1027" s="26">
        <f t="shared" ref="I1027:I1028" si="682">ROUND(H1027*F1027,2)</f>
        <v>103.64</v>
      </c>
      <c r="J1027" s="64" t="e">
        <f>IF(B1027&lt;&gt;0,VLOOKUP(B1027,#REF!,4,FALSE),"")</f>
        <v>#REF!</v>
      </c>
      <c r="K1027" s="362" t="s">
        <v>3165</v>
      </c>
      <c r="L1027" s="362">
        <f t="shared" si="638"/>
        <v>81.73599999999999</v>
      </c>
      <c r="M1027" s="64"/>
      <c r="N1027" s="65" t="e">
        <f>IF(B1027&lt;&gt;0,VLOOKUP(B1027,#REF!,2,FALSE),"")</f>
        <v>#REF!</v>
      </c>
      <c r="AY1027" s="221"/>
      <c r="AZ1027" s="481"/>
      <c r="BA1027" s="481"/>
      <c r="BB1027" s="481"/>
      <c r="BC1027" s="481"/>
      <c r="BD1027" s="163">
        <f t="shared" si="674"/>
        <v>22.76</v>
      </c>
      <c r="BE1027" s="163">
        <f t="shared" si="671"/>
        <v>28.86</v>
      </c>
      <c r="BF1027" s="163">
        <f>ROUND(BE1027*F1027,2)</f>
        <v>115.44</v>
      </c>
    </row>
    <row r="1028" spans="1:59" s="62" customFormat="1" ht="45">
      <c r="A1028" s="23" t="s">
        <v>1411</v>
      </c>
      <c r="B1028" s="24">
        <v>91953</v>
      </c>
      <c r="C1028" s="23" t="s">
        <v>1721</v>
      </c>
      <c r="D1028" s="25" t="s">
        <v>12</v>
      </c>
      <c r="E1028" s="25" t="s">
        <v>17</v>
      </c>
      <c r="F1028" s="26">
        <v>1</v>
      </c>
      <c r="G1028" s="26">
        <f t="shared" si="636"/>
        <v>17.391000000000002</v>
      </c>
      <c r="H1028" s="26">
        <f>ROUND(G1028*(1+$J$14),2)</f>
        <v>22.05</v>
      </c>
      <c r="I1028" s="26">
        <f t="shared" si="682"/>
        <v>22.05</v>
      </c>
      <c r="J1028" s="64" t="e">
        <f>IF(B1028&lt;&gt;0,VLOOKUP(B1028,#REF!,4,FALSE),"")</f>
        <v>#REF!</v>
      </c>
      <c r="K1028" s="362" t="s">
        <v>1880</v>
      </c>
      <c r="L1028" s="362">
        <f t="shared" si="638"/>
        <v>17.391000000000002</v>
      </c>
      <c r="M1028" s="64"/>
      <c r="N1028" s="65" t="e">
        <f>IF(B1028&lt;&gt;0,VLOOKUP(B1028,#REF!,2,FALSE),"")</f>
        <v>#REF!</v>
      </c>
      <c r="AY1028" s="221"/>
      <c r="AZ1028" s="481"/>
      <c r="BA1028" s="481"/>
      <c r="BB1028" s="481"/>
      <c r="BC1028" s="481"/>
      <c r="BD1028" s="163">
        <f t="shared" si="674"/>
        <v>19.37</v>
      </c>
      <c r="BE1028" s="163">
        <f t="shared" si="671"/>
        <v>24.56</v>
      </c>
      <c r="BF1028" s="163">
        <f>ROUND(BE1028*F1028,2)</f>
        <v>24.56</v>
      </c>
    </row>
    <row r="1029" spans="1:59" s="62" customFormat="1" ht="15" customHeight="1">
      <c r="A1029" s="356" t="s">
        <v>1412</v>
      </c>
      <c r="B1029" s="356"/>
      <c r="C1029" s="356" t="s">
        <v>313</v>
      </c>
      <c r="D1029" s="357"/>
      <c r="E1029" s="357"/>
      <c r="F1029" s="357"/>
      <c r="G1029" s="26"/>
      <c r="H1029" s="357"/>
      <c r="I1029" s="96"/>
      <c r="J1029" s="65"/>
      <c r="K1029" s="362"/>
      <c r="L1029" s="362">
        <f t="shared" si="638"/>
        <v>0</v>
      </c>
      <c r="M1029" s="65"/>
      <c r="N1029" s="65"/>
      <c r="AY1029" s="221"/>
      <c r="AZ1029" s="481"/>
      <c r="BA1029" s="481"/>
      <c r="BB1029" s="481"/>
      <c r="BC1029" s="481"/>
      <c r="BD1029" s="163"/>
      <c r="BE1029" s="163"/>
      <c r="BF1029" s="163"/>
    </row>
    <row r="1030" spans="1:59" s="62" customFormat="1" ht="30">
      <c r="A1030" s="23" t="s">
        <v>1413</v>
      </c>
      <c r="B1030" s="24">
        <v>96985</v>
      </c>
      <c r="C1030" s="23" t="s">
        <v>2512</v>
      </c>
      <c r="D1030" s="25" t="s">
        <v>12</v>
      </c>
      <c r="E1030" s="25" t="s">
        <v>17</v>
      </c>
      <c r="F1030" s="26">
        <v>39</v>
      </c>
      <c r="G1030" s="26">
        <f t="shared" si="636"/>
        <v>48.637</v>
      </c>
      <c r="H1030" s="26">
        <f>ROUND(G1030*(1+$J$14),2)</f>
        <v>61.68</v>
      </c>
      <c r="I1030" s="26">
        <f t="shared" ref="I1030" si="683">ROUND(H1030*F1030,2)</f>
        <v>2405.52</v>
      </c>
      <c r="J1030" s="64" t="e">
        <f>IF(B1030&lt;&gt;0,VLOOKUP(B1030,#REF!,4,FALSE),"")</f>
        <v>#REF!</v>
      </c>
      <c r="K1030" s="362" t="s">
        <v>1884</v>
      </c>
      <c r="L1030" s="362">
        <f t="shared" si="638"/>
        <v>1896.8430000000001</v>
      </c>
      <c r="M1030" s="64"/>
      <c r="N1030" s="65" t="e">
        <f>IF(B1030&lt;&gt;0,VLOOKUP(B1030,#REF!,2,FALSE),"")</f>
        <v>#REF!</v>
      </c>
      <c r="AY1030" s="221"/>
      <c r="AZ1030" s="481"/>
      <c r="BA1030" s="481"/>
      <c r="BB1030" s="481"/>
      <c r="BC1030" s="481"/>
      <c r="BD1030" s="163">
        <f t="shared" si="674"/>
        <v>54.18</v>
      </c>
      <c r="BE1030" s="163">
        <f t="shared" si="671"/>
        <v>68.709999999999994</v>
      </c>
      <c r="BF1030" s="163">
        <f>ROUND(BE1030*F1030,2)</f>
        <v>2679.69</v>
      </c>
    </row>
    <row r="1031" spans="1:59" s="34" customFormat="1" ht="45">
      <c r="A1031" s="471" t="s">
        <v>1414</v>
      </c>
      <c r="B1031" s="475">
        <v>96973</v>
      </c>
      <c r="C1031" s="471" t="s">
        <v>2509</v>
      </c>
      <c r="D1031" s="472" t="s">
        <v>12</v>
      </c>
      <c r="E1031" s="472" t="s">
        <v>52</v>
      </c>
      <c r="F1031" s="473">
        <v>65</v>
      </c>
      <c r="G1031" s="473">
        <f t="shared" si="636"/>
        <v>49.376500000000007</v>
      </c>
      <c r="H1031" s="473">
        <f>ROUND(G1031*(1+$J$14),2)</f>
        <v>62.61</v>
      </c>
      <c r="I1031" s="473">
        <f t="shared" ref="I1031:I1032" si="684">ROUND(H1031*F1031,2)</f>
        <v>4069.65</v>
      </c>
      <c r="J1031" s="474" t="e">
        <f>IF(B1031&lt;&gt;0,VLOOKUP(B1031,#REF!,4,FALSE),"")</f>
        <v>#REF!</v>
      </c>
      <c r="K1031" s="378" t="s">
        <v>3260</v>
      </c>
      <c r="L1031" s="378">
        <f t="shared" si="638"/>
        <v>3209.4725000000003</v>
      </c>
      <c r="M1031" s="474"/>
      <c r="N1031" s="47" t="e">
        <f>IF(B1031&lt;&gt;0,VLOOKUP(B1031,#REF!,2,FALSE),"")</f>
        <v>#REF!</v>
      </c>
      <c r="AY1031" s="577"/>
      <c r="AZ1031" s="502"/>
      <c r="BA1031" s="502"/>
      <c r="BB1031" s="502"/>
      <c r="BC1031" s="502"/>
      <c r="BD1031" s="523">
        <f>BG1031</f>
        <v>59.09</v>
      </c>
      <c r="BE1031" s="523">
        <f>ROUND(BD1031*(1+$J$14),2)</f>
        <v>74.930000000000007</v>
      </c>
      <c r="BF1031" s="523">
        <f>ROUND(BE1031*F1031,2)</f>
        <v>4870.45</v>
      </c>
      <c r="BG1031" s="474">
        <f>'COMPOSIÇÃO AB'!G630</f>
        <v>59.09</v>
      </c>
    </row>
    <row r="1032" spans="1:59" s="62" customFormat="1" ht="38.25" customHeight="1">
      <c r="A1032" s="23" t="s">
        <v>1415</v>
      </c>
      <c r="B1032" s="24">
        <v>96977</v>
      </c>
      <c r="C1032" s="23" t="s">
        <v>2513</v>
      </c>
      <c r="D1032" s="25" t="s">
        <v>12</v>
      </c>
      <c r="E1032" s="25" t="s">
        <v>52</v>
      </c>
      <c r="F1032" s="26">
        <v>198</v>
      </c>
      <c r="G1032" s="26">
        <f t="shared" si="636"/>
        <v>50.226500000000001</v>
      </c>
      <c r="H1032" s="26">
        <f>ROUND(G1032*(1+$J$14),2)</f>
        <v>63.69</v>
      </c>
      <c r="I1032" s="26">
        <f t="shared" si="684"/>
        <v>12610.62</v>
      </c>
      <c r="J1032" s="64" t="e">
        <f>IF(B1032&lt;&gt;0,VLOOKUP(B1032,#REF!,4,FALSE),"")</f>
        <v>#REF!</v>
      </c>
      <c r="K1032" s="362" t="s">
        <v>3261</v>
      </c>
      <c r="L1032" s="362">
        <f t="shared" si="638"/>
        <v>9944.8469999999998</v>
      </c>
      <c r="M1032" s="64"/>
      <c r="N1032" s="65" t="e">
        <f>IF(B1032&lt;&gt;0,VLOOKUP(B1032,#REF!,2,FALSE),"")</f>
        <v>#REF!</v>
      </c>
      <c r="AY1032" s="221"/>
      <c r="AZ1032" s="481"/>
      <c r="BA1032" s="481"/>
      <c r="BB1032" s="481"/>
      <c r="BC1032" s="481"/>
      <c r="BD1032" s="163">
        <f t="shared" ref="BD1032:BD1033" si="685">ROUND(G1032*$BH$19,2)</f>
        <v>55.95</v>
      </c>
      <c r="BE1032" s="163">
        <f t="shared" si="671"/>
        <v>70.95</v>
      </c>
      <c r="BF1032" s="163">
        <f>ROUND(BE1032*F1032,2)</f>
        <v>14048.1</v>
      </c>
    </row>
    <row r="1033" spans="1:59" s="62" customFormat="1">
      <c r="A1033" s="23" t="s">
        <v>1416</v>
      </c>
      <c r="B1033" s="24" t="s">
        <v>3094</v>
      </c>
      <c r="C1033" s="23" t="s">
        <v>306</v>
      </c>
      <c r="D1033" s="25" t="s">
        <v>70</v>
      </c>
      <c r="E1033" s="25" t="s">
        <v>17</v>
      </c>
      <c r="F1033" s="26">
        <v>75</v>
      </c>
      <c r="G1033" s="26">
        <f t="shared" si="636"/>
        <v>34.331499999999998</v>
      </c>
      <c r="H1033" s="26">
        <f>ROUND(G1033*(1+$J$14),2)</f>
        <v>43.54</v>
      </c>
      <c r="I1033" s="26">
        <f t="shared" ref="I1033" si="686">ROUND(H1033*F1033,2)</f>
        <v>3265.5</v>
      </c>
      <c r="J1033" s="64">
        <f>'COMPOSIÇÃO DE CUSTOS'!G1542</f>
        <v>34.33</v>
      </c>
      <c r="K1033" s="362">
        <v>40.39</v>
      </c>
      <c r="L1033" s="362">
        <f t="shared" si="638"/>
        <v>2574.8624999999997</v>
      </c>
      <c r="M1033" s="64"/>
      <c r="N1033" s="65"/>
      <c r="AY1033" s="221"/>
      <c r="AZ1033" s="481"/>
      <c r="BA1033" s="481"/>
      <c r="BB1033" s="481"/>
      <c r="BC1033" s="481"/>
      <c r="BD1033" s="163">
        <f t="shared" si="685"/>
        <v>38.25</v>
      </c>
      <c r="BE1033" s="163">
        <f t="shared" si="671"/>
        <v>48.5</v>
      </c>
      <c r="BF1033" s="163">
        <f>ROUND(BE1033*F1033,2)</f>
        <v>3637.5</v>
      </c>
    </row>
    <row r="1034" spans="1:59" s="62" customFormat="1">
      <c r="A1034" s="356" t="s">
        <v>1417</v>
      </c>
      <c r="B1034" s="356"/>
      <c r="C1034" s="356" t="s">
        <v>214</v>
      </c>
      <c r="D1034" s="357"/>
      <c r="E1034" s="357"/>
      <c r="F1034" s="357"/>
      <c r="G1034" s="26"/>
      <c r="H1034" s="357"/>
      <c r="I1034" s="96"/>
      <c r="J1034" s="65"/>
      <c r="K1034" s="362"/>
      <c r="L1034" s="362">
        <f t="shared" si="638"/>
        <v>0</v>
      </c>
      <c r="M1034" s="65"/>
      <c r="N1034" s="65"/>
      <c r="AY1034" s="221"/>
      <c r="AZ1034" s="481"/>
      <c r="BA1034" s="481"/>
      <c r="BB1034" s="481"/>
      <c r="BC1034" s="481"/>
      <c r="BD1034" s="481"/>
      <c r="BE1034" s="481"/>
      <c r="BF1034" s="481"/>
    </row>
    <row r="1035" spans="1:59" s="34" customFormat="1" ht="45">
      <c r="A1035" s="471" t="s">
        <v>1418</v>
      </c>
      <c r="B1035" s="475">
        <v>91926</v>
      </c>
      <c r="C1035" s="471" t="s">
        <v>1713</v>
      </c>
      <c r="D1035" s="472" t="s">
        <v>12</v>
      </c>
      <c r="E1035" s="472" t="s">
        <v>52</v>
      </c>
      <c r="F1035" s="473">
        <v>215</v>
      </c>
      <c r="G1035" s="473">
        <f t="shared" si="636"/>
        <v>3.0684999999999998</v>
      </c>
      <c r="H1035" s="473">
        <f>ROUND(G1035*(1+$J$14),2)</f>
        <v>3.89</v>
      </c>
      <c r="I1035" s="473">
        <f t="shared" ref="I1035:I1037" si="687">ROUND(H1035*F1035,2)</f>
        <v>836.35</v>
      </c>
      <c r="J1035" s="474" t="e">
        <f>IF(B1035&lt;&gt;0,VLOOKUP(B1035,#REF!,4,FALSE),"")</f>
        <v>#REF!</v>
      </c>
      <c r="K1035" s="378" t="s">
        <v>3107</v>
      </c>
      <c r="L1035" s="378">
        <f t="shared" si="638"/>
        <v>659.72749999999996</v>
      </c>
      <c r="M1035" s="474"/>
      <c r="N1035" s="47" t="e">
        <f>IF(B1035&lt;&gt;0,VLOOKUP(B1035,#REF!,2,FALSE),"")</f>
        <v>#REF!</v>
      </c>
      <c r="AY1035" s="577"/>
      <c r="AZ1035" s="502"/>
      <c r="BA1035" s="502"/>
      <c r="BB1035" s="502"/>
      <c r="BC1035" s="502"/>
      <c r="BD1035" s="523">
        <f>BG1035</f>
        <v>4.33</v>
      </c>
      <c r="BE1035" s="523">
        <f>ROUND(BD1035*(1+$J$14),2)</f>
        <v>5.49</v>
      </c>
      <c r="BF1035" s="523">
        <f>ROUND(BE1035*F1035,2)</f>
        <v>1180.3499999999999</v>
      </c>
      <c r="BG1035" s="474">
        <f>'COMPOSIÇÃO AB'!G517</f>
        <v>4.33</v>
      </c>
    </row>
    <row r="1036" spans="1:59" s="34" customFormat="1" ht="45">
      <c r="A1036" s="471" t="s">
        <v>1419</v>
      </c>
      <c r="B1036" s="475">
        <v>92994</v>
      </c>
      <c r="C1036" s="471" t="s">
        <v>1689</v>
      </c>
      <c r="D1036" s="472" t="s">
        <v>12</v>
      </c>
      <c r="E1036" s="472" t="s">
        <v>52</v>
      </c>
      <c r="F1036" s="473">
        <v>977</v>
      </c>
      <c r="G1036" s="473">
        <f t="shared" si="636"/>
        <v>102.017</v>
      </c>
      <c r="H1036" s="473">
        <f>ROUND(G1036*(1+$J$14),2)</f>
        <v>129.37</v>
      </c>
      <c r="I1036" s="473">
        <f t="shared" si="687"/>
        <v>126394.49</v>
      </c>
      <c r="J1036" s="474" t="e">
        <f>IF(B1036&lt;&gt;0,VLOOKUP(B1036,#REF!,4,FALSE),"")</f>
        <v>#REF!</v>
      </c>
      <c r="K1036" s="378" t="s">
        <v>3234</v>
      </c>
      <c r="L1036" s="378">
        <f t="shared" si="638"/>
        <v>99670.608999999997</v>
      </c>
      <c r="M1036" s="474"/>
      <c r="N1036" s="47" t="e">
        <f>IF(B1036&lt;&gt;0,VLOOKUP(B1036,#REF!,2,FALSE),"")</f>
        <v>#REF!</v>
      </c>
      <c r="AY1036" s="577"/>
      <c r="AZ1036" s="502"/>
      <c r="BA1036" s="502"/>
      <c r="BB1036" s="502"/>
      <c r="BC1036" s="502"/>
      <c r="BD1036" s="523">
        <f>BG1036</f>
        <v>112.58</v>
      </c>
      <c r="BE1036" s="523">
        <f>ROUND(BD1036*(1+$J$14),2)</f>
        <v>142.76</v>
      </c>
      <c r="BF1036" s="523">
        <f>ROUND(BE1036*F1036,2)</f>
        <v>139476.51999999999</v>
      </c>
      <c r="BG1036" s="474">
        <f>'COMPOSIÇÃO AB'!G589</f>
        <v>112.58</v>
      </c>
    </row>
    <row r="1037" spans="1:59" s="34" customFormat="1" ht="45">
      <c r="A1037" s="471" t="s">
        <v>1420</v>
      </c>
      <c r="B1037" s="475">
        <v>93000</v>
      </c>
      <c r="C1037" s="471" t="s">
        <v>1738</v>
      </c>
      <c r="D1037" s="472" t="s">
        <v>12</v>
      </c>
      <c r="E1037" s="472" t="s">
        <v>52</v>
      </c>
      <c r="F1037" s="473">
        <v>779</v>
      </c>
      <c r="G1037" s="473">
        <f t="shared" si="636"/>
        <v>202.90350000000001</v>
      </c>
      <c r="H1037" s="473">
        <f>ROUND(G1037*(1+$J$14),2)</f>
        <v>257.3</v>
      </c>
      <c r="I1037" s="473">
        <f t="shared" si="687"/>
        <v>200436.7</v>
      </c>
      <c r="J1037" s="474" t="e">
        <f>IF(B1037&lt;&gt;0,VLOOKUP(B1037,#REF!,4,FALSE),"")</f>
        <v>#REF!</v>
      </c>
      <c r="K1037" s="378" t="s">
        <v>3235</v>
      </c>
      <c r="L1037" s="378">
        <f t="shared" si="638"/>
        <v>158061.8265</v>
      </c>
      <c r="M1037" s="474"/>
      <c r="N1037" s="47" t="e">
        <f>IF(B1037&lt;&gt;0,VLOOKUP(B1037,#REF!,2,FALSE),"")</f>
        <v>#REF!</v>
      </c>
      <c r="AY1037" s="577"/>
      <c r="AZ1037" s="502"/>
      <c r="BA1037" s="502"/>
      <c r="BB1037" s="502"/>
      <c r="BC1037" s="502"/>
      <c r="BD1037" s="523">
        <f>BG1037</f>
        <v>245.29</v>
      </c>
      <c r="BE1037" s="523">
        <f>ROUND(BD1037*(1+$J$14),2)</f>
        <v>311.05</v>
      </c>
      <c r="BF1037" s="523">
        <f>ROUND(BE1037*F1037,2)</f>
        <v>242307.95</v>
      </c>
      <c r="BG1037" s="474">
        <f>'COMPOSIÇÃO AB'!G597</f>
        <v>245.29</v>
      </c>
    </row>
    <row r="1038" spans="1:59" s="62" customFormat="1" ht="30">
      <c r="A1038" s="23" t="s">
        <v>1421</v>
      </c>
      <c r="B1038" s="25" t="s">
        <v>2360</v>
      </c>
      <c r="C1038" s="23" t="s">
        <v>3098</v>
      </c>
      <c r="D1038" s="25" t="s">
        <v>1915</v>
      </c>
      <c r="E1038" s="25" t="s">
        <v>52</v>
      </c>
      <c r="F1038" s="26">
        <v>210</v>
      </c>
      <c r="G1038" s="26">
        <f t="shared" si="636"/>
        <v>86.037000000000006</v>
      </c>
      <c r="H1038" s="26">
        <f>ROUND(G1038*(1+$J$14),2)</f>
        <v>109.1</v>
      </c>
      <c r="I1038" s="26">
        <f t="shared" ref="I1038" si="688">ROUND(H1038*F1038,2)</f>
        <v>22911</v>
      </c>
      <c r="J1038" s="64">
        <f>'COMPOSIÇÃO DE CUSTOS'!G1549</f>
        <v>86.04</v>
      </c>
      <c r="K1038" s="362">
        <v>101.22</v>
      </c>
      <c r="L1038" s="362">
        <f t="shared" si="638"/>
        <v>18067.77</v>
      </c>
      <c r="M1038" s="64"/>
      <c r="N1038" s="65">
        <f>(1159-488)/3</f>
        <v>223.66666666666666</v>
      </c>
      <c r="AY1038" s="221"/>
      <c r="AZ1038" s="481"/>
      <c r="BA1038" s="481"/>
      <c r="BB1038" s="481"/>
      <c r="BC1038" s="481"/>
      <c r="BD1038" s="163">
        <f t="shared" ref="BD1038" si="689">ROUND(G1038*$BH$19,2)</f>
        <v>95.85</v>
      </c>
      <c r="BE1038" s="163">
        <f t="shared" ref="BE1038:BE1045" si="690">ROUND(BD1038*(1+$J$14),2)</f>
        <v>121.55</v>
      </c>
      <c r="BF1038" s="163">
        <f>ROUND(BE1038*F1038,2)</f>
        <v>25525.5</v>
      </c>
    </row>
    <row r="1039" spans="1:59" s="27" customFormat="1" ht="60">
      <c r="A1039" s="23" t="s">
        <v>2486</v>
      </c>
      <c r="B1039" s="25" t="s">
        <v>2350</v>
      </c>
      <c r="C1039" s="23" t="s">
        <v>2485</v>
      </c>
      <c r="D1039" s="25" t="s">
        <v>1915</v>
      </c>
      <c r="E1039" s="25" t="s">
        <v>17</v>
      </c>
      <c r="F1039" s="26">
        <f>18+3</f>
        <v>21</v>
      </c>
      <c r="G1039" s="26">
        <f t="shared" si="636"/>
        <v>275.68899999999996</v>
      </c>
      <c r="H1039" s="26">
        <f>ROUND(G1039*(1+$J$14),2)</f>
        <v>349.6</v>
      </c>
      <c r="I1039" s="26">
        <f t="shared" ref="I1039" si="691">ROUND(H1039*F1039,2)</f>
        <v>7341.6</v>
      </c>
      <c r="J1039" s="43">
        <f>'COMPOSIÇÃO DE CUSTOS'!G1556</f>
        <v>275.7</v>
      </c>
      <c r="K1039" s="365">
        <v>324.33999999999997</v>
      </c>
      <c r="L1039" s="362">
        <f t="shared" si="638"/>
        <v>5789.4689999999991</v>
      </c>
      <c r="M1039" s="43"/>
      <c r="N1039" s="42" t="e">
        <f>IF(B1039&lt;&gt;0,VLOOKUP(B1039,#REF!,2,FALSE),"")</f>
        <v>#REF!</v>
      </c>
      <c r="AY1039" s="552"/>
      <c r="AZ1039" s="481"/>
      <c r="BA1039" s="481"/>
      <c r="BB1039" s="481"/>
      <c r="BC1039" s="481"/>
      <c r="BD1039" s="163">
        <f t="shared" ref="BD1039:BD1045" si="692">ROUND(G1039*$BH$19,2)</f>
        <v>307.12</v>
      </c>
      <c r="BE1039" s="163">
        <f t="shared" si="690"/>
        <v>389.46</v>
      </c>
      <c r="BF1039" s="163">
        <f>ROUND(BE1039*F1039,2)</f>
        <v>8178.66</v>
      </c>
    </row>
    <row r="1040" spans="1:59" s="62" customFormat="1" ht="15" customHeight="1">
      <c r="A1040" s="356" t="s">
        <v>1422</v>
      </c>
      <c r="B1040" s="356"/>
      <c r="C1040" s="356" t="s">
        <v>216</v>
      </c>
      <c r="D1040" s="357"/>
      <c r="E1040" s="357"/>
      <c r="F1040" s="357"/>
      <c r="G1040" s="26"/>
      <c r="H1040" s="357"/>
      <c r="I1040" s="96"/>
      <c r="J1040" s="65"/>
      <c r="K1040" s="362"/>
      <c r="L1040" s="362">
        <f t="shared" si="638"/>
        <v>0</v>
      </c>
      <c r="M1040" s="65"/>
      <c r="N1040" s="65"/>
      <c r="AY1040" s="221"/>
      <c r="AZ1040" s="481"/>
      <c r="BA1040" s="481"/>
      <c r="BB1040" s="481"/>
      <c r="BC1040" s="481"/>
      <c r="BD1040" s="163"/>
      <c r="BE1040" s="163"/>
      <c r="BF1040" s="163"/>
    </row>
    <row r="1041" spans="1:59" s="62" customFormat="1" ht="45">
      <c r="A1041" s="23" t="s">
        <v>1423</v>
      </c>
      <c r="B1041" s="24">
        <v>95779</v>
      </c>
      <c r="C1041" s="23" t="s">
        <v>1710</v>
      </c>
      <c r="D1041" s="25" t="s">
        <v>12</v>
      </c>
      <c r="E1041" s="25" t="s">
        <v>17</v>
      </c>
      <c r="F1041" s="26">
        <v>4</v>
      </c>
      <c r="G1041" s="26">
        <f t="shared" si="636"/>
        <v>17.442</v>
      </c>
      <c r="H1041" s="26">
        <f>ROUND(G1041*(1+$J$14),2)</f>
        <v>22.12</v>
      </c>
      <c r="I1041" s="26">
        <f t="shared" ref="I1041:I1044" si="693">ROUND(H1041*F1041,2)</f>
        <v>88.48</v>
      </c>
      <c r="J1041" s="64" t="e">
        <f>IF(B1041&lt;&gt;0,VLOOKUP(B1041,#REF!,4,FALSE),"")</f>
        <v>#REF!</v>
      </c>
      <c r="K1041" s="362" t="s">
        <v>1900</v>
      </c>
      <c r="L1041" s="362">
        <f t="shared" si="638"/>
        <v>69.768000000000001</v>
      </c>
      <c r="M1041" s="64"/>
      <c r="N1041" s="65" t="e">
        <f>IF(B1041&lt;&gt;0,VLOOKUP(B1041,#REF!,2,FALSE),"")</f>
        <v>#REF!</v>
      </c>
      <c r="AY1041" s="221"/>
      <c r="AZ1041" s="481"/>
      <c r="BA1041" s="481"/>
      <c r="BB1041" s="481"/>
      <c r="BC1041" s="481"/>
      <c r="BD1041" s="163">
        <f t="shared" si="692"/>
        <v>19.43</v>
      </c>
      <c r="BE1041" s="163">
        <f t="shared" si="690"/>
        <v>24.64</v>
      </c>
      <c r="BF1041" s="163">
        <f>ROUND(BE1041*F1041,2)</f>
        <v>98.56</v>
      </c>
    </row>
    <row r="1042" spans="1:59" s="62" customFormat="1" ht="45">
      <c r="A1042" s="23" t="s">
        <v>1424</v>
      </c>
      <c r="B1042" s="24">
        <v>95795</v>
      </c>
      <c r="C1042" s="23" t="s">
        <v>1707</v>
      </c>
      <c r="D1042" s="25" t="s">
        <v>12</v>
      </c>
      <c r="E1042" s="25" t="s">
        <v>17</v>
      </c>
      <c r="F1042" s="26">
        <v>7</v>
      </c>
      <c r="G1042" s="26">
        <f t="shared" si="636"/>
        <v>21.488</v>
      </c>
      <c r="H1042" s="26">
        <f>ROUND(G1042*(1+$J$14),2)</f>
        <v>27.25</v>
      </c>
      <c r="I1042" s="26">
        <f t="shared" si="693"/>
        <v>190.75</v>
      </c>
      <c r="J1042" s="64" t="e">
        <f>IF(B1042&lt;&gt;0,VLOOKUP(B1042,#REF!,4,FALSE),"")</f>
        <v>#REF!</v>
      </c>
      <c r="K1042" s="362" t="s">
        <v>3238</v>
      </c>
      <c r="L1042" s="362">
        <f t="shared" si="638"/>
        <v>150.416</v>
      </c>
      <c r="M1042" s="64"/>
      <c r="N1042" s="65" t="e">
        <f>IF(B1042&lt;&gt;0,VLOOKUP(B1042,#REF!,2,FALSE),"")</f>
        <v>#REF!</v>
      </c>
      <c r="AY1042" s="221"/>
      <c r="AZ1042" s="481"/>
      <c r="BA1042" s="481"/>
      <c r="BB1042" s="481"/>
      <c r="BC1042" s="481"/>
      <c r="BD1042" s="163">
        <f t="shared" si="692"/>
        <v>23.94</v>
      </c>
      <c r="BE1042" s="163">
        <f t="shared" si="690"/>
        <v>30.36</v>
      </c>
      <c r="BF1042" s="163">
        <f>ROUND(BE1042*F1042,2)</f>
        <v>212.52</v>
      </c>
    </row>
    <row r="1043" spans="1:59" s="62" customFormat="1" ht="45">
      <c r="A1043" s="23" t="s">
        <v>1425</v>
      </c>
      <c r="B1043" s="24">
        <v>95787</v>
      </c>
      <c r="C1043" s="23" t="s">
        <v>1708</v>
      </c>
      <c r="D1043" s="25" t="s">
        <v>12</v>
      </c>
      <c r="E1043" s="25" t="s">
        <v>17</v>
      </c>
      <c r="F1043" s="26">
        <v>1</v>
      </c>
      <c r="G1043" s="26">
        <f t="shared" si="636"/>
        <v>18.614999999999998</v>
      </c>
      <c r="H1043" s="26">
        <f>ROUND(G1043*(1+$J$14),2)</f>
        <v>23.61</v>
      </c>
      <c r="I1043" s="26">
        <f t="shared" si="693"/>
        <v>23.61</v>
      </c>
      <c r="J1043" s="64" t="e">
        <f>IF(B1043&lt;&gt;0,VLOOKUP(B1043,#REF!,4,FALSE),"")</f>
        <v>#REF!</v>
      </c>
      <c r="K1043" s="362" t="s">
        <v>1888</v>
      </c>
      <c r="L1043" s="362">
        <f t="shared" si="638"/>
        <v>18.614999999999998</v>
      </c>
      <c r="M1043" s="64"/>
      <c r="N1043" s="65" t="e">
        <f>IF(B1043&lt;&gt;0,VLOOKUP(B1043,#REF!,2,FALSE),"")</f>
        <v>#REF!</v>
      </c>
      <c r="AY1043" s="221"/>
      <c r="AZ1043" s="481"/>
      <c r="BA1043" s="481"/>
      <c r="BB1043" s="481"/>
      <c r="BC1043" s="481"/>
      <c r="BD1043" s="163">
        <f t="shared" si="692"/>
        <v>20.74</v>
      </c>
      <c r="BE1043" s="163">
        <f t="shared" si="690"/>
        <v>26.3</v>
      </c>
      <c r="BF1043" s="163">
        <f>ROUND(BE1043*F1043,2)</f>
        <v>26.3</v>
      </c>
    </row>
    <row r="1044" spans="1:59" s="62" customFormat="1" ht="45">
      <c r="A1044" s="23" t="s">
        <v>1426</v>
      </c>
      <c r="B1044" s="24">
        <v>91940</v>
      </c>
      <c r="C1044" s="23" t="s">
        <v>1727</v>
      </c>
      <c r="D1044" s="25" t="s">
        <v>12</v>
      </c>
      <c r="E1044" s="25" t="s">
        <v>17</v>
      </c>
      <c r="F1044" s="26">
        <v>1</v>
      </c>
      <c r="G1044" s="26">
        <f t="shared" si="636"/>
        <v>8.8484999999999996</v>
      </c>
      <c r="H1044" s="26">
        <f>ROUND(G1044*(1+$J$14),2)</f>
        <v>11.22</v>
      </c>
      <c r="I1044" s="26">
        <f t="shared" si="693"/>
        <v>11.22</v>
      </c>
      <c r="J1044" s="64" t="e">
        <f>IF(B1044&lt;&gt;0,VLOOKUP(B1044,#REF!,4,FALSE),"")</f>
        <v>#REF!</v>
      </c>
      <c r="K1044" s="362" t="s">
        <v>3193</v>
      </c>
      <c r="L1044" s="362">
        <f t="shared" si="638"/>
        <v>8.8484999999999996</v>
      </c>
      <c r="M1044" s="64"/>
      <c r="N1044" s="65" t="e">
        <f>IF(B1044&lt;&gt;0,VLOOKUP(B1044,#REF!,2,FALSE),"")</f>
        <v>#REF!</v>
      </c>
      <c r="AY1044" s="221"/>
      <c r="AZ1044" s="481"/>
      <c r="BA1044" s="481"/>
      <c r="BB1044" s="481"/>
      <c r="BC1044" s="481"/>
      <c r="BD1044" s="163">
        <f t="shared" si="692"/>
        <v>9.86</v>
      </c>
      <c r="BE1044" s="163">
        <f t="shared" si="690"/>
        <v>12.5</v>
      </c>
      <c r="BF1044" s="163">
        <f>ROUND(BE1044*F1044,2)</f>
        <v>12.5</v>
      </c>
    </row>
    <row r="1045" spans="1:59" s="62" customFormat="1" ht="57" customHeight="1">
      <c r="A1045" s="23" t="s">
        <v>1427</v>
      </c>
      <c r="B1045" s="24">
        <v>97883</v>
      </c>
      <c r="C1045" s="23" t="str">
        <f>C499</f>
        <v>CAIXA ENTERRADA ELÉTRICA RETANGULAR, EM
CONCRETO PRÉ-MOLDADO, FUNDO COM BRITA,
DIMENSÕES INTERNAS: 0,6X0,6X0,5 M. AF_12/2020</v>
      </c>
      <c r="D1045" s="25" t="s">
        <v>12</v>
      </c>
      <c r="E1045" s="25" t="s">
        <v>17</v>
      </c>
      <c r="F1045" s="26">
        <v>1</v>
      </c>
      <c r="G1045" s="26">
        <f t="shared" si="636"/>
        <v>254.422</v>
      </c>
      <c r="H1045" s="26">
        <f>ROUND(G1045*(1+$J$14),2)</f>
        <v>322.63</v>
      </c>
      <c r="I1045" s="26">
        <f t="shared" ref="I1045" si="694">ROUND(H1045*F1045,2)</f>
        <v>322.63</v>
      </c>
      <c r="J1045" s="64" t="e">
        <f>IF(B1045&lt;&gt;0,VLOOKUP(B1045,#REF!,4,FALSE),"")</f>
        <v>#REF!</v>
      </c>
      <c r="K1045" s="362" t="s">
        <v>3241</v>
      </c>
      <c r="L1045" s="362">
        <f t="shared" si="638"/>
        <v>254.422</v>
      </c>
      <c r="M1045" s="64"/>
      <c r="N1045" s="65" t="e">
        <f>IF(B1045&lt;&gt;0,VLOOKUP(B1045,#REF!,2,FALSE),"")</f>
        <v>#REF!</v>
      </c>
      <c r="AY1045" s="221"/>
      <c r="AZ1045" s="481"/>
      <c r="BA1045" s="481"/>
      <c r="BB1045" s="481"/>
      <c r="BC1045" s="481"/>
      <c r="BD1045" s="163">
        <f t="shared" si="692"/>
        <v>283.43</v>
      </c>
      <c r="BE1045" s="163">
        <f t="shared" si="690"/>
        <v>359.42</v>
      </c>
      <c r="BF1045" s="163">
        <f>ROUND(BE1045*F1045,2)</f>
        <v>359.42</v>
      </c>
    </row>
    <row r="1046" spans="1:59" s="62" customFormat="1" ht="15" customHeight="1">
      <c r="A1046" s="356" t="s">
        <v>1428</v>
      </c>
      <c r="B1046" s="356"/>
      <c r="C1046" s="356" t="s">
        <v>314</v>
      </c>
      <c r="D1046" s="357"/>
      <c r="E1046" s="357"/>
      <c r="F1046" s="357"/>
      <c r="G1046" s="26"/>
      <c r="H1046" s="357"/>
      <c r="I1046" s="96"/>
      <c r="J1046" s="65"/>
      <c r="K1046" s="362"/>
      <c r="L1046" s="362">
        <f t="shared" si="638"/>
        <v>0</v>
      </c>
      <c r="M1046" s="65"/>
      <c r="N1046" s="65"/>
      <c r="AY1046" s="221"/>
      <c r="AZ1046" s="481"/>
      <c r="BA1046" s="481"/>
      <c r="BB1046" s="481"/>
      <c r="BC1046" s="481"/>
      <c r="BD1046" s="481"/>
      <c r="BE1046" s="481"/>
      <c r="BF1046" s="481"/>
    </row>
    <row r="1047" spans="1:59" s="34" customFormat="1" ht="36" customHeight="1">
      <c r="A1047" s="471" t="s">
        <v>1429</v>
      </c>
      <c r="B1047" s="475">
        <v>11908</v>
      </c>
      <c r="C1047" s="471" t="s">
        <v>315</v>
      </c>
      <c r="D1047" s="472" t="s">
        <v>44</v>
      </c>
      <c r="E1047" s="472" t="s">
        <v>17</v>
      </c>
      <c r="F1047" s="473">
        <v>1</v>
      </c>
      <c r="G1047" s="473">
        <f t="shared" si="636"/>
        <v>38990.333000000006</v>
      </c>
      <c r="H1047" s="473">
        <f>ROUND(G1047*(1+$J$14),2)</f>
        <v>49443.64</v>
      </c>
      <c r="I1047" s="473">
        <f t="shared" ref="I1047" si="695">ROUND(H1047*F1047,2)</f>
        <v>49443.64</v>
      </c>
      <c r="J1047" s="474">
        <f>'COMPOSIÇÃO DE CUSTOS'!G1563</f>
        <v>38990.33</v>
      </c>
      <c r="K1047" s="378">
        <v>45870.98</v>
      </c>
      <c r="L1047" s="378">
        <f t="shared" si="638"/>
        <v>38990.333000000006</v>
      </c>
      <c r="M1047" s="474"/>
      <c r="N1047" s="47"/>
      <c r="AY1047" s="577"/>
      <c r="AZ1047" s="502"/>
      <c r="BA1047" s="502"/>
      <c r="BB1047" s="502"/>
      <c r="BC1047" s="502"/>
      <c r="BD1047" s="523">
        <f>BG1047</f>
        <v>72177.36</v>
      </c>
      <c r="BE1047" s="523">
        <f>ROUND(BD1047*(1+$J$14),2)</f>
        <v>91528.11</v>
      </c>
      <c r="BF1047" s="523">
        <f>ROUND(BE1047*F1047,2)</f>
        <v>91528.11</v>
      </c>
      <c r="BG1047" s="34">
        <f>'COMPOSIÇÃO AB'!G657</f>
        <v>72177.36</v>
      </c>
    </row>
    <row r="1048" spans="1:59" s="34" customFormat="1" ht="45">
      <c r="A1048" s="471" t="s">
        <v>1430</v>
      </c>
      <c r="B1048" s="475" t="s">
        <v>2417</v>
      </c>
      <c r="C1048" s="471" t="s">
        <v>316</v>
      </c>
      <c r="D1048" s="472" t="s">
        <v>1915</v>
      </c>
      <c r="E1048" s="472" t="s">
        <v>17</v>
      </c>
      <c r="F1048" s="473">
        <v>2</v>
      </c>
      <c r="G1048" s="473">
        <f t="shared" ref="G1048:G1111" si="696">K1048-(K1048*$K$15)</f>
        <v>25973.79</v>
      </c>
      <c r="H1048" s="473">
        <f>ROUND(G1048*(1+$J$14),2)</f>
        <v>32937.360000000001</v>
      </c>
      <c r="I1048" s="473">
        <f t="shared" ref="I1048" si="697">ROUND(H1048*F1048,2)</f>
        <v>65874.720000000001</v>
      </c>
      <c r="J1048" s="474">
        <f>'COMPOSIÇÃO DE CUSTOS'!G1570</f>
        <v>25973.79</v>
      </c>
      <c r="K1048" s="378">
        <v>30557.4</v>
      </c>
      <c r="L1048" s="378">
        <f t="shared" ref="L1048:L1111" si="698">F1048*G1048</f>
        <v>51947.58</v>
      </c>
      <c r="M1048" s="474"/>
      <c r="N1048" s="47"/>
      <c r="AY1048" s="577"/>
      <c r="AZ1048" s="502"/>
      <c r="BA1048" s="502"/>
      <c r="BB1048" s="502"/>
      <c r="BC1048" s="502"/>
      <c r="BD1048" s="523">
        <f>BG1048</f>
        <v>67335.64</v>
      </c>
      <c r="BE1048" s="523">
        <f>ROUND(BD1048*(1+$J$14),2)</f>
        <v>85388.33</v>
      </c>
      <c r="BF1048" s="523">
        <f>ROUND(BE1048*F1048,2)</f>
        <v>170776.66</v>
      </c>
      <c r="BG1048" s="34">
        <f>'COMPOSIÇÃO AB'!G664</f>
        <v>67335.64</v>
      </c>
    </row>
    <row r="1049" spans="1:59" s="62" customFormat="1" ht="15" customHeight="1">
      <c r="A1049" s="356" t="s">
        <v>1431</v>
      </c>
      <c r="B1049" s="356"/>
      <c r="C1049" s="356" t="s">
        <v>317</v>
      </c>
      <c r="D1049" s="357"/>
      <c r="E1049" s="357"/>
      <c r="F1049" s="357"/>
      <c r="G1049" s="26"/>
      <c r="H1049" s="357"/>
      <c r="I1049" s="96"/>
      <c r="J1049" s="65"/>
      <c r="K1049" s="362"/>
      <c r="L1049" s="362">
        <f t="shared" si="698"/>
        <v>0</v>
      </c>
      <c r="M1049" s="65"/>
      <c r="N1049" s="65"/>
      <c r="AY1049" s="221"/>
      <c r="AZ1049" s="481"/>
      <c r="BA1049" s="481"/>
      <c r="BB1049" s="481"/>
      <c r="BC1049" s="481"/>
      <c r="BD1049" s="481"/>
      <c r="BE1049" s="481"/>
      <c r="BF1049" s="481"/>
    </row>
    <row r="1050" spans="1:59" s="62" customFormat="1" ht="32.25" customHeight="1">
      <c r="A1050" s="23" t="s">
        <v>1432</v>
      </c>
      <c r="B1050" s="24">
        <v>7384</v>
      </c>
      <c r="C1050" s="42" t="str">
        <f>C479</f>
        <v>FIXAÇÃO DE ELETROCALHA COM VERGALHÃO (TIRANTE) COM ROSCA TOTAL Ø 1/4"X1000MM</v>
      </c>
      <c r="D1050" s="25" t="s">
        <v>44</v>
      </c>
      <c r="E1050" s="25" t="s">
        <v>52</v>
      </c>
      <c r="F1050" s="26">
        <v>2</v>
      </c>
      <c r="G1050" s="26">
        <f t="shared" si="696"/>
        <v>19.244</v>
      </c>
      <c r="H1050" s="26">
        <f>ROUND(G1050*(1+$J$14),2)</f>
        <v>24.4</v>
      </c>
      <c r="I1050" s="26">
        <f t="shared" ref="I1050" si="699">ROUND(H1050*F1050,2)</f>
        <v>48.8</v>
      </c>
      <c r="J1050" s="64">
        <f>J479</f>
        <v>19.25</v>
      </c>
      <c r="K1050" s="362">
        <v>22.64</v>
      </c>
      <c r="L1050" s="362">
        <f t="shared" si="698"/>
        <v>38.488</v>
      </c>
      <c r="M1050" s="64"/>
      <c r="N1050" s="65"/>
      <c r="AY1050" s="221"/>
      <c r="AZ1050" s="481"/>
      <c r="BA1050" s="481"/>
      <c r="BB1050" s="481"/>
      <c r="BC1050" s="481"/>
      <c r="BD1050" s="163">
        <f t="shared" ref="BD1050" si="700">ROUND(G1050*$BH$19,2)</f>
        <v>21.44</v>
      </c>
      <c r="BE1050" s="163">
        <f t="shared" ref="BE1050:BE1058" si="701">ROUND(BD1050*(1+$J$14),2)</f>
        <v>27.19</v>
      </c>
      <c r="BF1050" s="163">
        <f>ROUND(BE1050*F1050,2)</f>
        <v>54.38</v>
      </c>
    </row>
    <row r="1051" spans="1:59" s="62" customFormat="1" ht="30">
      <c r="A1051" s="23" t="s">
        <v>1433</v>
      </c>
      <c r="B1051" s="25" t="s">
        <v>2362</v>
      </c>
      <c r="C1051" s="23" t="s">
        <v>318</v>
      </c>
      <c r="D1051" s="25" t="s">
        <v>1915</v>
      </c>
      <c r="E1051" s="25" t="s">
        <v>52</v>
      </c>
      <c r="F1051" s="26">
        <v>97</v>
      </c>
      <c r="G1051" s="26">
        <f t="shared" si="696"/>
        <v>17.076499999999999</v>
      </c>
      <c r="H1051" s="26">
        <f>ROUND(G1051*(1+$J$14),2)</f>
        <v>21.65</v>
      </c>
      <c r="I1051" s="26">
        <f t="shared" ref="I1051" si="702">ROUND(H1051*F1051,2)</f>
        <v>2100.0500000000002</v>
      </c>
      <c r="J1051" s="64">
        <f>'COMPOSIÇÃO DE CUSTOS'!G1581</f>
        <v>17.07</v>
      </c>
      <c r="K1051" s="362">
        <v>20.09</v>
      </c>
      <c r="L1051" s="362">
        <f t="shared" si="698"/>
        <v>1656.4204999999999</v>
      </c>
      <c r="M1051" s="64"/>
      <c r="N1051" s="65"/>
      <c r="AY1051" s="221"/>
      <c r="AZ1051" s="481"/>
      <c r="BA1051" s="481"/>
      <c r="BB1051" s="481"/>
      <c r="BC1051" s="481"/>
      <c r="BD1051" s="163">
        <f t="shared" ref="BD1051:BD1054" si="703">ROUND(G1051*$BH$19,2)</f>
        <v>19.02</v>
      </c>
      <c r="BE1051" s="163">
        <f t="shared" si="701"/>
        <v>24.12</v>
      </c>
      <c r="BF1051" s="163">
        <f>ROUND(BE1051*F1051,2)</f>
        <v>2339.64</v>
      </c>
    </row>
    <row r="1052" spans="1:59" s="62" customFormat="1" ht="30">
      <c r="A1052" s="23" t="s">
        <v>1434</v>
      </c>
      <c r="B1052" s="24">
        <f>B480</f>
        <v>8697</v>
      </c>
      <c r="C1052" s="23" t="str">
        <f>C480</f>
        <v xml:space="preserve">SUPORTE VERTICAL 75 X 50 MM PARA FIXAÇÃO DE ELETROCALHA METÁLICA </v>
      </c>
      <c r="D1052" s="25" t="s">
        <v>44</v>
      </c>
      <c r="E1052" s="25" t="s">
        <v>17</v>
      </c>
      <c r="F1052" s="26">
        <v>5</v>
      </c>
      <c r="G1052" s="26">
        <f t="shared" si="696"/>
        <v>8.1940000000000008</v>
      </c>
      <c r="H1052" s="26">
        <f>ROUND(G1052*(1+$J$14),2)</f>
        <v>10.39</v>
      </c>
      <c r="I1052" s="26">
        <f t="shared" ref="I1052" si="704">ROUND(H1052*F1052,2)</f>
        <v>51.95</v>
      </c>
      <c r="J1052" s="64">
        <f>J480</f>
        <v>8.19</v>
      </c>
      <c r="K1052" s="362">
        <v>9.64</v>
      </c>
      <c r="L1052" s="362">
        <f t="shared" si="698"/>
        <v>40.970000000000006</v>
      </c>
      <c r="M1052" s="64"/>
      <c r="N1052" s="65"/>
      <c r="AY1052" s="221"/>
      <c r="AZ1052" s="481"/>
      <c r="BA1052" s="481"/>
      <c r="BB1052" s="481"/>
      <c r="BC1052" s="481"/>
      <c r="BD1052" s="163">
        <f t="shared" si="703"/>
        <v>9.1300000000000008</v>
      </c>
      <c r="BE1052" s="163">
        <f t="shared" si="701"/>
        <v>11.58</v>
      </c>
      <c r="BF1052" s="163">
        <f>ROUND(BE1052*F1052,2)</f>
        <v>57.9</v>
      </c>
    </row>
    <row r="1053" spans="1:59" s="62" customFormat="1">
      <c r="A1053" s="356" t="s">
        <v>1435</v>
      </c>
      <c r="B1053" s="356"/>
      <c r="C1053" s="356" t="s">
        <v>252</v>
      </c>
      <c r="D1053" s="357"/>
      <c r="E1053" s="357"/>
      <c r="F1053" s="357"/>
      <c r="G1053" s="26"/>
      <c r="H1053" s="357"/>
      <c r="I1053" s="96"/>
      <c r="J1053" s="65"/>
      <c r="K1053" s="362"/>
      <c r="L1053" s="362">
        <f t="shared" si="698"/>
        <v>0</v>
      </c>
      <c r="M1053" s="65"/>
      <c r="N1053" s="65"/>
      <c r="AY1053" s="221"/>
      <c r="AZ1053" s="481"/>
      <c r="BA1053" s="481"/>
      <c r="BB1053" s="481"/>
      <c r="BC1053" s="481"/>
      <c r="BD1053" s="163"/>
      <c r="BE1053" s="163"/>
      <c r="BF1053" s="163"/>
    </row>
    <row r="1054" spans="1:59" s="62" customFormat="1" ht="30">
      <c r="A1054" s="23" t="s">
        <v>1436</v>
      </c>
      <c r="B1054" s="24">
        <v>12844</v>
      </c>
      <c r="C1054" s="23" t="s">
        <v>2376</v>
      </c>
      <c r="D1054" s="25" t="s">
        <v>44</v>
      </c>
      <c r="E1054" s="25" t="s">
        <v>17</v>
      </c>
      <c r="F1054" s="26">
        <v>2</v>
      </c>
      <c r="G1054" s="26">
        <f t="shared" si="696"/>
        <v>491.46150000000006</v>
      </c>
      <c r="H1054" s="26">
        <f>ROUND(G1054*(1+$J$14),2)</f>
        <v>623.22</v>
      </c>
      <c r="I1054" s="26">
        <f t="shared" ref="I1054:I1056" si="705">ROUND(H1054*F1054,2)</f>
        <v>1246.44</v>
      </c>
      <c r="J1054" s="64">
        <f>'COMPOSIÇÃO DE CUSTOS'!G1781</f>
        <v>491.46</v>
      </c>
      <c r="K1054" s="362">
        <v>578.19000000000005</v>
      </c>
      <c r="L1054" s="362">
        <f t="shared" si="698"/>
        <v>982.92300000000012</v>
      </c>
      <c r="M1054" s="64"/>
      <c r="N1054" s="65"/>
      <c r="AY1054" s="221"/>
      <c r="AZ1054" s="481"/>
      <c r="BA1054" s="481"/>
      <c r="BB1054" s="481"/>
      <c r="BC1054" s="481"/>
      <c r="BD1054" s="163">
        <f t="shared" si="703"/>
        <v>547.49</v>
      </c>
      <c r="BE1054" s="163">
        <f t="shared" si="701"/>
        <v>694.27</v>
      </c>
      <c r="BF1054" s="163">
        <f>ROUND(BE1054*F1054,2)</f>
        <v>1388.54</v>
      </c>
    </row>
    <row r="1055" spans="1:59" s="34" customFormat="1" ht="60">
      <c r="A1055" s="471" t="s">
        <v>2372</v>
      </c>
      <c r="B1055" s="475">
        <v>11103</v>
      </c>
      <c r="C1055" s="471" t="s">
        <v>2371</v>
      </c>
      <c r="D1055" s="472" t="s">
        <v>44</v>
      </c>
      <c r="E1055" s="472" t="s">
        <v>17</v>
      </c>
      <c r="F1055" s="473">
        <v>3</v>
      </c>
      <c r="G1055" s="473">
        <f t="shared" si="696"/>
        <v>7342.1640000000007</v>
      </c>
      <c r="H1055" s="473">
        <f>ROUND(G1055*(1+$J$14),2)</f>
        <v>9310.6</v>
      </c>
      <c r="I1055" s="473">
        <f t="shared" ref="I1055" si="706">ROUND(H1055*F1055,2)</f>
        <v>27931.8</v>
      </c>
      <c r="J1055" s="474">
        <f>'COMPOSIÇÃO DE CUSTOS'!G1787</f>
        <v>7342.16</v>
      </c>
      <c r="K1055" s="378">
        <v>8637.84</v>
      </c>
      <c r="L1055" s="378">
        <f t="shared" si="698"/>
        <v>22026.492000000002</v>
      </c>
      <c r="M1055" s="474"/>
      <c r="N1055" s="47"/>
      <c r="AY1055" s="577"/>
      <c r="AZ1055" s="502"/>
      <c r="BA1055" s="502"/>
      <c r="BB1055" s="502"/>
      <c r="BC1055" s="502"/>
      <c r="BD1055" s="523">
        <v>7786.02</v>
      </c>
      <c r="BE1055" s="523">
        <f>ROUND(BD1055*(1+$J$14),2)</f>
        <v>9873.4500000000007</v>
      </c>
      <c r="BF1055" s="523">
        <f>ROUND(BE1055*F1055,2)</f>
        <v>29620.35</v>
      </c>
    </row>
    <row r="1056" spans="1:59" s="62" customFormat="1" ht="45">
      <c r="A1056" s="23" t="s">
        <v>2373</v>
      </c>
      <c r="B1056" s="24">
        <v>11542</v>
      </c>
      <c r="C1056" s="23" t="s">
        <v>2370</v>
      </c>
      <c r="D1056" s="25" t="s">
        <v>44</v>
      </c>
      <c r="E1056" s="25" t="s">
        <v>17</v>
      </c>
      <c r="F1056" s="26">
        <v>15</v>
      </c>
      <c r="G1056" s="26">
        <f t="shared" si="696"/>
        <v>407.84699999999998</v>
      </c>
      <c r="H1056" s="26">
        <f>ROUND(G1056*(1+$J$14),2)</f>
        <v>517.19000000000005</v>
      </c>
      <c r="I1056" s="26">
        <f t="shared" si="705"/>
        <v>7757.85</v>
      </c>
      <c r="J1056" s="64">
        <f>'COMPOSIÇÃO DE CUSTOS'!G1799</f>
        <v>407.84</v>
      </c>
      <c r="K1056" s="362">
        <v>479.82</v>
      </c>
      <c r="L1056" s="362">
        <f t="shared" si="698"/>
        <v>6117.7049999999999</v>
      </c>
      <c r="M1056" s="64"/>
      <c r="N1056" s="65"/>
      <c r="AY1056" s="221"/>
      <c r="AZ1056" s="481"/>
      <c r="BA1056" s="481"/>
      <c r="BB1056" s="481"/>
      <c r="BC1056" s="481"/>
      <c r="BD1056" s="163">
        <f t="shared" ref="BD1056" si="707">ROUND(G1056*$BH$19,2)</f>
        <v>454.34</v>
      </c>
      <c r="BE1056" s="163">
        <f t="shared" si="701"/>
        <v>576.15</v>
      </c>
      <c r="BF1056" s="163">
        <f>ROUND(BE1056*F1056,2)</f>
        <v>8642.25</v>
      </c>
    </row>
    <row r="1057" spans="1:59" s="62" customFormat="1" ht="37.5" customHeight="1">
      <c r="A1057" s="23" t="s">
        <v>2374</v>
      </c>
      <c r="B1057" s="24">
        <v>101907</v>
      </c>
      <c r="C1057" s="23" t="s">
        <v>181</v>
      </c>
      <c r="D1057" s="25" t="s">
        <v>12</v>
      </c>
      <c r="E1057" s="25" t="s">
        <v>17</v>
      </c>
      <c r="F1057" s="26">
        <v>1</v>
      </c>
      <c r="G1057" s="26">
        <f t="shared" si="696"/>
        <v>516.0095</v>
      </c>
      <c r="H1057" s="26">
        <f>ROUND(G1057*(1+$J$14),2)</f>
        <v>654.35</v>
      </c>
      <c r="I1057" s="26">
        <f t="shared" ref="I1057" si="708">ROUND(H1057*F1057,2)</f>
        <v>654.35</v>
      </c>
      <c r="J1057" s="64" t="e">
        <f>IF(B1057&lt;&gt;0,VLOOKUP(B1057,#REF!,4,FALSE),"")</f>
        <v>#REF!</v>
      </c>
      <c r="K1057" s="362" t="s">
        <v>3266</v>
      </c>
      <c r="L1057" s="362">
        <f t="shared" si="698"/>
        <v>516.0095</v>
      </c>
      <c r="M1057" s="64"/>
      <c r="N1057" s="65" t="e">
        <f>IF(B1057&lt;&gt;0,VLOOKUP(B1057,#REF!,2,FALSE),"")</f>
        <v>#REF!</v>
      </c>
      <c r="AY1057" s="221"/>
      <c r="AZ1057" s="481"/>
      <c r="BA1057" s="481"/>
      <c r="BB1057" s="481"/>
      <c r="BC1057" s="481"/>
      <c r="BD1057" s="163">
        <f t="shared" ref="BD1057:BD1058" si="709">ROUND(G1057*$BH$19,2)</f>
        <v>574.84</v>
      </c>
      <c r="BE1057" s="163">
        <f t="shared" si="701"/>
        <v>728.95</v>
      </c>
      <c r="BF1057" s="163">
        <f>ROUND(BE1057*F1057,2)</f>
        <v>728.95</v>
      </c>
    </row>
    <row r="1058" spans="1:59" s="62" customFormat="1" ht="30">
      <c r="A1058" s="23" t="s">
        <v>2375</v>
      </c>
      <c r="B1058" s="24">
        <v>3922</v>
      </c>
      <c r="C1058" s="23" t="s">
        <v>320</v>
      </c>
      <c r="D1058" s="25" t="s">
        <v>1915</v>
      </c>
      <c r="E1058" s="25" t="s">
        <v>68</v>
      </c>
      <c r="F1058" s="26">
        <v>3</v>
      </c>
      <c r="G1058" s="26">
        <f t="shared" si="696"/>
        <v>46.962499999999999</v>
      </c>
      <c r="H1058" s="26">
        <f>ROUND(G1058*(1+$J$14),2)</f>
        <v>59.55</v>
      </c>
      <c r="I1058" s="26">
        <f t="shared" ref="I1058" si="710">ROUND(H1058*F1058,2)</f>
        <v>178.65</v>
      </c>
      <c r="J1058" s="64">
        <f>'COMPOSIÇÃO DE CUSTOS'!G1589</f>
        <v>46.96</v>
      </c>
      <c r="K1058" s="362">
        <v>55.25</v>
      </c>
      <c r="L1058" s="362">
        <f t="shared" si="698"/>
        <v>140.88749999999999</v>
      </c>
      <c r="M1058" s="64"/>
      <c r="N1058" s="65"/>
      <c r="AY1058" s="221"/>
      <c r="AZ1058" s="481"/>
      <c r="BA1058" s="481"/>
      <c r="BB1058" s="481"/>
      <c r="BC1058" s="481"/>
      <c r="BD1058" s="163">
        <f t="shared" si="709"/>
        <v>52.32</v>
      </c>
      <c r="BE1058" s="163">
        <f t="shared" si="701"/>
        <v>66.349999999999994</v>
      </c>
      <c r="BF1058" s="163">
        <f>ROUND(BE1058*F1058,2)</f>
        <v>199.05</v>
      </c>
    </row>
    <row r="1059" spans="1:59" ht="34.5" customHeight="1">
      <c r="A1059" s="23"/>
      <c r="B1059" s="25"/>
      <c r="C1059" s="23"/>
      <c r="D1059" s="25"/>
      <c r="E1059" s="25"/>
      <c r="F1059" s="26"/>
      <c r="G1059" s="26"/>
      <c r="H1059" s="26"/>
      <c r="I1059" s="26"/>
      <c r="J1059" s="35"/>
      <c r="K1059" s="375"/>
      <c r="L1059" s="362">
        <f t="shared" si="698"/>
        <v>0</v>
      </c>
      <c r="M1059" s="35"/>
      <c r="N1059" s="35"/>
      <c r="AY1059" s="21"/>
      <c r="AZ1059" s="481"/>
      <c r="BA1059" s="481"/>
      <c r="BB1059" s="481"/>
      <c r="BC1059" s="481"/>
      <c r="BD1059" s="481"/>
      <c r="BE1059" s="481"/>
      <c r="BF1059" s="481"/>
    </row>
    <row r="1060" spans="1:59" ht="15" customHeight="1">
      <c r="A1060" s="356" t="s">
        <v>1437</v>
      </c>
      <c r="B1060" s="356"/>
      <c r="C1060" s="356" t="s">
        <v>321</v>
      </c>
      <c r="D1060" s="357"/>
      <c r="E1060" s="357"/>
      <c r="F1060" s="357"/>
      <c r="G1060" s="26"/>
      <c r="H1060" s="357"/>
      <c r="I1060" s="96">
        <f>SUM(I1063:I1099)</f>
        <v>1364028.25</v>
      </c>
      <c r="J1060" s="59"/>
      <c r="K1060" s="372"/>
      <c r="L1060" s="362">
        <f t="shared" si="698"/>
        <v>0</v>
      </c>
      <c r="M1060" s="372"/>
      <c r="N1060" s="50"/>
      <c r="AY1060" s="21"/>
      <c r="AZ1060" s="481"/>
      <c r="BA1060" s="481"/>
      <c r="BB1060" s="481"/>
      <c r="BC1060" s="481"/>
      <c r="BD1060" s="481"/>
      <c r="BE1060" s="481"/>
      <c r="BF1060" s="96">
        <f>SUM(BF1063:BF1099)</f>
        <v>1585458.7500000002</v>
      </c>
    </row>
    <row r="1061" spans="1:59" s="62" customFormat="1" ht="15" customHeight="1">
      <c r="A1061" s="356" t="s">
        <v>1438</v>
      </c>
      <c r="B1061" s="356"/>
      <c r="C1061" s="356" t="s">
        <v>322</v>
      </c>
      <c r="D1061" s="357"/>
      <c r="E1061" s="357"/>
      <c r="F1061" s="357"/>
      <c r="G1061" s="26"/>
      <c r="H1061" s="357"/>
      <c r="I1061" s="96"/>
      <c r="J1061" s="68"/>
      <c r="K1061" s="385"/>
      <c r="L1061" s="362">
        <f t="shared" si="698"/>
        <v>0</v>
      </c>
      <c r="M1061" s="67"/>
      <c r="N1061" s="65"/>
      <c r="AY1061" s="221"/>
      <c r="AZ1061" s="481"/>
      <c r="BA1061" s="481"/>
      <c r="BB1061" s="481"/>
      <c r="BC1061" s="481"/>
      <c r="BD1061" s="481"/>
      <c r="BE1061" s="481"/>
      <c r="BF1061" s="481"/>
    </row>
    <row r="1062" spans="1:59" s="62" customFormat="1" ht="15" customHeight="1">
      <c r="A1062" s="356" t="s">
        <v>1439</v>
      </c>
      <c r="B1062" s="356"/>
      <c r="C1062" s="356" t="s">
        <v>323</v>
      </c>
      <c r="D1062" s="357"/>
      <c r="E1062" s="357"/>
      <c r="F1062" s="357"/>
      <c r="G1062" s="26"/>
      <c r="H1062" s="357"/>
      <c r="I1062" s="96"/>
      <c r="J1062" s="65"/>
      <c r="K1062" s="362"/>
      <c r="L1062" s="362">
        <f t="shared" si="698"/>
        <v>0</v>
      </c>
      <c r="M1062" s="65"/>
      <c r="N1062" s="65"/>
      <c r="AY1062" s="221"/>
      <c r="AZ1062" s="481"/>
      <c r="BA1062" s="481"/>
      <c r="BB1062" s="481"/>
      <c r="BC1062" s="481"/>
      <c r="BD1062" s="481"/>
      <c r="BE1062" s="481"/>
      <c r="BF1062" s="481"/>
    </row>
    <row r="1063" spans="1:59" s="62" customFormat="1" ht="30">
      <c r="A1063" s="23" t="s">
        <v>1440</v>
      </c>
      <c r="B1063" s="24">
        <v>10754</v>
      </c>
      <c r="C1063" s="23" t="s">
        <v>324</v>
      </c>
      <c r="D1063" s="25" t="s">
        <v>44</v>
      </c>
      <c r="E1063" s="25" t="s">
        <v>52</v>
      </c>
      <c r="F1063" s="26">
        <v>336</v>
      </c>
      <c r="G1063" s="26">
        <f t="shared" si="696"/>
        <v>15.589</v>
      </c>
      <c r="H1063" s="26">
        <f>ROUND(G1063*(1+$J$14),2)</f>
        <v>19.77</v>
      </c>
      <c r="I1063" s="26">
        <f t="shared" ref="I1063" si="711">ROUND(H1063*F1063,2)</f>
        <v>6642.72</v>
      </c>
      <c r="J1063" s="64">
        <f>'COMPOSIÇÃO DE CUSTOS'!G1596</f>
        <v>15.59</v>
      </c>
      <c r="K1063" s="362">
        <v>18.34</v>
      </c>
      <c r="L1063" s="362">
        <f t="shared" si="698"/>
        <v>5237.9040000000005</v>
      </c>
      <c r="M1063" s="64"/>
      <c r="N1063" s="65"/>
      <c r="AY1063" s="221"/>
      <c r="AZ1063" s="481"/>
      <c r="BA1063" s="481"/>
      <c r="BB1063" s="481"/>
      <c r="BC1063" s="481"/>
      <c r="BD1063" s="163">
        <f t="shared" ref="BD1063" si="712">ROUND(G1063*$BH$19,2)</f>
        <v>17.37</v>
      </c>
      <c r="BE1063" s="163">
        <f t="shared" ref="BE1063:BE1068" si="713">ROUND(BD1063*(1+$J$14),2)</f>
        <v>22.03</v>
      </c>
      <c r="BF1063" s="163">
        <f>ROUND(BE1063*F1063,2)</f>
        <v>7402.08</v>
      </c>
    </row>
    <row r="1064" spans="1:59" s="62" customFormat="1" ht="30">
      <c r="A1064" s="23" t="s">
        <v>3420</v>
      </c>
      <c r="B1064" s="24">
        <v>4235</v>
      </c>
      <c r="C1064" s="23" t="s">
        <v>3421</v>
      </c>
      <c r="D1064" s="25" t="s">
        <v>44</v>
      </c>
      <c r="E1064" s="25" t="s">
        <v>52</v>
      </c>
      <c r="F1064" s="26">
        <v>336</v>
      </c>
      <c r="G1064" s="26">
        <f t="shared" si="696"/>
        <v>23.766000000000002</v>
      </c>
      <c r="H1064" s="26">
        <f>ROUND(G1064*(1+$J$14),2)</f>
        <v>30.14</v>
      </c>
      <c r="I1064" s="26">
        <f t="shared" ref="I1064:I1066" si="714">ROUND(H1064*F1064,2)</f>
        <v>10127.040000000001</v>
      </c>
      <c r="J1064" s="64">
        <f>'COMPOSIÇÃO DE CUSTOS'!G2568</f>
        <v>23.78</v>
      </c>
      <c r="K1064" s="362">
        <v>27.96</v>
      </c>
      <c r="L1064" s="362">
        <f t="shared" si="698"/>
        <v>7985.3760000000002</v>
      </c>
      <c r="M1064" s="64"/>
      <c r="N1064" s="65"/>
      <c r="AY1064" s="221"/>
      <c r="AZ1064" s="481"/>
      <c r="BA1064" s="481"/>
      <c r="BB1064" s="481"/>
      <c r="BC1064" s="481"/>
      <c r="BD1064" s="163">
        <f t="shared" ref="BD1064:BD1068" si="715">ROUND(G1064*$BH$19,2)</f>
        <v>26.48</v>
      </c>
      <c r="BE1064" s="163">
        <f t="shared" si="713"/>
        <v>33.58</v>
      </c>
      <c r="BF1064" s="163">
        <f>ROUND(BE1064*F1064,2)</f>
        <v>11282.88</v>
      </c>
    </row>
    <row r="1065" spans="1:59" s="62" customFormat="1" ht="30">
      <c r="A1065" s="23" t="s">
        <v>3426</v>
      </c>
      <c r="B1065" s="24">
        <v>93655</v>
      </c>
      <c r="C1065" s="23" t="s">
        <v>2852</v>
      </c>
      <c r="D1065" s="25" t="s">
        <v>12</v>
      </c>
      <c r="E1065" s="25" t="s">
        <v>17</v>
      </c>
      <c r="F1065" s="26">
        <v>59</v>
      </c>
      <c r="G1065" s="26">
        <f t="shared" si="696"/>
        <v>10.3445</v>
      </c>
      <c r="H1065" s="26">
        <f>ROUND(G1065*(1+$J$14),2)</f>
        <v>13.12</v>
      </c>
      <c r="I1065" s="26">
        <f t="shared" ref="I1065" si="716">ROUND(H1065*F1065,2)</f>
        <v>774.08</v>
      </c>
      <c r="J1065" s="64" t="e">
        <f>IF(B1065&lt;&gt;0,VLOOKUP(B1065,#REF!,4,FALSE),"")</f>
        <v>#REF!</v>
      </c>
      <c r="K1065" s="362" t="s">
        <v>1879</v>
      </c>
      <c r="L1065" s="362">
        <f t="shared" si="698"/>
        <v>610.32550000000003</v>
      </c>
      <c r="M1065" s="64"/>
      <c r="N1065" s="65" t="e">
        <f>IF(B1065&lt;&gt;0,VLOOKUP(B1065,#REF!,2,FALSE),"")</f>
        <v>#REF!</v>
      </c>
      <c r="AY1065" s="221"/>
      <c r="AZ1065" s="481"/>
      <c r="BA1065" s="481"/>
      <c r="BB1065" s="481"/>
      <c r="BC1065" s="481"/>
      <c r="BD1065" s="163">
        <f t="shared" si="715"/>
        <v>11.52</v>
      </c>
      <c r="BE1065" s="163">
        <f t="shared" si="713"/>
        <v>14.61</v>
      </c>
      <c r="BF1065" s="163">
        <f>ROUND(BE1065*F1065,2)</f>
        <v>861.99</v>
      </c>
    </row>
    <row r="1066" spans="1:59" s="62" customFormat="1" ht="60">
      <c r="A1066" s="23" t="s">
        <v>3427</v>
      </c>
      <c r="B1066" s="24">
        <v>101881</v>
      </c>
      <c r="C1066" s="23" t="s">
        <v>3428</v>
      </c>
      <c r="D1066" s="25" t="s">
        <v>12</v>
      </c>
      <c r="E1066" s="25" t="s">
        <v>17</v>
      </c>
      <c r="F1066" s="26">
        <v>2</v>
      </c>
      <c r="G1066" s="26">
        <f t="shared" si="696"/>
        <v>765.94350000000009</v>
      </c>
      <c r="H1066" s="26">
        <f>ROUND(G1066*(1+$J$14),2)</f>
        <v>971.29</v>
      </c>
      <c r="I1066" s="26">
        <f t="shared" si="714"/>
        <v>1942.58</v>
      </c>
      <c r="J1066" s="64" t="e">
        <f>IF(B1066&lt;&gt;0,VLOOKUP(B1066,#REF!,4,FALSE),"")</f>
        <v>#REF!</v>
      </c>
      <c r="K1066" s="362" t="s">
        <v>3251</v>
      </c>
      <c r="L1066" s="362">
        <f t="shared" si="698"/>
        <v>1531.8870000000002</v>
      </c>
      <c r="M1066" s="64"/>
      <c r="N1066" s="65" t="e">
        <f>IF(B1066&lt;&gt;0,VLOOKUP(B1066,#REF!,2,FALSE),"")</f>
        <v>#REF!</v>
      </c>
      <c r="AY1066" s="221"/>
      <c r="AZ1066" s="481"/>
      <c r="BA1066" s="481"/>
      <c r="BB1066" s="481"/>
      <c r="BC1066" s="481"/>
      <c r="BD1066" s="163">
        <f t="shared" si="715"/>
        <v>853.27</v>
      </c>
      <c r="BE1066" s="163">
        <f t="shared" si="713"/>
        <v>1082.03</v>
      </c>
      <c r="BF1066" s="163">
        <f>ROUND(BE1066*F1066,2)</f>
        <v>2164.06</v>
      </c>
    </row>
    <row r="1067" spans="1:59" s="62" customFormat="1" ht="15" customHeight="1">
      <c r="A1067" s="356" t="s">
        <v>1441</v>
      </c>
      <c r="B1067" s="356"/>
      <c r="C1067" s="356" t="s">
        <v>325</v>
      </c>
      <c r="D1067" s="357"/>
      <c r="E1067" s="357"/>
      <c r="F1067" s="357"/>
      <c r="G1067" s="26"/>
      <c r="H1067" s="357"/>
      <c r="I1067" s="96"/>
      <c r="J1067" s="64"/>
      <c r="K1067" s="362"/>
      <c r="L1067" s="362">
        <f t="shared" si="698"/>
        <v>0</v>
      </c>
      <c r="M1067" s="64"/>
      <c r="N1067" s="65"/>
      <c r="AY1067" s="221"/>
      <c r="AZ1067" s="481"/>
      <c r="BA1067" s="481"/>
      <c r="BB1067" s="481"/>
      <c r="BC1067" s="481"/>
      <c r="BD1067" s="163"/>
      <c r="BE1067" s="163"/>
      <c r="BF1067" s="163"/>
    </row>
    <row r="1068" spans="1:59" s="62" customFormat="1">
      <c r="A1068" s="23" t="s">
        <v>1442</v>
      </c>
      <c r="B1068" s="24">
        <v>70473</v>
      </c>
      <c r="C1068" s="23" t="s">
        <v>2625</v>
      </c>
      <c r="D1068" s="25" t="s">
        <v>1915</v>
      </c>
      <c r="E1068" s="25" t="s">
        <v>52</v>
      </c>
      <c r="F1068" s="26">
        <v>110</v>
      </c>
      <c r="G1068" s="26">
        <f t="shared" si="696"/>
        <v>89.0715</v>
      </c>
      <c r="H1068" s="26">
        <f>ROUND(G1068*(1+$J$14),2)</f>
        <v>112.95</v>
      </c>
      <c r="I1068" s="26">
        <f t="shared" ref="I1068" si="717">ROUND(H1068*F1068,2)</f>
        <v>12424.5</v>
      </c>
      <c r="J1068" s="64">
        <f>'COMPOSIÇÃO DE CUSTOS'!G1602</f>
        <v>89.07</v>
      </c>
      <c r="K1068" s="362">
        <v>104.79</v>
      </c>
      <c r="L1068" s="362">
        <f t="shared" si="698"/>
        <v>9797.8649999999998</v>
      </c>
      <c r="M1068" s="64"/>
      <c r="N1068" s="65"/>
      <c r="AY1068" s="221"/>
      <c r="AZ1068" s="481"/>
      <c r="BA1068" s="481"/>
      <c r="BB1068" s="481"/>
      <c r="BC1068" s="481"/>
      <c r="BD1068" s="163">
        <f t="shared" si="715"/>
        <v>99.23</v>
      </c>
      <c r="BE1068" s="163">
        <f t="shared" si="713"/>
        <v>125.83</v>
      </c>
      <c r="BF1068" s="163">
        <f>ROUND(BE1068*F1068,2)</f>
        <v>13841.3</v>
      </c>
    </row>
    <row r="1069" spans="1:59" s="62" customFormat="1" ht="15" customHeight="1">
      <c r="A1069" s="356" t="s">
        <v>1443</v>
      </c>
      <c r="B1069" s="356"/>
      <c r="C1069" s="356" t="s">
        <v>135</v>
      </c>
      <c r="D1069" s="357"/>
      <c r="E1069" s="357"/>
      <c r="F1069" s="357"/>
      <c r="G1069" s="26"/>
      <c r="H1069" s="357"/>
      <c r="I1069" s="96"/>
      <c r="J1069" s="65"/>
      <c r="K1069" s="362"/>
      <c r="L1069" s="362">
        <f t="shared" si="698"/>
        <v>0</v>
      </c>
      <c r="M1069" s="65"/>
      <c r="N1069" s="65"/>
      <c r="AY1069" s="221"/>
      <c r="AZ1069" s="481"/>
      <c r="BA1069" s="481"/>
      <c r="BB1069" s="481"/>
      <c r="BC1069" s="481"/>
      <c r="BD1069" s="481"/>
      <c r="BE1069" s="481"/>
      <c r="BF1069" s="481"/>
    </row>
    <row r="1070" spans="1:59" s="34" customFormat="1" ht="30">
      <c r="A1070" s="471" t="s">
        <v>1444</v>
      </c>
      <c r="B1070" s="475" t="s">
        <v>3357</v>
      </c>
      <c r="C1070" s="471" t="s">
        <v>3061</v>
      </c>
      <c r="D1070" s="472" t="s">
        <v>3049</v>
      </c>
      <c r="E1070" s="472" t="s">
        <v>17</v>
      </c>
      <c r="F1070" s="473">
        <v>1</v>
      </c>
      <c r="G1070" s="473">
        <f t="shared" si="696"/>
        <v>86986.866500000004</v>
      </c>
      <c r="H1070" s="473">
        <f t="shared" ref="H1070:H1079" si="718">ROUND(G1070*(1+$J$15),2)</f>
        <v>103236.01</v>
      </c>
      <c r="I1070" s="473">
        <f t="shared" ref="I1070:I1071" si="719">ROUND(H1070*F1070,2)</f>
        <v>103236.01</v>
      </c>
      <c r="J1070" s="474">
        <f>'COMPOSIÇÃO DE CUSTOS'!G1608</f>
        <v>86986.87</v>
      </c>
      <c r="K1070" s="378">
        <v>102337.49</v>
      </c>
      <c r="L1070" s="378">
        <f t="shared" si="698"/>
        <v>86986.866500000004</v>
      </c>
      <c r="M1070" s="474"/>
      <c r="N1070" s="47"/>
      <c r="AY1070" s="577"/>
      <c r="AZ1070" s="502"/>
      <c r="BA1070" s="502"/>
      <c r="BB1070" s="502"/>
      <c r="BC1070" s="502"/>
      <c r="BD1070" s="523">
        <f t="shared" ref="BD1070:BD1076" si="720">BG1070</f>
        <v>78193.210000000006</v>
      </c>
      <c r="BE1070" s="523">
        <f>ROUND(BD1070*(1+$J$15),2)</f>
        <v>92799.7</v>
      </c>
      <c r="BF1070" s="523">
        <f t="shared" ref="BF1070:BF1084" si="721">ROUND(BE1070*F1070,2)</f>
        <v>92799.7</v>
      </c>
      <c r="BG1070" s="34">
        <f>'COMPOSIÇÃO AB'!G670</f>
        <v>78193.210000000006</v>
      </c>
    </row>
    <row r="1071" spans="1:59" s="34" customFormat="1" ht="30">
      <c r="A1071" s="471" t="s">
        <v>1445</v>
      </c>
      <c r="B1071" s="475" t="s">
        <v>3362</v>
      </c>
      <c r="C1071" s="471" t="s">
        <v>3062</v>
      </c>
      <c r="D1071" s="472" t="s">
        <v>3049</v>
      </c>
      <c r="E1071" s="472" t="s">
        <v>17</v>
      </c>
      <c r="F1071" s="473">
        <v>2</v>
      </c>
      <c r="G1071" s="473">
        <f t="shared" si="696"/>
        <v>122495.29349999999</v>
      </c>
      <c r="H1071" s="473">
        <f t="shared" si="718"/>
        <v>145377.41</v>
      </c>
      <c r="I1071" s="473">
        <f t="shared" si="719"/>
        <v>290754.82</v>
      </c>
      <c r="J1071" s="474">
        <f>'COMPOSIÇÃO DE CUSTOS'!G1614</f>
        <v>122495.3</v>
      </c>
      <c r="K1071" s="378">
        <v>144112.10999999999</v>
      </c>
      <c r="L1071" s="378">
        <f t="shared" si="698"/>
        <v>244990.58699999997</v>
      </c>
      <c r="M1071" s="474"/>
      <c r="N1071" s="47"/>
      <c r="AY1071" s="577"/>
      <c r="AZ1071" s="502"/>
      <c r="BA1071" s="502"/>
      <c r="BB1071" s="502"/>
      <c r="BC1071" s="502"/>
      <c r="BD1071" s="523">
        <f t="shared" si="720"/>
        <v>101263.74</v>
      </c>
      <c r="BE1071" s="523">
        <f t="shared" ref="BE1071:BE1076" si="722">ROUND(BD1071*(1+$J$15),2)</f>
        <v>120179.81</v>
      </c>
      <c r="BF1071" s="523">
        <f t="shared" si="721"/>
        <v>240359.62</v>
      </c>
      <c r="BG1071" s="34">
        <f>'COMPOSIÇÃO AB'!G676</f>
        <v>101263.74</v>
      </c>
    </row>
    <row r="1072" spans="1:59" s="34" customFormat="1" ht="30">
      <c r="A1072" s="471" t="s">
        <v>2528</v>
      </c>
      <c r="B1072" s="475" t="s">
        <v>3363</v>
      </c>
      <c r="C1072" s="471" t="s">
        <v>3063</v>
      </c>
      <c r="D1072" s="472" t="s">
        <v>3049</v>
      </c>
      <c r="E1072" s="472" t="s">
        <v>17</v>
      </c>
      <c r="F1072" s="473">
        <v>1</v>
      </c>
      <c r="G1072" s="473">
        <f t="shared" si="696"/>
        <v>127299.10249999999</v>
      </c>
      <c r="H1072" s="473">
        <f t="shared" si="718"/>
        <v>151078.57</v>
      </c>
      <c r="I1072" s="473">
        <f t="shared" ref="I1072:I1075" si="723">ROUND(H1072*F1072,2)</f>
        <v>151078.57</v>
      </c>
      <c r="J1072" s="474">
        <f>'COMPOSIÇÃO DE CUSTOS'!G1620</f>
        <v>127299.1</v>
      </c>
      <c r="K1072" s="378">
        <v>149763.65</v>
      </c>
      <c r="L1072" s="378">
        <f t="shared" si="698"/>
        <v>127299.10249999999</v>
      </c>
      <c r="M1072" s="474"/>
      <c r="N1072" s="47"/>
      <c r="AY1072" s="577"/>
      <c r="AZ1072" s="502"/>
      <c r="BA1072" s="502"/>
      <c r="BB1072" s="502"/>
      <c r="BC1072" s="502"/>
      <c r="BD1072" s="523">
        <f t="shared" si="720"/>
        <v>111832.54</v>
      </c>
      <c r="BE1072" s="523">
        <f t="shared" si="722"/>
        <v>132722.85999999999</v>
      </c>
      <c r="BF1072" s="523">
        <f t="shared" si="721"/>
        <v>132722.85999999999</v>
      </c>
      <c r="BG1072" s="34">
        <f>'COMPOSIÇÃO AB'!G682</f>
        <v>111832.54</v>
      </c>
    </row>
    <row r="1073" spans="1:59" s="34" customFormat="1" ht="30">
      <c r="A1073" s="471" t="s">
        <v>2529</v>
      </c>
      <c r="B1073" s="475" t="s">
        <v>3364</v>
      </c>
      <c r="C1073" s="471" t="s">
        <v>3064</v>
      </c>
      <c r="D1073" s="472" t="s">
        <v>3049</v>
      </c>
      <c r="E1073" s="472" t="s">
        <v>17</v>
      </c>
      <c r="F1073" s="473">
        <v>1</v>
      </c>
      <c r="G1073" s="473">
        <f t="shared" si="696"/>
        <v>132833.26549999998</v>
      </c>
      <c r="H1073" s="473">
        <f t="shared" si="718"/>
        <v>157646.51999999999</v>
      </c>
      <c r="I1073" s="473">
        <f t="shared" si="723"/>
        <v>157646.51999999999</v>
      </c>
      <c r="J1073" s="474">
        <f>'COMPOSIÇÃO DE CUSTOS'!G1626</f>
        <v>132833.26999999999</v>
      </c>
      <c r="K1073" s="378">
        <v>156274.43</v>
      </c>
      <c r="L1073" s="378">
        <f t="shared" si="698"/>
        <v>132833.26549999998</v>
      </c>
      <c r="M1073" s="474"/>
      <c r="N1073" s="47"/>
      <c r="AY1073" s="577"/>
      <c r="AZ1073" s="502"/>
      <c r="BA1073" s="502"/>
      <c r="BB1073" s="502"/>
      <c r="BC1073" s="502"/>
      <c r="BD1073" s="523">
        <f t="shared" si="720"/>
        <v>116726.17</v>
      </c>
      <c r="BE1073" s="523">
        <f t="shared" si="722"/>
        <v>138530.62</v>
      </c>
      <c r="BF1073" s="523">
        <f t="shared" si="721"/>
        <v>138530.62</v>
      </c>
      <c r="BG1073" s="34">
        <f>'COMPOSIÇÃO AB'!G688</f>
        <v>116726.17</v>
      </c>
    </row>
    <row r="1074" spans="1:59" s="34" customFormat="1" ht="33" customHeight="1">
      <c r="A1074" s="471" t="s">
        <v>2530</v>
      </c>
      <c r="B1074" s="475" t="s">
        <v>3336</v>
      </c>
      <c r="C1074" s="471" t="s">
        <v>3056</v>
      </c>
      <c r="D1074" s="472" t="s">
        <v>3049</v>
      </c>
      <c r="E1074" s="472" t="s">
        <v>17</v>
      </c>
      <c r="F1074" s="473">
        <v>6</v>
      </c>
      <c r="G1074" s="473">
        <f t="shared" si="696"/>
        <v>3875.3539999999998</v>
      </c>
      <c r="H1074" s="473">
        <f t="shared" si="718"/>
        <v>4599.2700000000004</v>
      </c>
      <c r="I1074" s="473">
        <f t="shared" si="723"/>
        <v>27595.62</v>
      </c>
      <c r="J1074" s="474">
        <f>'COMPOSIÇÃO DE CUSTOS'!G1631</f>
        <v>3875.35</v>
      </c>
      <c r="K1074" s="378">
        <v>4559.24</v>
      </c>
      <c r="L1074" s="378">
        <f t="shared" si="698"/>
        <v>23252.124</v>
      </c>
      <c r="M1074" s="474"/>
      <c r="N1074" s="47">
        <f>5/0.8</f>
        <v>6.25</v>
      </c>
      <c r="AY1074" s="577"/>
      <c r="AZ1074" s="502"/>
      <c r="BA1074" s="502"/>
      <c r="BB1074" s="502"/>
      <c r="BC1074" s="502"/>
      <c r="BD1074" s="523">
        <f t="shared" si="720"/>
        <v>4546.82</v>
      </c>
      <c r="BE1074" s="523">
        <f t="shared" si="722"/>
        <v>5396.17</v>
      </c>
      <c r="BF1074" s="523">
        <f t="shared" si="721"/>
        <v>32377.02</v>
      </c>
      <c r="BG1074" s="34">
        <f>'COMPOSIÇÃO AB'!G693</f>
        <v>4546.82</v>
      </c>
    </row>
    <row r="1075" spans="1:59" s="34" customFormat="1" ht="30">
      <c r="A1075" s="471" t="s">
        <v>2531</v>
      </c>
      <c r="B1075" s="475" t="s">
        <v>3335</v>
      </c>
      <c r="C1075" s="471" t="s">
        <v>3055</v>
      </c>
      <c r="D1075" s="472" t="s">
        <v>3049</v>
      </c>
      <c r="E1075" s="472" t="s">
        <v>17</v>
      </c>
      <c r="F1075" s="473">
        <v>22</v>
      </c>
      <c r="G1075" s="473">
        <f t="shared" si="696"/>
        <v>3752.2655000000004</v>
      </c>
      <c r="H1075" s="473">
        <f t="shared" si="718"/>
        <v>4453.1899999999996</v>
      </c>
      <c r="I1075" s="473">
        <f t="shared" si="723"/>
        <v>97970.18</v>
      </c>
      <c r="J1075" s="474">
        <f>'COMPOSIÇÃO DE CUSTOS'!G1636</f>
        <v>3752.27</v>
      </c>
      <c r="K1075" s="378">
        <v>4414.43</v>
      </c>
      <c r="L1075" s="378">
        <f t="shared" si="698"/>
        <v>82549.841000000015</v>
      </c>
      <c r="M1075" s="474"/>
      <c r="N1075" s="47"/>
      <c r="AY1075" s="577"/>
      <c r="AZ1075" s="502"/>
      <c r="BA1075" s="502"/>
      <c r="BB1075" s="502"/>
      <c r="BC1075" s="502"/>
      <c r="BD1075" s="523">
        <f t="shared" si="720"/>
        <v>4149.95</v>
      </c>
      <c r="BE1075" s="523">
        <f t="shared" si="722"/>
        <v>4925.16</v>
      </c>
      <c r="BF1075" s="523">
        <f t="shared" si="721"/>
        <v>108353.52</v>
      </c>
      <c r="BG1075" s="34">
        <f>'COMPOSIÇÃO AB'!G698</f>
        <v>4149.95</v>
      </c>
    </row>
    <row r="1076" spans="1:59" s="34" customFormat="1" ht="30">
      <c r="A1076" s="471" t="s">
        <v>2532</v>
      </c>
      <c r="B1076" s="475" t="s">
        <v>3334</v>
      </c>
      <c r="C1076" s="471" t="s">
        <v>3054</v>
      </c>
      <c r="D1076" s="472" t="s">
        <v>3049</v>
      </c>
      <c r="E1076" s="472" t="s">
        <v>17</v>
      </c>
      <c r="F1076" s="473">
        <v>20</v>
      </c>
      <c r="G1076" s="473">
        <f t="shared" si="696"/>
        <v>3457.069</v>
      </c>
      <c r="H1076" s="473">
        <f t="shared" si="718"/>
        <v>4102.8500000000004</v>
      </c>
      <c r="I1076" s="473">
        <f t="shared" ref="I1076" si="724">ROUND(H1076*F1076,2)</f>
        <v>82057</v>
      </c>
      <c r="J1076" s="474">
        <f>'COMPOSIÇÃO DE CUSTOS'!G1641</f>
        <v>3457.07</v>
      </c>
      <c r="K1076" s="378">
        <v>4067.14</v>
      </c>
      <c r="L1076" s="378">
        <f t="shared" si="698"/>
        <v>69141.38</v>
      </c>
      <c r="M1076" s="474"/>
      <c r="N1076" s="47"/>
      <c r="AY1076" s="577"/>
      <c r="AZ1076" s="502"/>
      <c r="BA1076" s="502"/>
      <c r="BB1076" s="502"/>
      <c r="BC1076" s="502"/>
      <c r="BD1076" s="523">
        <f t="shared" si="720"/>
        <v>4051.47</v>
      </c>
      <c r="BE1076" s="523">
        <f t="shared" si="722"/>
        <v>4808.28</v>
      </c>
      <c r="BF1076" s="523">
        <f t="shared" si="721"/>
        <v>96165.6</v>
      </c>
      <c r="BG1076" s="34">
        <f>'COMPOSIÇÃO AB'!G703</f>
        <v>4051.47</v>
      </c>
    </row>
    <row r="1077" spans="1:59" s="45" customFormat="1" ht="39.75" customHeight="1">
      <c r="A1077" s="23" t="s">
        <v>2533</v>
      </c>
      <c r="B1077" s="24" t="s">
        <v>3340</v>
      </c>
      <c r="C1077" s="23" t="s">
        <v>3053</v>
      </c>
      <c r="D1077" s="25" t="s">
        <v>3049</v>
      </c>
      <c r="E1077" s="25" t="s">
        <v>17</v>
      </c>
      <c r="F1077" s="26">
        <v>3</v>
      </c>
      <c r="G1077" s="26">
        <f t="shared" si="696"/>
        <v>3796.3975000000005</v>
      </c>
      <c r="H1077" s="26">
        <f t="shared" si="718"/>
        <v>4505.5600000000004</v>
      </c>
      <c r="I1077" s="26">
        <f t="shared" ref="I1077:I1080" si="725">ROUND(H1077*F1077,2)</f>
        <v>13516.68</v>
      </c>
      <c r="J1077" s="49">
        <f>'COMPOSIÇÃO DE CUSTOS'!G1646</f>
        <v>3796.4</v>
      </c>
      <c r="K1077" s="364">
        <v>4466.3500000000004</v>
      </c>
      <c r="L1077" s="362">
        <f t="shared" si="698"/>
        <v>11389.192500000001</v>
      </c>
      <c r="M1077" s="49"/>
      <c r="N1077" s="49"/>
      <c r="AY1077" s="56"/>
      <c r="AZ1077" s="481"/>
      <c r="BA1077" s="481"/>
      <c r="BB1077" s="481"/>
      <c r="BC1077" s="481"/>
      <c r="BD1077" s="163">
        <f t="shared" ref="BD1077" si="726">ROUND(G1077*$BH$19,2)</f>
        <v>4229.22</v>
      </c>
      <c r="BE1077" s="163">
        <f t="shared" ref="BE1077:BE1093" si="727">ROUND(BD1077*(1+$J$14),2)</f>
        <v>5363.07</v>
      </c>
      <c r="BF1077" s="163">
        <f t="shared" si="721"/>
        <v>16089.21</v>
      </c>
    </row>
    <row r="1078" spans="1:59" s="62" customFormat="1" ht="30">
      <c r="A1078" s="23" t="s">
        <v>2534</v>
      </c>
      <c r="B1078" s="24" t="s">
        <v>3330</v>
      </c>
      <c r="C1078" s="23" t="s">
        <v>3052</v>
      </c>
      <c r="D1078" s="25" t="s">
        <v>3049</v>
      </c>
      <c r="E1078" s="25" t="s">
        <v>17</v>
      </c>
      <c r="F1078" s="26">
        <v>5</v>
      </c>
      <c r="G1078" s="26">
        <f t="shared" si="696"/>
        <v>3828.9184999999998</v>
      </c>
      <c r="H1078" s="26">
        <f t="shared" si="718"/>
        <v>4544.16</v>
      </c>
      <c r="I1078" s="26">
        <f t="shared" si="725"/>
        <v>22720.799999999999</v>
      </c>
      <c r="J1078" s="64">
        <f>'COMPOSIÇÃO DE CUSTOS'!G1651</f>
        <v>3828.92</v>
      </c>
      <c r="K1078" s="362">
        <v>4504.6099999999997</v>
      </c>
      <c r="L1078" s="362">
        <f t="shared" si="698"/>
        <v>19144.592499999999</v>
      </c>
      <c r="M1078" s="64"/>
      <c r="N1078" s="64"/>
      <c r="AY1078" s="221"/>
      <c r="AZ1078" s="481"/>
      <c r="BA1078" s="481"/>
      <c r="BB1078" s="481"/>
      <c r="BC1078" s="481"/>
      <c r="BD1078" s="163">
        <f t="shared" ref="BD1078:BD1093" si="728">ROUND(G1078*$BH$19,2)</f>
        <v>4265.45</v>
      </c>
      <c r="BE1078" s="163">
        <f t="shared" si="727"/>
        <v>5409.02</v>
      </c>
      <c r="BF1078" s="163">
        <f t="shared" si="721"/>
        <v>27045.1</v>
      </c>
    </row>
    <row r="1079" spans="1:59" s="62" customFormat="1" ht="30">
      <c r="A1079" s="23" t="s">
        <v>2535</v>
      </c>
      <c r="B1079" s="24" t="s">
        <v>3331</v>
      </c>
      <c r="C1079" s="23" t="s">
        <v>3051</v>
      </c>
      <c r="D1079" s="25" t="s">
        <v>3049</v>
      </c>
      <c r="E1079" s="25" t="s">
        <v>17</v>
      </c>
      <c r="F1079" s="26">
        <v>3</v>
      </c>
      <c r="G1079" s="26">
        <f t="shared" si="696"/>
        <v>2961.672</v>
      </c>
      <c r="H1079" s="26">
        <f t="shared" si="718"/>
        <v>3514.91</v>
      </c>
      <c r="I1079" s="26">
        <f t="shared" si="725"/>
        <v>10544.73</v>
      </c>
      <c r="J1079" s="64">
        <f>'COMPOSIÇÃO DE CUSTOS'!G1656</f>
        <v>2961.67</v>
      </c>
      <c r="K1079" s="362">
        <v>3484.32</v>
      </c>
      <c r="L1079" s="362">
        <f t="shared" si="698"/>
        <v>8885.0159999999996</v>
      </c>
      <c r="M1079" s="386">
        <f>SUM(G1070:G1079)</f>
        <v>491286.20449999999</v>
      </c>
      <c r="N1079" s="64"/>
      <c r="AY1079" s="221"/>
      <c r="AZ1079" s="481"/>
      <c r="BA1079" s="481"/>
      <c r="BB1079" s="481"/>
      <c r="BC1079" s="481"/>
      <c r="BD1079" s="163">
        <f t="shared" si="728"/>
        <v>3299.33</v>
      </c>
      <c r="BE1079" s="163">
        <f t="shared" si="727"/>
        <v>4183.88</v>
      </c>
      <c r="BF1079" s="163">
        <f t="shared" si="721"/>
        <v>12551.64</v>
      </c>
    </row>
    <row r="1080" spans="1:59" s="34" customFormat="1" ht="30">
      <c r="A1080" s="471" t="s">
        <v>2536</v>
      </c>
      <c r="B1080" s="475" t="s">
        <v>3050</v>
      </c>
      <c r="C1080" s="471" t="s">
        <v>3048</v>
      </c>
      <c r="D1080" s="472" t="s">
        <v>3049</v>
      </c>
      <c r="E1080" s="472" t="s">
        <v>17</v>
      </c>
      <c r="F1080" s="473">
        <v>59</v>
      </c>
      <c r="G1080" s="473">
        <f t="shared" si="696"/>
        <v>295.596</v>
      </c>
      <c r="H1080" s="473">
        <f>ROUND(G1080*(1+$J$14),2)</f>
        <v>374.85</v>
      </c>
      <c r="I1080" s="473">
        <f t="shared" si="725"/>
        <v>22116.15</v>
      </c>
      <c r="J1080" s="474">
        <f>'COMPOSIÇÃO DE CUSTOS'!G2546</f>
        <v>295.58999999999997</v>
      </c>
      <c r="K1080" s="378">
        <v>347.76</v>
      </c>
      <c r="L1080" s="378">
        <f t="shared" si="698"/>
        <v>17440.164000000001</v>
      </c>
      <c r="M1080" s="474"/>
      <c r="N1080" s="474"/>
      <c r="AY1080" s="577"/>
      <c r="AZ1080" s="502"/>
      <c r="BA1080" s="502"/>
      <c r="BB1080" s="502"/>
      <c r="BC1080" s="502"/>
      <c r="BD1080" s="523">
        <f>BG1080</f>
        <v>329.29</v>
      </c>
      <c r="BE1080" s="523">
        <f t="shared" si="727"/>
        <v>417.57</v>
      </c>
      <c r="BF1080" s="523">
        <f t="shared" si="721"/>
        <v>24636.63</v>
      </c>
      <c r="BG1080" s="34">
        <f>'COMPOSIÇÃO AB'!G838</f>
        <v>329.29</v>
      </c>
    </row>
    <row r="1081" spans="1:59" s="62" customFormat="1" ht="30">
      <c r="A1081" s="23" t="s">
        <v>2537</v>
      </c>
      <c r="B1081" s="24" t="s">
        <v>3065</v>
      </c>
      <c r="C1081" s="23" t="s">
        <v>3066</v>
      </c>
      <c r="D1081" s="25" t="s">
        <v>3049</v>
      </c>
      <c r="E1081" s="25" t="s">
        <v>17</v>
      </c>
      <c r="F1081" s="26">
        <v>5</v>
      </c>
      <c r="G1081" s="26">
        <f t="shared" si="696"/>
        <v>543.25199999999995</v>
      </c>
      <c r="H1081" s="26">
        <f>ROUND(G1081*(1+$J$14),2)</f>
        <v>688.9</v>
      </c>
      <c r="I1081" s="26">
        <f t="shared" ref="I1081" si="729">ROUND(H1081*F1081,2)</f>
        <v>3444.5</v>
      </c>
      <c r="J1081" s="64">
        <f>'COMPOSIÇÃO DE CUSTOS'!G2554</f>
        <v>543.25</v>
      </c>
      <c r="K1081" s="362">
        <v>639.12</v>
      </c>
      <c r="L1081" s="362">
        <f t="shared" si="698"/>
        <v>2716.2599999999998</v>
      </c>
      <c r="M1081" s="64"/>
      <c r="N1081" s="64"/>
      <c r="AY1081" s="221"/>
      <c r="AZ1081" s="481"/>
      <c r="BA1081" s="481"/>
      <c r="BB1081" s="481"/>
      <c r="BC1081" s="481"/>
      <c r="BD1081" s="163">
        <f t="shared" si="728"/>
        <v>605.19000000000005</v>
      </c>
      <c r="BE1081" s="163">
        <f t="shared" si="727"/>
        <v>767.44</v>
      </c>
      <c r="BF1081" s="163">
        <f t="shared" si="721"/>
        <v>3837.2</v>
      </c>
    </row>
    <row r="1082" spans="1:59" s="62" customFormat="1" ht="30">
      <c r="A1082" s="23" t="s">
        <v>2538</v>
      </c>
      <c r="B1082" s="24">
        <v>779329</v>
      </c>
      <c r="C1082" s="23" t="s">
        <v>2514</v>
      </c>
      <c r="D1082" s="25" t="s">
        <v>1915</v>
      </c>
      <c r="E1082" s="25" t="s">
        <v>17</v>
      </c>
      <c r="F1082" s="26">
        <v>57</v>
      </c>
      <c r="G1082" s="26">
        <f t="shared" si="696"/>
        <v>241.42549999999997</v>
      </c>
      <c r="H1082" s="26">
        <f>ROUND(G1082*(1+$J$14),2)</f>
        <v>306.14999999999998</v>
      </c>
      <c r="I1082" s="26">
        <f t="shared" ref="I1082" si="730">ROUND(H1082*F1082,2)</f>
        <v>17450.55</v>
      </c>
      <c r="J1082" s="64">
        <f>'COMPOSIÇÃO DE CUSTOS'!G1661</f>
        <v>284.02999999999997</v>
      </c>
      <c r="K1082" s="362">
        <v>284.02999999999997</v>
      </c>
      <c r="L1082" s="362">
        <f t="shared" si="698"/>
        <v>13761.253499999999</v>
      </c>
      <c r="M1082" s="64"/>
      <c r="N1082" s="65"/>
      <c r="AY1082" s="221"/>
      <c r="AZ1082" s="481"/>
      <c r="BA1082" s="481"/>
      <c r="BB1082" s="481"/>
      <c r="BC1082" s="481"/>
      <c r="BD1082" s="163">
        <f t="shared" si="728"/>
        <v>268.95</v>
      </c>
      <c r="BE1082" s="163">
        <f t="shared" si="727"/>
        <v>341.06</v>
      </c>
      <c r="BF1082" s="163">
        <f t="shared" si="721"/>
        <v>19440.419999999998</v>
      </c>
    </row>
    <row r="1083" spans="1:59" s="62" customFormat="1" ht="45">
      <c r="A1083" s="23" t="s">
        <v>3067</v>
      </c>
      <c r="B1083" s="24" t="s">
        <v>3344</v>
      </c>
      <c r="C1083" s="23" t="s">
        <v>2425</v>
      </c>
      <c r="D1083" s="25" t="s">
        <v>3049</v>
      </c>
      <c r="E1083" s="25" t="s">
        <v>17</v>
      </c>
      <c r="F1083" s="26">
        <v>38</v>
      </c>
      <c r="G1083" s="26">
        <f t="shared" si="696"/>
        <v>303.94299999999998</v>
      </c>
      <c r="H1083" s="26">
        <f>ROUND(G1083*(1+$J$14),2)</f>
        <v>385.43</v>
      </c>
      <c r="I1083" s="26">
        <f t="shared" ref="I1083" si="731">ROUND(H1083*F1083,2)</f>
        <v>14646.34</v>
      </c>
      <c r="J1083" s="64">
        <f>'COMPOSIÇÃO DE CUSTOS'!G1668</f>
        <v>352.53</v>
      </c>
      <c r="K1083" s="362">
        <v>357.58</v>
      </c>
      <c r="L1083" s="362">
        <f t="shared" si="698"/>
        <v>11549.833999999999</v>
      </c>
      <c r="M1083" s="64"/>
      <c r="N1083" s="65"/>
      <c r="AY1083" s="221"/>
      <c r="AZ1083" s="481"/>
      <c r="BA1083" s="481"/>
      <c r="BB1083" s="481"/>
      <c r="BC1083" s="481"/>
      <c r="BD1083" s="163">
        <f t="shared" si="728"/>
        <v>338.6</v>
      </c>
      <c r="BE1083" s="163">
        <f t="shared" si="727"/>
        <v>429.38</v>
      </c>
      <c r="BF1083" s="163">
        <f t="shared" si="721"/>
        <v>16316.44</v>
      </c>
    </row>
    <row r="1084" spans="1:59" s="62" customFormat="1">
      <c r="A1084" s="23" t="s">
        <v>3068</v>
      </c>
      <c r="B1084" s="24">
        <v>11509</v>
      </c>
      <c r="C1084" s="23" t="s">
        <v>2523</v>
      </c>
      <c r="D1084" s="25" t="s">
        <v>44</v>
      </c>
      <c r="E1084" s="25" t="s">
        <v>45</v>
      </c>
      <c r="F1084" s="26">
        <f>21+28+28+30+31.5</f>
        <v>138.5</v>
      </c>
      <c r="G1084" s="26">
        <f t="shared" si="696"/>
        <v>41.411999999999999</v>
      </c>
      <c r="H1084" s="26">
        <f>ROUND(G1084*(1+$J$14),2)</f>
        <v>52.51</v>
      </c>
      <c r="I1084" s="26">
        <f t="shared" ref="I1084" si="732">ROUND(H1084*F1084,2)</f>
        <v>7272.64</v>
      </c>
      <c r="J1084" s="64">
        <f>'COMPOSIÇÃO DE CUSTOS'!G2257</f>
        <v>41.42</v>
      </c>
      <c r="K1084" s="362">
        <v>48.72</v>
      </c>
      <c r="L1084" s="362">
        <f t="shared" si="698"/>
        <v>5735.5619999999999</v>
      </c>
      <c r="M1084" s="64"/>
      <c r="N1084" s="65"/>
      <c r="AY1084" s="221"/>
      <c r="AZ1084" s="481"/>
      <c r="BA1084" s="481"/>
      <c r="BB1084" s="481"/>
      <c r="BC1084" s="481"/>
      <c r="BD1084" s="163">
        <f t="shared" si="728"/>
        <v>46.13</v>
      </c>
      <c r="BE1084" s="163">
        <f t="shared" si="727"/>
        <v>58.5</v>
      </c>
      <c r="BF1084" s="163">
        <f t="shared" si="721"/>
        <v>8102.25</v>
      </c>
    </row>
    <row r="1085" spans="1:59" s="62" customFormat="1">
      <c r="A1085" s="356" t="s">
        <v>1452</v>
      </c>
      <c r="B1085" s="356"/>
      <c r="C1085" s="356" t="s">
        <v>327</v>
      </c>
      <c r="D1085" s="357"/>
      <c r="E1085" s="357"/>
      <c r="F1085" s="357"/>
      <c r="G1085" s="26"/>
      <c r="H1085" s="357"/>
      <c r="I1085" s="96"/>
      <c r="J1085" s="65"/>
      <c r="K1085" s="362"/>
      <c r="L1085" s="362">
        <f t="shared" si="698"/>
        <v>0</v>
      </c>
      <c r="M1085" s="65"/>
      <c r="N1085" s="65"/>
      <c r="AY1085" s="221"/>
      <c r="AZ1085" s="481"/>
      <c r="BA1085" s="481"/>
      <c r="BB1085" s="481"/>
      <c r="BC1085" s="481"/>
      <c r="BD1085" s="163"/>
      <c r="BE1085" s="163"/>
      <c r="BF1085" s="163"/>
    </row>
    <row r="1086" spans="1:59" s="62" customFormat="1" ht="76.5" customHeight="1">
      <c r="A1086" s="23" t="s">
        <v>1453</v>
      </c>
      <c r="B1086" s="24">
        <v>91787</v>
      </c>
      <c r="C1086" s="23" t="s">
        <v>1739</v>
      </c>
      <c r="D1086" s="25" t="s">
        <v>12</v>
      </c>
      <c r="E1086" s="25" t="s">
        <v>52</v>
      </c>
      <c r="F1086" s="26">
        <v>106</v>
      </c>
      <c r="G1086" s="26">
        <f t="shared" si="696"/>
        <v>25.771999999999998</v>
      </c>
      <c r="H1086" s="26">
        <f>ROUND(G1086*(1+$J$14),2)</f>
        <v>32.68</v>
      </c>
      <c r="I1086" s="26">
        <f t="shared" ref="I1086:I1088" si="733">ROUND(H1086*F1086,2)</f>
        <v>3464.08</v>
      </c>
      <c r="J1086" s="64" t="e">
        <f>IF(B1086&lt;&gt;0,VLOOKUP(B1086,#REF!,4,FALSE),"")</f>
        <v>#REF!</v>
      </c>
      <c r="K1086" s="362" t="s">
        <v>3275</v>
      </c>
      <c r="L1086" s="362">
        <f t="shared" si="698"/>
        <v>2731.8319999999999</v>
      </c>
      <c r="M1086" s="64"/>
      <c r="N1086" s="65" t="e">
        <f>IF(B1086&lt;&gt;0,VLOOKUP(B1086,#REF!,2,FALSE),"")</f>
        <v>#REF!</v>
      </c>
      <c r="AY1086" s="221"/>
      <c r="AZ1086" s="481"/>
      <c r="BA1086" s="481"/>
      <c r="BB1086" s="481"/>
      <c r="BC1086" s="481"/>
      <c r="BD1086" s="163">
        <f t="shared" si="728"/>
        <v>28.71</v>
      </c>
      <c r="BE1086" s="163">
        <f t="shared" si="727"/>
        <v>36.409999999999997</v>
      </c>
      <c r="BF1086" s="163">
        <f>ROUND(BE1086*F1086,2)</f>
        <v>3859.46</v>
      </c>
    </row>
    <row r="1087" spans="1:59" s="62" customFormat="1" ht="84.75" customHeight="1">
      <c r="A1087" s="23" t="s">
        <v>1454</v>
      </c>
      <c r="B1087" s="24">
        <v>91786</v>
      </c>
      <c r="C1087" s="23" t="s">
        <v>1740</v>
      </c>
      <c r="D1087" s="25" t="s">
        <v>12</v>
      </c>
      <c r="E1087" s="25" t="s">
        <v>52</v>
      </c>
      <c r="F1087" s="26">
        <v>283</v>
      </c>
      <c r="G1087" s="26">
        <f t="shared" si="696"/>
        <v>21.173500000000001</v>
      </c>
      <c r="H1087" s="26">
        <f>ROUND(G1087*(1+$J$14),2)</f>
        <v>26.85</v>
      </c>
      <c r="I1087" s="26">
        <f t="shared" si="733"/>
        <v>7598.55</v>
      </c>
      <c r="J1087" s="64" t="e">
        <f>IF(B1087&lt;&gt;0,VLOOKUP(B1087,#REF!,4,FALSE),"")</f>
        <v>#REF!</v>
      </c>
      <c r="K1087" s="362" t="s">
        <v>1889</v>
      </c>
      <c r="L1087" s="362">
        <f t="shared" si="698"/>
        <v>5992.1005000000005</v>
      </c>
      <c r="M1087" s="64"/>
      <c r="N1087" s="65" t="e">
        <f>IF(B1087&lt;&gt;0,VLOOKUP(B1087,#REF!,2,FALSE),"")</f>
        <v>#REF!</v>
      </c>
      <c r="AY1087" s="221"/>
      <c r="AZ1087" s="481"/>
      <c r="BA1087" s="481"/>
      <c r="BB1087" s="481"/>
      <c r="BC1087" s="481"/>
      <c r="BD1087" s="163">
        <f t="shared" si="728"/>
        <v>23.59</v>
      </c>
      <c r="BE1087" s="163">
        <f t="shared" si="727"/>
        <v>29.91</v>
      </c>
      <c r="BF1087" s="163">
        <f>ROUND(BE1087*F1087,2)</f>
        <v>8464.5300000000007</v>
      </c>
    </row>
    <row r="1088" spans="1:59" s="62" customFormat="1" ht="45">
      <c r="A1088" s="41" t="s">
        <v>3741</v>
      </c>
      <c r="B1088" s="24">
        <v>97883</v>
      </c>
      <c r="C1088" s="470" t="s">
        <v>3634</v>
      </c>
      <c r="D1088" s="25" t="s">
        <v>12</v>
      </c>
      <c r="E1088" s="25" t="s">
        <v>17</v>
      </c>
      <c r="F1088" s="26">
        <v>12</v>
      </c>
      <c r="G1088" s="26">
        <f t="shared" si="696"/>
        <v>254.422</v>
      </c>
      <c r="H1088" s="26">
        <f>ROUND(G1088*(1+$J$14),2)</f>
        <v>322.63</v>
      </c>
      <c r="I1088" s="26">
        <f t="shared" si="733"/>
        <v>3871.56</v>
      </c>
      <c r="J1088" s="64" t="e">
        <f>J1045</f>
        <v>#REF!</v>
      </c>
      <c r="K1088" s="362" t="s">
        <v>3241</v>
      </c>
      <c r="L1088" s="362">
        <f t="shared" si="698"/>
        <v>3053.0639999999999</v>
      </c>
      <c r="M1088" s="64"/>
      <c r="N1088" s="65" t="e">
        <f>IF(B1088&lt;&gt;0,VLOOKUP(B1088,#REF!,2,FALSE),"")</f>
        <v>#REF!</v>
      </c>
      <c r="AY1088" s="221"/>
      <c r="AZ1088" s="481"/>
      <c r="BA1088" s="481"/>
      <c r="BB1088" s="481"/>
      <c r="BC1088" s="481"/>
      <c r="BD1088" s="163">
        <f t="shared" si="728"/>
        <v>283.43</v>
      </c>
      <c r="BE1088" s="163">
        <f t="shared" si="727"/>
        <v>359.42</v>
      </c>
      <c r="BF1088" s="163">
        <f>ROUND(BE1088*F1088,2)</f>
        <v>4313.04</v>
      </c>
    </row>
    <row r="1089" spans="1:59" s="62" customFormat="1" ht="15" customHeight="1">
      <c r="A1089" s="356" t="s">
        <v>1456</v>
      </c>
      <c r="B1089" s="356"/>
      <c r="C1089" s="356" t="s">
        <v>328</v>
      </c>
      <c r="D1089" s="357"/>
      <c r="E1089" s="357"/>
      <c r="F1089" s="357"/>
      <c r="G1089" s="26"/>
      <c r="H1089" s="357"/>
      <c r="I1089" s="96"/>
      <c r="J1089" s="65"/>
      <c r="K1089" s="362"/>
      <c r="L1089" s="362"/>
      <c r="M1089" s="65"/>
      <c r="N1089" s="65"/>
      <c r="AY1089" s="221"/>
      <c r="AZ1089" s="481"/>
      <c r="BA1089" s="481"/>
      <c r="BB1089" s="481"/>
      <c r="BC1089" s="481"/>
      <c r="BD1089" s="163"/>
      <c r="BE1089" s="163"/>
      <c r="BF1089" s="163"/>
    </row>
    <row r="1090" spans="1:59" s="62" customFormat="1" ht="45">
      <c r="A1090" s="23" t="s">
        <v>1457</v>
      </c>
      <c r="B1090" s="25" t="s">
        <v>2518</v>
      </c>
      <c r="C1090" s="23" t="s">
        <v>329</v>
      </c>
      <c r="D1090" s="25" t="s">
        <v>70</v>
      </c>
      <c r="E1090" s="25" t="s">
        <v>52</v>
      </c>
      <c r="F1090" s="26">
        <v>120</v>
      </c>
      <c r="G1090" s="26">
        <f t="shared" si="696"/>
        <v>73.907499999999999</v>
      </c>
      <c r="H1090" s="26">
        <f t="shared" ref="H1090:H1097" si="734">ROUND(G1090*(1+$J$14),2)</f>
        <v>93.72</v>
      </c>
      <c r="I1090" s="26">
        <f t="shared" ref="I1090" si="735">ROUND(H1090*F1090,2)</f>
        <v>11246.4</v>
      </c>
      <c r="J1090" s="64">
        <f>'COMPOSIÇÃO DE CUSTOS'!G1680</f>
        <v>73.91</v>
      </c>
      <c r="K1090" s="362">
        <v>86.95</v>
      </c>
      <c r="L1090" s="362">
        <f t="shared" si="698"/>
        <v>8868.9</v>
      </c>
      <c r="M1090" s="64"/>
      <c r="N1090" s="65"/>
      <c r="AY1090" s="221"/>
      <c r="AZ1090" s="481"/>
      <c r="BA1090" s="481"/>
      <c r="BB1090" s="481"/>
      <c r="BC1090" s="481"/>
      <c r="BD1090" s="163">
        <f t="shared" si="728"/>
        <v>82.33</v>
      </c>
      <c r="BE1090" s="163">
        <f t="shared" si="727"/>
        <v>104.4</v>
      </c>
      <c r="BF1090" s="163">
        <f t="shared" ref="BF1090:BF1097" si="736">ROUND(BE1090*F1090,2)</f>
        <v>12528</v>
      </c>
    </row>
    <row r="1091" spans="1:59" s="62" customFormat="1" ht="48.75" customHeight="1">
      <c r="A1091" s="23" t="s">
        <v>1458</v>
      </c>
      <c r="B1091" s="24">
        <v>97329</v>
      </c>
      <c r="C1091" s="23" t="s">
        <v>330</v>
      </c>
      <c r="D1091" s="25" t="s">
        <v>12</v>
      </c>
      <c r="E1091" s="25" t="s">
        <v>52</v>
      </c>
      <c r="F1091" s="26">
        <v>217</v>
      </c>
      <c r="G1091" s="26">
        <f t="shared" si="696"/>
        <v>53.260999999999996</v>
      </c>
      <c r="H1091" s="26">
        <f t="shared" si="734"/>
        <v>67.540000000000006</v>
      </c>
      <c r="I1091" s="26">
        <f t="shared" ref="I1091" si="737">ROUND(H1091*F1091,2)</f>
        <v>14656.18</v>
      </c>
      <c r="J1091" s="64" t="e">
        <f>IF(B1091&lt;&gt;0,VLOOKUP(B1091,#REF!,4,FALSE),"")</f>
        <v>#REF!</v>
      </c>
      <c r="K1091" s="362" t="s">
        <v>3280</v>
      </c>
      <c r="L1091" s="362">
        <f t="shared" si="698"/>
        <v>11557.636999999999</v>
      </c>
      <c r="M1091" s="64"/>
      <c r="N1091" s="65" t="e">
        <f>IF(B1091&lt;&gt;0,VLOOKUP(B1091,#REF!,2,FALSE),"")</f>
        <v>#REF!</v>
      </c>
      <c r="AY1091" s="221"/>
      <c r="AZ1091" s="481"/>
      <c r="BA1091" s="481"/>
      <c r="BB1091" s="481"/>
      <c r="BC1091" s="481"/>
      <c r="BD1091" s="163">
        <f t="shared" si="728"/>
        <v>59.33</v>
      </c>
      <c r="BE1091" s="163">
        <f t="shared" si="727"/>
        <v>75.239999999999995</v>
      </c>
      <c r="BF1091" s="163">
        <f t="shared" si="736"/>
        <v>16327.08</v>
      </c>
    </row>
    <row r="1092" spans="1:59" s="62" customFormat="1" ht="52.5" customHeight="1">
      <c r="A1092" s="23" t="s">
        <v>1459</v>
      </c>
      <c r="B1092" s="24">
        <v>97327</v>
      </c>
      <c r="C1092" s="23" t="s">
        <v>331</v>
      </c>
      <c r="D1092" s="25" t="s">
        <v>12</v>
      </c>
      <c r="E1092" s="25" t="s">
        <v>52</v>
      </c>
      <c r="F1092" s="26">
        <v>42</v>
      </c>
      <c r="G1092" s="26">
        <f t="shared" si="696"/>
        <v>24.055</v>
      </c>
      <c r="H1092" s="26">
        <f t="shared" si="734"/>
        <v>30.5</v>
      </c>
      <c r="I1092" s="26">
        <f t="shared" ref="I1092" si="738">ROUND(H1092*F1092,2)</f>
        <v>1281</v>
      </c>
      <c r="J1092" s="64" t="e">
        <f>IF(B1092&lt;&gt;0,VLOOKUP(B1092,#REF!,4,FALSE),"")</f>
        <v>#REF!</v>
      </c>
      <c r="K1092" s="362" t="s">
        <v>3032</v>
      </c>
      <c r="L1092" s="362">
        <f t="shared" si="698"/>
        <v>1010.31</v>
      </c>
      <c r="M1092" s="64"/>
      <c r="N1092" s="65" t="e">
        <f>IF(B1092&lt;&gt;0,VLOOKUP(B1092,#REF!,2,FALSE),"")</f>
        <v>#REF!</v>
      </c>
      <c r="AY1092" s="221"/>
      <c r="AZ1092" s="481"/>
      <c r="BA1092" s="481"/>
      <c r="BB1092" s="481"/>
      <c r="BC1092" s="481"/>
      <c r="BD1092" s="163">
        <f t="shared" si="728"/>
        <v>26.8</v>
      </c>
      <c r="BE1092" s="163">
        <f t="shared" si="727"/>
        <v>33.99</v>
      </c>
      <c r="BF1092" s="163">
        <f t="shared" si="736"/>
        <v>1427.58</v>
      </c>
    </row>
    <row r="1093" spans="1:59" s="62" customFormat="1" ht="45">
      <c r="A1093" s="23" t="s">
        <v>1460</v>
      </c>
      <c r="B1093" s="25" t="s">
        <v>2427</v>
      </c>
      <c r="C1093" s="23" t="s">
        <v>332</v>
      </c>
      <c r="D1093" s="25" t="s">
        <v>70</v>
      </c>
      <c r="E1093" s="25" t="s">
        <v>52</v>
      </c>
      <c r="F1093" s="26">
        <v>51</v>
      </c>
      <c r="G1093" s="26">
        <f t="shared" si="696"/>
        <v>76.015500000000003</v>
      </c>
      <c r="H1093" s="26">
        <f t="shared" si="734"/>
        <v>96.4</v>
      </c>
      <c r="I1093" s="26">
        <f t="shared" ref="I1093" si="739">ROUND(H1093*F1093,2)</f>
        <v>4916.3999999999996</v>
      </c>
      <c r="J1093" s="64">
        <f>'COMPOSIÇÃO DE CUSTOS'!G1692</f>
        <v>76.02</v>
      </c>
      <c r="K1093" s="362">
        <v>89.43</v>
      </c>
      <c r="L1093" s="362">
        <f t="shared" si="698"/>
        <v>3876.7905000000001</v>
      </c>
      <c r="M1093" s="64"/>
      <c r="N1093" s="65"/>
      <c r="AY1093" s="221"/>
      <c r="AZ1093" s="481"/>
      <c r="BA1093" s="481"/>
      <c r="BB1093" s="481"/>
      <c r="BC1093" s="481"/>
      <c r="BD1093" s="163">
        <f t="shared" si="728"/>
        <v>84.68</v>
      </c>
      <c r="BE1093" s="163">
        <f t="shared" si="727"/>
        <v>107.38</v>
      </c>
      <c r="BF1093" s="163">
        <f t="shared" si="736"/>
        <v>5476.38</v>
      </c>
    </row>
    <row r="1094" spans="1:59" s="34" customFormat="1" ht="53.25" customHeight="1">
      <c r="A1094" s="471" t="s">
        <v>1461</v>
      </c>
      <c r="B1094" s="475">
        <v>97330</v>
      </c>
      <c r="C1094" s="471" t="s">
        <v>333</v>
      </c>
      <c r="D1094" s="472" t="s">
        <v>12</v>
      </c>
      <c r="E1094" s="472" t="s">
        <v>52</v>
      </c>
      <c r="F1094" s="473">
        <v>351</v>
      </c>
      <c r="G1094" s="473">
        <f t="shared" si="696"/>
        <v>65.084499999999991</v>
      </c>
      <c r="H1094" s="473">
        <f t="shared" si="734"/>
        <v>82.53</v>
      </c>
      <c r="I1094" s="473">
        <f t="shared" ref="I1094:I1095" si="740">ROUND(H1094*F1094,2)</f>
        <v>28968.03</v>
      </c>
      <c r="J1094" s="474" t="e">
        <f>IF(B1094&lt;&gt;0,VLOOKUP(B1094,#REF!,4,FALSE),"")</f>
        <v>#REF!</v>
      </c>
      <c r="K1094" s="378" t="s">
        <v>3281</v>
      </c>
      <c r="L1094" s="378">
        <f t="shared" si="698"/>
        <v>22844.659499999998</v>
      </c>
      <c r="M1094" s="474"/>
      <c r="N1094" s="47" t="e">
        <f>IF(B1094&lt;&gt;0,VLOOKUP(B1094,#REF!,2,FALSE),"")</f>
        <v>#REF!</v>
      </c>
      <c r="AY1094" s="577"/>
      <c r="AZ1094" s="502"/>
      <c r="BA1094" s="502"/>
      <c r="BB1094" s="502"/>
      <c r="BC1094" s="502"/>
      <c r="BD1094" s="523">
        <f>BG1094</f>
        <v>72.5</v>
      </c>
      <c r="BE1094" s="523">
        <f>ROUND(BD1094*(1+$J$14),2)</f>
        <v>91.94</v>
      </c>
      <c r="BF1094" s="523">
        <f t="shared" si="736"/>
        <v>32270.94</v>
      </c>
      <c r="BG1094" s="34">
        <f>ROUND(G1094*$BH$19,2)</f>
        <v>72.5</v>
      </c>
    </row>
    <row r="1095" spans="1:59" s="34" customFormat="1" ht="54" customHeight="1">
      <c r="A1095" s="471" t="s">
        <v>1462</v>
      </c>
      <c r="B1095" s="475">
        <v>97328</v>
      </c>
      <c r="C1095" s="471" t="s">
        <v>334</v>
      </c>
      <c r="D1095" s="472" t="s">
        <v>12</v>
      </c>
      <c r="E1095" s="472" t="s">
        <v>52</v>
      </c>
      <c r="F1095" s="473">
        <v>363</v>
      </c>
      <c r="G1095" s="473">
        <f t="shared" si="696"/>
        <v>42.601999999999997</v>
      </c>
      <c r="H1095" s="473">
        <f t="shared" si="734"/>
        <v>54.02</v>
      </c>
      <c r="I1095" s="473">
        <f t="shared" si="740"/>
        <v>19609.259999999998</v>
      </c>
      <c r="J1095" s="474" t="e">
        <f>IF(B1095&lt;&gt;0,VLOOKUP(B1095,#REF!,4,FALSE),"")</f>
        <v>#REF!</v>
      </c>
      <c r="K1095" s="378" t="s">
        <v>3040</v>
      </c>
      <c r="L1095" s="378">
        <f t="shared" si="698"/>
        <v>15464.525999999998</v>
      </c>
      <c r="M1095" s="474"/>
      <c r="N1095" s="47" t="e">
        <f>IF(B1095&lt;&gt;0,VLOOKUP(B1095,#REF!,2,FALSE),"")</f>
        <v>#REF!</v>
      </c>
      <c r="AY1095" s="577"/>
      <c r="AZ1095" s="502"/>
      <c r="BA1095" s="502"/>
      <c r="BB1095" s="502"/>
      <c r="BC1095" s="502"/>
      <c r="BD1095" s="523">
        <f>BG1095</f>
        <v>47.46</v>
      </c>
      <c r="BE1095" s="523">
        <f>ROUND(BD1095*(1+$J$14),2)</f>
        <v>60.18</v>
      </c>
      <c r="BF1095" s="523">
        <f t="shared" si="736"/>
        <v>21845.34</v>
      </c>
      <c r="BG1095" s="34">
        <f>ROUND(G1095*$BH$19,2)</f>
        <v>47.46</v>
      </c>
    </row>
    <row r="1096" spans="1:59" s="62" customFormat="1" ht="45">
      <c r="A1096" s="23" t="s">
        <v>1463</v>
      </c>
      <c r="B1096" s="25" t="s">
        <v>1941</v>
      </c>
      <c r="C1096" s="23" t="s">
        <v>335</v>
      </c>
      <c r="D1096" s="25" t="s">
        <v>70</v>
      </c>
      <c r="E1096" s="25" t="s">
        <v>52</v>
      </c>
      <c r="F1096" s="26">
        <v>46</v>
      </c>
      <c r="G1096" s="26">
        <f t="shared" si="696"/>
        <v>71.536000000000001</v>
      </c>
      <c r="H1096" s="26">
        <f t="shared" si="734"/>
        <v>90.71</v>
      </c>
      <c r="I1096" s="26">
        <f t="shared" ref="I1096" si="741">ROUND(H1096*F1096,2)</f>
        <v>4172.66</v>
      </c>
      <c r="J1096" s="64">
        <f>'COMPOSIÇÃO DE CUSTOS'!G1915</f>
        <v>71.540000000000006</v>
      </c>
      <c r="K1096" s="362">
        <v>84.16</v>
      </c>
      <c r="L1096" s="362">
        <f t="shared" si="698"/>
        <v>3290.6559999999999</v>
      </c>
      <c r="M1096" s="64"/>
      <c r="N1096" s="65"/>
      <c r="AY1096" s="221"/>
      <c r="AZ1096" s="481"/>
      <c r="BA1096" s="481"/>
      <c r="BB1096" s="481"/>
      <c r="BC1096" s="481"/>
      <c r="BD1096" s="163">
        <f t="shared" ref="BD1096:BD1097" si="742">ROUND(G1096*$BH$19,2)</f>
        <v>79.69</v>
      </c>
      <c r="BE1096" s="163">
        <f t="shared" ref="BE1096:BE1097" si="743">ROUND(BD1096*(1+$J$14),2)</f>
        <v>101.05</v>
      </c>
      <c r="BF1096" s="163">
        <f t="shared" si="736"/>
        <v>4648.3</v>
      </c>
    </row>
    <row r="1097" spans="1:59" s="62" customFormat="1" ht="45">
      <c r="A1097" s="23" t="s">
        <v>1464</v>
      </c>
      <c r="B1097" s="25" t="s">
        <v>2426</v>
      </c>
      <c r="C1097" s="23" t="s">
        <v>336</v>
      </c>
      <c r="D1097" s="25" t="s">
        <v>70</v>
      </c>
      <c r="E1097" s="25" t="s">
        <v>52</v>
      </c>
      <c r="F1097" s="26">
        <v>66</v>
      </c>
      <c r="G1097" s="26">
        <f t="shared" si="696"/>
        <v>65.526499999999999</v>
      </c>
      <c r="H1097" s="26">
        <f t="shared" si="734"/>
        <v>83.09</v>
      </c>
      <c r="I1097" s="26">
        <f t="shared" ref="I1097" si="744">ROUND(H1097*F1097,2)</f>
        <v>5483.94</v>
      </c>
      <c r="J1097" s="64">
        <f>'COMPOSIÇÃO DE CUSTOS'!G1704</f>
        <v>65.53</v>
      </c>
      <c r="K1097" s="362">
        <v>77.09</v>
      </c>
      <c r="L1097" s="362">
        <f t="shared" si="698"/>
        <v>4324.7489999999998</v>
      </c>
      <c r="M1097" s="64"/>
      <c r="N1097" s="65"/>
      <c r="AY1097" s="221"/>
      <c r="AZ1097" s="481"/>
      <c r="BA1097" s="481"/>
      <c r="BB1097" s="481"/>
      <c r="BC1097" s="481"/>
      <c r="BD1097" s="163">
        <f t="shared" si="742"/>
        <v>73</v>
      </c>
      <c r="BE1097" s="163">
        <f t="shared" si="743"/>
        <v>92.57</v>
      </c>
      <c r="BF1097" s="163">
        <f t="shared" si="736"/>
        <v>6109.62</v>
      </c>
    </row>
    <row r="1098" spans="1:59" s="62" customFormat="1" ht="15" customHeight="1">
      <c r="A1098" s="356" t="s">
        <v>1465</v>
      </c>
      <c r="B1098" s="356"/>
      <c r="C1098" s="356" t="s">
        <v>2367</v>
      </c>
      <c r="D1098" s="357"/>
      <c r="E1098" s="357"/>
      <c r="F1098" s="357"/>
      <c r="G1098" s="26"/>
      <c r="H1098" s="357"/>
      <c r="I1098" s="96"/>
      <c r="J1098" s="65"/>
      <c r="K1098" s="362"/>
      <c r="L1098" s="362">
        <f t="shared" si="698"/>
        <v>0</v>
      </c>
      <c r="M1098" s="65"/>
      <c r="N1098" s="65"/>
      <c r="AY1098" s="221"/>
      <c r="AZ1098" s="481"/>
      <c r="BA1098" s="481"/>
      <c r="BB1098" s="481"/>
      <c r="BC1098" s="481"/>
      <c r="BD1098" s="481"/>
      <c r="BE1098" s="481"/>
      <c r="BF1098" s="481"/>
    </row>
    <row r="1099" spans="1:59" s="34" customFormat="1" ht="76.5" customHeight="1">
      <c r="A1099" s="471" t="s">
        <v>1466</v>
      </c>
      <c r="B1099" s="475">
        <v>9744</v>
      </c>
      <c r="C1099" s="471" t="s">
        <v>3024</v>
      </c>
      <c r="D1099" s="472" t="s">
        <v>44</v>
      </c>
      <c r="E1099" s="472" t="s">
        <v>17</v>
      </c>
      <c r="F1099" s="473">
        <v>2</v>
      </c>
      <c r="G1099" s="473">
        <f t="shared" si="696"/>
        <v>80750</v>
      </c>
      <c r="H1099" s="473">
        <f>ROUND(G1099*(1+$J$14),2)</f>
        <v>102399.08</v>
      </c>
      <c r="I1099" s="473">
        <f t="shared" ref="I1099" si="745">ROUND(H1099*F1099,2)</f>
        <v>204798.16</v>
      </c>
      <c r="J1099" s="474">
        <f>'COMPOSIÇÃO DE CUSTOS'!G2155</f>
        <v>80750</v>
      </c>
      <c r="K1099" s="378">
        <v>95000</v>
      </c>
      <c r="L1099" s="378">
        <f t="shared" si="698"/>
        <v>161500</v>
      </c>
      <c r="M1099" s="474"/>
      <c r="N1099" s="47"/>
      <c r="AY1099" s="577"/>
      <c r="AZ1099" s="502"/>
      <c r="BA1099" s="502"/>
      <c r="BB1099" s="502"/>
      <c r="BC1099" s="502"/>
      <c r="BD1099" s="523">
        <f>BG1099</f>
        <v>182678.16</v>
      </c>
      <c r="BE1099" s="523">
        <f>ROUND(BD1099*(1+$J$14),2)</f>
        <v>231654.17</v>
      </c>
      <c r="BF1099" s="523">
        <f>ROUND(BE1099*F1099,2)</f>
        <v>463308.34</v>
      </c>
      <c r="BG1099" s="47">
        <f>'COMPOSIÇÃO AB'!G761</f>
        <v>182678.16</v>
      </c>
    </row>
    <row r="1100" spans="1:59" ht="33.75" customHeight="1">
      <c r="A1100" s="23"/>
      <c r="B1100" s="25"/>
      <c r="C1100" s="23"/>
      <c r="D1100" s="25"/>
      <c r="E1100" s="25"/>
      <c r="F1100" s="26"/>
      <c r="G1100" s="26"/>
      <c r="H1100" s="26"/>
      <c r="I1100" s="26"/>
      <c r="L1100" s="362">
        <f t="shared" si="698"/>
        <v>0</v>
      </c>
      <c r="AY1100" s="21"/>
      <c r="AZ1100" s="481"/>
      <c r="BA1100" s="481"/>
      <c r="BB1100" s="481"/>
      <c r="BC1100" s="481"/>
      <c r="BD1100" s="481"/>
      <c r="BE1100" s="481"/>
      <c r="BF1100" s="481"/>
    </row>
    <row r="1101" spans="1:59" s="45" customFormat="1">
      <c r="A1101" s="356" t="s">
        <v>1467</v>
      </c>
      <c r="B1101" s="356"/>
      <c r="C1101" s="356" t="s">
        <v>338</v>
      </c>
      <c r="D1101" s="357"/>
      <c r="E1101" s="357"/>
      <c r="F1101" s="357"/>
      <c r="G1101" s="26"/>
      <c r="H1101" s="357"/>
      <c r="I1101" s="96">
        <f>ROUND(SUM(I1102:I1112),2)</f>
        <v>145979.82</v>
      </c>
      <c r="K1101" s="381"/>
      <c r="L1101" s="362">
        <f t="shared" si="698"/>
        <v>0</v>
      </c>
      <c r="AY1101" s="56"/>
      <c r="AZ1101" s="481"/>
      <c r="BA1101" s="481"/>
      <c r="BB1101" s="481"/>
      <c r="BC1101" s="481"/>
      <c r="BD1101" s="481"/>
      <c r="BE1101" s="481"/>
      <c r="BF1101" s="96">
        <f>ROUND(SUM(BF1102:BF1112),2)</f>
        <v>159529.14000000001</v>
      </c>
    </row>
    <row r="1102" spans="1:59" s="34" customFormat="1" ht="30">
      <c r="A1102" s="471" t="s">
        <v>1468</v>
      </c>
      <c r="B1102" s="475">
        <v>88497</v>
      </c>
      <c r="C1102" s="471" t="s">
        <v>1741</v>
      </c>
      <c r="D1102" s="472" t="s">
        <v>12</v>
      </c>
      <c r="E1102" s="472" t="s">
        <v>26</v>
      </c>
      <c r="F1102" s="473">
        <v>2571.2865000000002</v>
      </c>
      <c r="G1102" s="473">
        <f t="shared" si="696"/>
        <v>9.7070000000000007</v>
      </c>
      <c r="H1102" s="473">
        <f t="shared" ref="H1102:H1112" si="746">ROUND(G1102*(1+$J$14),2)</f>
        <v>12.31</v>
      </c>
      <c r="I1102" s="473">
        <f>ROUND(H1102*F1102,2)</f>
        <v>31652.54</v>
      </c>
      <c r="J1102" s="34" t="e">
        <f>IF(B1102&lt;&gt;0,VLOOKUP(B1102,#REF!,4,FALSE),"")</f>
        <v>#REF!</v>
      </c>
      <c r="K1102" s="476" t="s">
        <v>3133</v>
      </c>
      <c r="L1102" s="378">
        <f t="shared" si="698"/>
        <v>24959.478055500003</v>
      </c>
      <c r="N1102" s="34" t="e">
        <f>IF(B1102&lt;&gt;0,VLOOKUP(B1102,#REF!,2,FALSE),"")</f>
        <v>#REF!</v>
      </c>
      <c r="AY1102" s="577"/>
      <c r="AZ1102" s="502"/>
      <c r="BA1102" s="502"/>
      <c r="BB1102" s="502"/>
      <c r="BC1102" s="502"/>
      <c r="BD1102" s="523">
        <f>BG1102</f>
        <v>10.210000000000001</v>
      </c>
      <c r="BE1102" s="523">
        <f>ROUND(BD1102*(1+$J$14),2)</f>
        <v>12.95</v>
      </c>
      <c r="BF1102" s="523">
        <f t="shared" ref="BF1102:BF1112" si="747">ROUND(BE1102*F1102,2)</f>
        <v>33298.160000000003</v>
      </c>
      <c r="BG1102" s="34">
        <f>'COMPOSIÇÃO AB'!G846</f>
        <v>10.210000000000001</v>
      </c>
    </row>
    <row r="1103" spans="1:59" ht="30">
      <c r="A1103" s="23" t="s">
        <v>1469</v>
      </c>
      <c r="B1103" s="24">
        <v>88485</v>
      </c>
      <c r="C1103" s="23" t="s">
        <v>1742</v>
      </c>
      <c r="D1103" s="25" t="s">
        <v>12</v>
      </c>
      <c r="E1103" s="25" t="s">
        <v>26</v>
      </c>
      <c r="F1103" s="26">
        <v>2571.2865000000002</v>
      </c>
      <c r="G1103" s="26">
        <f t="shared" si="696"/>
        <v>1.5215000000000001</v>
      </c>
      <c r="H1103" s="26">
        <f t="shared" si="746"/>
        <v>1.93</v>
      </c>
      <c r="I1103" s="26">
        <f t="shared" ref="I1103:I1112" si="748">ROUND(H1103*F1103,2)</f>
        <v>4962.58</v>
      </c>
      <c r="J1103" s="2" t="e">
        <f>IF(B1103&lt;&gt;0,VLOOKUP(B1103,#REF!,4,FALSE),"")</f>
        <v>#REF!</v>
      </c>
      <c r="K1103" s="368" t="s">
        <v>1843</v>
      </c>
      <c r="L1103" s="362">
        <f t="shared" si="698"/>
        <v>3912.2124097500005</v>
      </c>
      <c r="N1103" s="2" t="e">
        <f>IF(B1103&lt;&gt;0,VLOOKUP(B1103,#REF!,2,FALSE),"")</f>
        <v>#REF!</v>
      </c>
      <c r="AY1103" s="21"/>
      <c r="AZ1103" s="481"/>
      <c r="BA1103" s="481"/>
      <c r="BB1103" s="481"/>
      <c r="BC1103" s="481"/>
      <c r="BD1103" s="163">
        <f t="shared" ref="BD1103" si="749">ROUND(G1103*$BH$19,2)</f>
        <v>1.69</v>
      </c>
      <c r="BE1103" s="163">
        <f t="shared" ref="BE1103:BE1112" si="750">ROUND(BD1103*(1+$J$14),2)</f>
        <v>2.14</v>
      </c>
      <c r="BF1103" s="163">
        <f t="shared" si="747"/>
        <v>5502.55</v>
      </c>
    </row>
    <row r="1104" spans="1:59" ht="30">
      <c r="A1104" s="23" t="s">
        <v>1470</v>
      </c>
      <c r="B1104" s="24">
        <v>88489</v>
      </c>
      <c r="C1104" s="23" t="s">
        <v>339</v>
      </c>
      <c r="D1104" s="25" t="s">
        <v>12</v>
      </c>
      <c r="E1104" s="25" t="s">
        <v>26</v>
      </c>
      <c r="F1104" s="26">
        <f>132.6+847.36</f>
        <v>979.96</v>
      </c>
      <c r="G1104" s="26">
        <f t="shared" si="696"/>
        <v>9.0015000000000001</v>
      </c>
      <c r="H1104" s="26">
        <f t="shared" si="746"/>
        <v>11.41</v>
      </c>
      <c r="I1104" s="26">
        <f t="shared" si="748"/>
        <v>11181.34</v>
      </c>
      <c r="J1104" s="2" t="e">
        <f>IF(B1104&lt;&gt;0,VLOOKUP(B1104,#REF!,4,FALSE),"")</f>
        <v>#REF!</v>
      </c>
      <c r="K1104" s="368" t="s">
        <v>1913</v>
      </c>
      <c r="L1104" s="362">
        <f t="shared" si="698"/>
        <v>8821.1099400000003</v>
      </c>
      <c r="N1104" s="2" t="e">
        <f>IF(B1104&lt;&gt;0,VLOOKUP(B1104,#REF!,2,FALSE),"")</f>
        <v>#REF!</v>
      </c>
      <c r="AY1104" s="21"/>
      <c r="AZ1104" s="481"/>
      <c r="BA1104" s="481"/>
      <c r="BB1104" s="481"/>
      <c r="BC1104" s="481"/>
      <c r="BD1104" s="163">
        <f t="shared" ref="BD1104:BD1108" si="751">ROUND(G1104*$BH$19,2)</f>
        <v>10.029999999999999</v>
      </c>
      <c r="BE1104" s="163">
        <f t="shared" si="750"/>
        <v>12.72</v>
      </c>
      <c r="BF1104" s="163">
        <f t="shared" si="747"/>
        <v>12465.09</v>
      </c>
    </row>
    <row r="1105" spans="1:59" ht="30">
      <c r="A1105" s="23" t="s">
        <v>1471</v>
      </c>
      <c r="B1105" s="24">
        <v>88489</v>
      </c>
      <c r="C1105" s="23" t="s">
        <v>340</v>
      </c>
      <c r="D1105" s="25" t="s">
        <v>12</v>
      </c>
      <c r="E1105" s="25" t="s">
        <v>26</v>
      </c>
      <c r="F1105" s="26">
        <v>170</v>
      </c>
      <c r="G1105" s="26">
        <f t="shared" si="696"/>
        <v>9.0015000000000001</v>
      </c>
      <c r="H1105" s="26">
        <f t="shared" si="746"/>
        <v>11.41</v>
      </c>
      <c r="I1105" s="26">
        <f t="shared" si="748"/>
        <v>1939.7</v>
      </c>
      <c r="J1105" s="2" t="e">
        <f>IF(B1105&lt;&gt;0,VLOOKUP(B1105,#REF!,4,FALSE),"")</f>
        <v>#REF!</v>
      </c>
      <c r="K1105" s="368" t="s">
        <v>1913</v>
      </c>
      <c r="L1105" s="362">
        <f t="shared" si="698"/>
        <v>1530.2550000000001</v>
      </c>
      <c r="N1105" s="2" t="e">
        <f>IF(B1105&lt;&gt;0,VLOOKUP(B1105,#REF!,2,FALSE),"")</f>
        <v>#REF!</v>
      </c>
      <c r="AY1105" s="21"/>
      <c r="AZ1105" s="481"/>
      <c r="BA1105" s="481"/>
      <c r="BB1105" s="481"/>
      <c r="BC1105" s="481"/>
      <c r="BD1105" s="163">
        <f t="shared" si="751"/>
        <v>10.029999999999999</v>
      </c>
      <c r="BE1105" s="163">
        <f t="shared" si="750"/>
        <v>12.72</v>
      </c>
      <c r="BF1105" s="163">
        <f t="shared" si="747"/>
        <v>2162.4</v>
      </c>
    </row>
    <row r="1106" spans="1:59" ht="30">
      <c r="A1106" s="23" t="s">
        <v>1472</v>
      </c>
      <c r="B1106" s="24">
        <v>88489</v>
      </c>
      <c r="C1106" s="23" t="s">
        <v>341</v>
      </c>
      <c r="D1106" s="25" t="s">
        <v>12</v>
      </c>
      <c r="E1106" s="25" t="s">
        <v>26</v>
      </c>
      <c r="F1106" s="26">
        <v>362</v>
      </c>
      <c r="G1106" s="26">
        <f t="shared" si="696"/>
        <v>9.0015000000000001</v>
      </c>
      <c r="H1106" s="26">
        <f t="shared" si="746"/>
        <v>11.41</v>
      </c>
      <c r="I1106" s="26">
        <f t="shared" si="748"/>
        <v>4130.42</v>
      </c>
      <c r="J1106" s="2" t="e">
        <f>IF(B1106&lt;&gt;0,VLOOKUP(B1106,#REF!,4,FALSE),"")</f>
        <v>#REF!</v>
      </c>
      <c r="K1106" s="368" t="s">
        <v>1913</v>
      </c>
      <c r="L1106" s="362">
        <f t="shared" si="698"/>
        <v>3258.5430000000001</v>
      </c>
      <c r="N1106" s="2" t="e">
        <f>IF(B1106&lt;&gt;0,VLOOKUP(B1106,#REF!,2,FALSE),"")</f>
        <v>#REF!</v>
      </c>
      <c r="AY1106" s="21"/>
      <c r="AZ1106" s="481"/>
      <c r="BA1106" s="481"/>
      <c r="BB1106" s="481"/>
      <c r="BC1106" s="481"/>
      <c r="BD1106" s="163">
        <f t="shared" si="751"/>
        <v>10.029999999999999</v>
      </c>
      <c r="BE1106" s="163">
        <f t="shared" si="750"/>
        <v>12.72</v>
      </c>
      <c r="BF1106" s="163">
        <f t="shared" si="747"/>
        <v>4604.6400000000003</v>
      </c>
    </row>
    <row r="1107" spans="1:59" ht="30">
      <c r="A1107" s="23" t="s">
        <v>1473</v>
      </c>
      <c r="B1107" s="24">
        <v>88489</v>
      </c>
      <c r="C1107" s="23" t="s">
        <v>342</v>
      </c>
      <c r="D1107" s="25" t="s">
        <v>12</v>
      </c>
      <c r="E1107" s="25" t="s">
        <v>26</v>
      </c>
      <c r="F1107" s="26">
        <v>307.93</v>
      </c>
      <c r="G1107" s="26">
        <f t="shared" si="696"/>
        <v>9.0015000000000001</v>
      </c>
      <c r="H1107" s="26">
        <f t="shared" si="746"/>
        <v>11.41</v>
      </c>
      <c r="I1107" s="26">
        <f t="shared" si="748"/>
        <v>3513.48</v>
      </c>
      <c r="J1107" s="2" t="e">
        <f>IF(B1107&lt;&gt;0,VLOOKUP(B1107,#REF!,4,FALSE),"")</f>
        <v>#REF!</v>
      </c>
      <c r="K1107" s="368" t="s">
        <v>1913</v>
      </c>
      <c r="L1107" s="362">
        <f t="shared" si="698"/>
        <v>2771.8318950000003</v>
      </c>
      <c r="N1107" s="2" t="e">
        <f>IF(B1107&lt;&gt;0,VLOOKUP(B1107,#REF!,2,FALSE),"")</f>
        <v>#REF!</v>
      </c>
      <c r="AY1107" s="21"/>
      <c r="AZ1107" s="481"/>
      <c r="BA1107" s="481"/>
      <c r="BB1107" s="481"/>
      <c r="BC1107" s="481"/>
      <c r="BD1107" s="163">
        <f t="shared" si="751"/>
        <v>10.029999999999999</v>
      </c>
      <c r="BE1107" s="163">
        <f t="shared" si="750"/>
        <v>12.72</v>
      </c>
      <c r="BF1107" s="163">
        <f t="shared" si="747"/>
        <v>3916.87</v>
      </c>
    </row>
    <row r="1108" spans="1:59" ht="30">
      <c r="A1108" s="23" t="s">
        <v>3441</v>
      </c>
      <c r="B1108" s="24">
        <v>88484</v>
      </c>
      <c r="C1108" s="23" t="s">
        <v>3447</v>
      </c>
      <c r="D1108" s="25" t="s">
        <v>12</v>
      </c>
      <c r="E1108" s="25" t="s">
        <v>26</v>
      </c>
      <c r="F1108" s="26">
        <f>138+1370.72</f>
        <v>1508.72</v>
      </c>
      <c r="G1108" s="26">
        <f t="shared" si="696"/>
        <v>1.768</v>
      </c>
      <c r="H1108" s="26">
        <f t="shared" si="746"/>
        <v>2.2400000000000002</v>
      </c>
      <c r="I1108" s="26">
        <f t="shared" ref="I1108:I1110" si="752">ROUND(H1108*F1108,2)</f>
        <v>3379.53</v>
      </c>
      <c r="J1108" s="2" t="e">
        <f>IF(B1108&lt;&gt;0,VLOOKUP(B1108,#REF!,4,FALSE),"")</f>
        <v>#REF!</v>
      </c>
      <c r="K1108" s="368" t="s">
        <v>3131</v>
      </c>
      <c r="L1108" s="362">
        <f t="shared" si="698"/>
        <v>2667.41696</v>
      </c>
      <c r="N1108" s="2" t="e">
        <f>IF(B1108&lt;&gt;0,VLOOKUP(B1108,#REF!,2,FALSE),"")</f>
        <v>#REF!</v>
      </c>
      <c r="AY1108" s="21"/>
      <c r="AZ1108" s="481"/>
      <c r="BA1108" s="481"/>
      <c r="BB1108" s="481"/>
      <c r="BC1108" s="481"/>
      <c r="BD1108" s="163">
        <f t="shared" si="751"/>
        <v>1.97</v>
      </c>
      <c r="BE1108" s="163">
        <f t="shared" si="750"/>
        <v>2.5</v>
      </c>
      <c r="BF1108" s="163">
        <f t="shared" si="747"/>
        <v>3771.8</v>
      </c>
    </row>
    <row r="1109" spans="1:59" s="34" customFormat="1" ht="30">
      <c r="A1109" s="471" t="s">
        <v>3442</v>
      </c>
      <c r="B1109" s="475">
        <v>88496</v>
      </c>
      <c r="C1109" s="479" t="s">
        <v>3440</v>
      </c>
      <c r="D1109" s="472" t="s">
        <v>12</v>
      </c>
      <c r="E1109" s="472" t="s">
        <v>26</v>
      </c>
      <c r="F1109" s="473">
        <f>138+1370.72</f>
        <v>1508.72</v>
      </c>
      <c r="G1109" s="473">
        <f t="shared" si="696"/>
        <v>17.025500000000001</v>
      </c>
      <c r="H1109" s="473">
        <f t="shared" si="746"/>
        <v>21.59</v>
      </c>
      <c r="I1109" s="473">
        <f t="shared" si="752"/>
        <v>32573.26</v>
      </c>
      <c r="J1109" s="34" t="e">
        <f>IF(B1109&lt;&gt;0,VLOOKUP(B1109,#REF!,4,FALSE),"")</f>
        <v>#REF!</v>
      </c>
      <c r="K1109" s="476" t="s">
        <v>3311</v>
      </c>
      <c r="L1109" s="378">
        <f t="shared" si="698"/>
        <v>25686.712360000001</v>
      </c>
      <c r="N1109" s="34" t="e">
        <f>IF(B1109&lt;&gt;0,VLOOKUP(B1109,#REF!,2,FALSE),"")</f>
        <v>#REF!</v>
      </c>
      <c r="AY1109" s="577"/>
      <c r="AZ1109" s="502"/>
      <c r="BA1109" s="502"/>
      <c r="BB1109" s="502"/>
      <c r="BC1109" s="502"/>
      <c r="BD1109" s="523">
        <f>BG1109</f>
        <v>18.37</v>
      </c>
      <c r="BE1109" s="523">
        <f>ROUND(BD1109*(1+$J$14),2)</f>
        <v>23.29</v>
      </c>
      <c r="BF1109" s="523">
        <f t="shared" si="747"/>
        <v>35138.089999999997</v>
      </c>
      <c r="BG1109" s="34">
        <f>'COMPOSIÇÃO AB'!G854</f>
        <v>18.37</v>
      </c>
    </row>
    <row r="1110" spans="1:59" ht="30">
      <c r="A1110" s="23" t="s">
        <v>3443</v>
      </c>
      <c r="B1110" s="24">
        <v>88488</v>
      </c>
      <c r="C1110" s="23" t="s">
        <v>3448</v>
      </c>
      <c r="D1110" s="25" t="s">
        <v>12</v>
      </c>
      <c r="E1110" s="25" t="s">
        <v>26</v>
      </c>
      <c r="F1110" s="26">
        <f>138+1370.72</f>
        <v>1508.72</v>
      </c>
      <c r="G1110" s="26">
        <f t="shared" si="696"/>
        <v>10.148999999999999</v>
      </c>
      <c r="H1110" s="26">
        <f t="shared" si="746"/>
        <v>12.87</v>
      </c>
      <c r="I1110" s="26">
        <f t="shared" si="752"/>
        <v>19417.23</v>
      </c>
      <c r="J1110" s="2" t="e">
        <f>IF(B1110&lt;&gt;0,VLOOKUP(B1110,#REF!,4,FALSE),"")</f>
        <v>#REF!</v>
      </c>
      <c r="K1110" s="368" t="s">
        <v>1887</v>
      </c>
      <c r="L1110" s="362">
        <f t="shared" si="698"/>
        <v>15311.999279999998</v>
      </c>
      <c r="N1110" s="2" t="e">
        <f>IF(B1110&lt;&gt;0,VLOOKUP(B1110,#REF!,2,FALSE),"")</f>
        <v>#REF!</v>
      </c>
      <c r="AY1110" s="21"/>
      <c r="AZ1110" s="481"/>
      <c r="BA1110" s="481"/>
      <c r="BB1110" s="481"/>
      <c r="BC1110" s="481"/>
      <c r="BD1110" s="163">
        <f t="shared" ref="BD1110" si="753">ROUND(G1110*$BH$19,2)</f>
        <v>11.31</v>
      </c>
      <c r="BE1110" s="163">
        <f t="shared" si="750"/>
        <v>14.34</v>
      </c>
      <c r="BF1110" s="163">
        <f t="shared" si="747"/>
        <v>21635.040000000001</v>
      </c>
    </row>
    <row r="1111" spans="1:59" ht="45">
      <c r="A1111" s="23" t="s">
        <v>3444</v>
      </c>
      <c r="B1111" s="24">
        <v>100721</v>
      </c>
      <c r="C1111" s="23" t="s">
        <v>3439</v>
      </c>
      <c r="D1111" s="25" t="s">
        <v>12</v>
      </c>
      <c r="E1111" s="25" t="s">
        <v>26</v>
      </c>
      <c r="F1111" s="26">
        <v>672.47</v>
      </c>
      <c r="G1111" s="26">
        <f t="shared" si="696"/>
        <v>14.186500000000001</v>
      </c>
      <c r="H1111" s="26">
        <f t="shared" si="746"/>
        <v>17.989999999999998</v>
      </c>
      <c r="I1111" s="26">
        <f t="shared" ref="I1111" si="754">ROUND(H1111*F1111,2)</f>
        <v>12097.74</v>
      </c>
      <c r="J1111" s="2" t="e">
        <f>IF(B1111&lt;&gt;0,VLOOKUP(B1111,#REF!,4,FALSE),"")</f>
        <v>#REF!</v>
      </c>
      <c r="K1111" s="368" t="s">
        <v>1866</v>
      </c>
      <c r="L1111" s="362">
        <f t="shared" si="698"/>
        <v>9539.9956550000006</v>
      </c>
      <c r="N1111" s="2" t="e">
        <f>IF(B1111&lt;&gt;0,VLOOKUP(B1111,#REF!,2,FALSE),"")</f>
        <v>#REF!</v>
      </c>
      <c r="AY1111" s="21"/>
      <c r="AZ1111" s="481"/>
      <c r="BA1111" s="481"/>
      <c r="BB1111" s="481"/>
      <c r="BC1111" s="481"/>
      <c r="BD1111" s="163">
        <f t="shared" ref="BD1111:BD1112" si="755">ROUND(G1111*$BH$19,2)</f>
        <v>15.8</v>
      </c>
      <c r="BE1111" s="163">
        <f t="shared" si="750"/>
        <v>20.04</v>
      </c>
      <c r="BF1111" s="163">
        <f t="shared" si="747"/>
        <v>13476.3</v>
      </c>
    </row>
    <row r="1112" spans="1:59" ht="45">
      <c r="A1112" s="23" t="s">
        <v>3445</v>
      </c>
      <c r="B1112" s="24">
        <v>88489</v>
      </c>
      <c r="C1112" s="23" t="s">
        <v>343</v>
      </c>
      <c r="D1112" s="25" t="s">
        <v>12</v>
      </c>
      <c r="E1112" s="25" t="s">
        <v>26</v>
      </c>
      <c r="F1112" s="26">
        <v>1852.06</v>
      </c>
      <c r="G1112" s="26">
        <f t="shared" ref="G1112:G1144" si="756">K1112-(K1112*$K$15)</f>
        <v>9.0015000000000001</v>
      </c>
      <c r="H1112" s="26">
        <f t="shared" si="746"/>
        <v>11.41</v>
      </c>
      <c r="I1112" s="26">
        <f t="shared" si="748"/>
        <v>21132</v>
      </c>
      <c r="J1112" s="2" t="e">
        <f>IF(B1112&lt;&gt;0,VLOOKUP(B1112,#REF!,4,FALSE),"")</f>
        <v>#REF!</v>
      </c>
      <c r="K1112" s="368" t="s">
        <v>1913</v>
      </c>
      <c r="L1112" s="362">
        <f t="shared" ref="L1112:L1144" si="757">F1112*G1112</f>
        <v>16671.318090000001</v>
      </c>
      <c r="N1112" s="2" t="e">
        <f>IF(B1112&lt;&gt;0,VLOOKUP(B1112,#REF!,2,FALSE),"")</f>
        <v>#REF!</v>
      </c>
      <c r="AY1112" s="21"/>
      <c r="AZ1112" s="481"/>
      <c r="BA1112" s="481"/>
      <c r="BB1112" s="481"/>
      <c r="BC1112" s="481"/>
      <c r="BD1112" s="163">
        <f t="shared" si="755"/>
        <v>10.029999999999999</v>
      </c>
      <c r="BE1112" s="163">
        <f t="shared" si="750"/>
        <v>12.72</v>
      </c>
      <c r="BF1112" s="163">
        <f t="shared" si="747"/>
        <v>23558.2</v>
      </c>
    </row>
    <row r="1113" spans="1:59" ht="27.75" customHeight="1">
      <c r="A1113" s="23"/>
      <c r="B1113" s="24"/>
      <c r="C1113" s="23"/>
      <c r="D1113" s="25"/>
      <c r="E1113" s="25"/>
      <c r="F1113" s="26"/>
      <c r="G1113" s="26"/>
      <c r="H1113" s="26"/>
      <c r="I1113" s="26"/>
      <c r="L1113" s="362">
        <f t="shared" si="757"/>
        <v>0</v>
      </c>
      <c r="AY1113" s="21"/>
      <c r="AZ1113" s="481"/>
      <c r="BA1113" s="481"/>
      <c r="BB1113" s="481"/>
      <c r="BC1113" s="481"/>
      <c r="BD1113" s="481"/>
      <c r="BE1113" s="481"/>
      <c r="BF1113" s="481"/>
    </row>
    <row r="1114" spans="1:59" s="45" customFormat="1" ht="15" customHeight="1">
      <c r="A1114" s="356" t="s">
        <v>1474</v>
      </c>
      <c r="B1114" s="356"/>
      <c r="C1114" s="356" t="s">
        <v>344</v>
      </c>
      <c r="D1114" s="357"/>
      <c r="E1114" s="357"/>
      <c r="F1114" s="357"/>
      <c r="G1114" s="26"/>
      <c r="H1114" s="357"/>
      <c r="I1114" s="96">
        <f>ROUND(SUM(I1115:I1117),2)</f>
        <v>41069.910000000003</v>
      </c>
      <c r="K1114" s="381"/>
      <c r="L1114" s="362">
        <f t="shared" si="757"/>
        <v>0</v>
      </c>
      <c r="AY1114" s="56"/>
      <c r="AZ1114" s="481"/>
      <c r="BA1114" s="481"/>
      <c r="BB1114" s="481"/>
      <c r="BC1114" s="96">
        <f>ROUND(SUM(BC1115:BC1117),2)</f>
        <v>16599.810000000001</v>
      </c>
      <c r="BD1114" s="481"/>
      <c r="BE1114" s="481"/>
      <c r="BF1114" s="96">
        <f>ROUND(SUM(BF1115:BF1117),2)</f>
        <v>27260.400000000001</v>
      </c>
    </row>
    <row r="1115" spans="1:59" s="27" customFormat="1" ht="45">
      <c r="A1115" s="23" t="s">
        <v>1475</v>
      </c>
      <c r="B1115" s="25" t="s">
        <v>2075</v>
      </c>
      <c r="C1115" s="23" t="s">
        <v>345</v>
      </c>
      <c r="D1115" s="25" t="s">
        <v>1915</v>
      </c>
      <c r="E1115" s="25" t="s">
        <v>26</v>
      </c>
      <c r="F1115" s="26">
        <f>332.27</f>
        <v>332.27</v>
      </c>
      <c r="G1115" s="26">
        <f t="shared" si="756"/>
        <v>8.4489999999999998</v>
      </c>
      <c r="H1115" s="26">
        <f>ROUND(G1115*(1+$J$14),2)</f>
        <v>10.71</v>
      </c>
      <c r="I1115" s="26">
        <f>ROUND(H1115*F1115,2)</f>
        <v>3558.61</v>
      </c>
      <c r="J1115" s="43">
        <f>'COMPOSIÇÃO DE CUSTOS'!G1710</f>
        <v>8.4499999999999993</v>
      </c>
      <c r="K1115" s="365">
        <v>9.94</v>
      </c>
      <c r="L1115" s="362">
        <f t="shared" si="757"/>
        <v>2807.3492299999998</v>
      </c>
      <c r="M1115" s="43"/>
      <c r="N1115" s="27" t="e">
        <f>IF(B1115&lt;&gt;0,VLOOKUP(B1115,#REF!,2,FALSE),"")</f>
        <v>#REF!</v>
      </c>
      <c r="AY1115" s="552"/>
      <c r="AZ1115" s="163">
        <f>F1115</f>
        <v>332.27</v>
      </c>
      <c r="BA1115" s="163">
        <f>G1115</f>
        <v>8.4489999999999998</v>
      </c>
      <c r="BB1115" s="163">
        <f>ROUND(BA1115*(1+$J$14),2)</f>
        <v>10.71</v>
      </c>
      <c r="BC1115" s="163">
        <f>ROUND(BB1115*AZ1115,2)</f>
        <v>3558.61</v>
      </c>
      <c r="BD1115" s="163"/>
      <c r="BE1115" s="163"/>
      <c r="BF1115" s="163"/>
    </row>
    <row r="1116" spans="1:59" s="28" customFormat="1" ht="60">
      <c r="A1116" s="23" t="s">
        <v>1476</v>
      </c>
      <c r="B1116" s="24">
        <v>5968</v>
      </c>
      <c r="C1116" s="23" t="s">
        <v>346</v>
      </c>
      <c r="D1116" s="25" t="s">
        <v>1915</v>
      </c>
      <c r="E1116" s="25" t="s">
        <v>26</v>
      </c>
      <c r="F1116" s="26">
        <v>539.74</v>
      </c>
      <c r="G1116" s="26">
        <f t="shared" si="756"/>
        <v>31.756</v>
      </c>
      <c r="H1116" s="26">
        <f>ROUND(G1116*(1+$J$14),2)</f>
        <v>40.270000000000003</v>
      </c>
      <c r="I1116" s="26">
        <f>ROUND(H1116*F1116,2)</f>
        <v>21735.33</v>
      </c>
      <c r="J1116" s="36">
        <f>'COMPOSIÇÃO DE CUSTOS'!G1718</f>
        <v>31.76</v>
      </c>
      <c r="K1116" s="374">
        <v>37.36</v>
      </c>
      <c r="L1116" s="362">
        <f t="shared" si="757"/>
        <v>17139.98344</v>
      </c>
      <c r="M1116" s="36"/>
      <c r="N1116" s="28" t="e">
        <f>IF(B1116&lt;&gt;0,VLOOKUP(B1116,#REF!,2,FALSE),"")</f>
        <v>#REF!</v>
      </c>
      <c r="AY1116" s="370"/>
      <c r="AZ1116" s="163">
        <f>F1116*0.6</f>
        <v>323.84399999999999</v>
      </c>
      <c r="BA1116" s="163">
        <f>G1116</f>
        <v>31.756</v>
      </c>
      <c r="BB1116" s="163">
        <f>ROUND(BA1116*(1+$J$14),2)</f>
        <v>40.270000000000003</v>
      </c>
      <c r="BC1116" s="163">
        <f>ROUND(BB1116*AZ1116,2)</f>
        <v>13041.2</v>
      </c>
      <c r="BD1116" s="163">
        <f t="shared" ref="BD1116:BD1117" si="758">ROUND(G1116*$BH$19,2)</f>
        <v>35.380000000000003</v>
      </c>
      <c r="BE1116" s="163">
        <f t="shared" ref="BE1116:BE1117" si="759">ROUND(BD1116*(1+$J$14),2)</f>
        <v>44.87</v>
      </c>
      <c r="BF1116" s="163">
        <f>ROUND(BE1116*(F1116-AZ1116),2)</f>
        <v>9687.25</v>
      </c>
    </row>
    <row r="1117" spans="1:59" s="45" customFormat="1" ht="75">
      <c r="A1117" s="23" t="s">
        <v>1477</v>
      </c>
      <c r="B1117" s="25" t="s">
        <v>2076</v>
      </c>
      <c r="C1117" s="23" t="s">
        <v>347</v>
      </c>
      <c r="D1117" s="25" t="s">
        <v>1915</v>
      </c>
      <c r="E1117" s="25" t="s">
        <v>26</v>
      </c>
      <c r="F1117" s="26">
        <f>84+79.38</f>
        <v>163.38</v>
      </c>
      <c r="G1117" s="26">
        <f t="shared" si="756"/>
        <v>76.143000000000001</v>
      </c>
      <c r="H1117" s="26">
        <f>ROUND(G1117*(1+$J$14),2)</f>
        <v>96.56</v>
      </c>
      <c r="I1117" s="26">
        <f>ROUND(H1117*F1117,2)</f>
        <v>15775.97</v>
      </c>
      <c r="J1117" s="49">
        <f>'COMPOSIÇÃO DE CUSTOS'!G1726</f>
        <v>76.14</v>
      </c>
      <c r="K1117" s="364">
        <v>89.58</v>
      </c>
      <c r="L1117" s="362">
        <f t="shared" si="757"/>
        <v>12440.243339999999</v>
      </c>
      <c r="M1117" s="49"/>
      <c r="N1117" s="45" t="e">
        <f>IF(B1117&lt;&gt;0,VLOOKUP(B1117,#REF!,2,FALSE),"")</f>
        <v>#REF!</v>
      </c>
      <c r="AY1117" s="56"/>
      <c r="AZ1117" s="163"/>
      <c r="BA1117" s="163"/>
      <c r="BB1117" s="163"/>
      <c r="BC1117" s="163"/>
      <c r="BD1117" s="163">
        <f t="shared" si="758"/>
        <v>84.82</v>
      </c>
      <c r="BE1117" s="163">
        <f t="shared" si="759"/>
        <v>107.56</v>
      </c>
      <c r="BF1117" s="163">
        <f>ROUND(BE1117*F1117,2)</f>
        <v>17573.150000000001</v>
      </c>
    </row>
    <row r="1118" spans="1:59" ht="24.75" customHeight="1">
      <c r="A1118" s="23"/>
      <c r="B1118" s="25"/>
      <c r="C1118" s="23"/>
      <c r="D1118" s="25"/>
      <c r="E1118" s="25"/>
      <c r="F1118" s="26"/>
      <c r="G1118" s="26"/>
      <c r="H1118" s="26"/>
      <c r="I1118" s="26"/>
      <c r="L1118" s="362">
        <f t="shared" si="757"/>
        <v>0</v>
      </c>
      <c r="AY1118" s="21"/>
      <c r="AZ1118" s="481"/>
      <c r="BA1118" s="481"/>
      <c r="BB1118" s="481"/>
      <c r="BC1118" s="481"/>
      <c r="BD1118" s="481"/>
      <c r="BE1118" s="481"/>
      <c r="BF1118" s="481"/>
    </row>
    <row r="1119" spans="1:59" s="45" customFormat="1" ht="15" customHeight="1">
      <c r="A1119" s="356" t="s">
        <v>1478</v>
      </c>
      <c r="B1119" s="356"/>
      <c r="C1119" s="356" t="s">
        <v>348</v>
      </c>
      <c r="D1119" s="357"/>
      <c r="E1119" s="357"/>
      <c r="F1119" s="357"/>
      <c r="G1119" s="26"/>
      <c r="H1119" s="357"/>
      <c r="I1119" s="96">
        <f>ROUND(SUM(I1120:I1121),2)</f>
        <v>58720.17</v>
      </c>
      <c r="K1119" s="381"/>
      <c r="L1119" s="362">
        <f t="shared" si="757"/>
        <v>0</v>
      </c>
      <c r="AY1119" s="56"/>
      <c r="AZ1119" s="481"/>
      <c r="BA1119" s="481"/>
      <c r="BB1119" s="481"/>
      <c r="BC1119" s="481"/>
      <c r="BD1119" s="481"/>
      <c r="BE1119" s="481"/>
      <c r="BF1119" s="96">
        <f>ROUND(SUM(BF1120:BF1121),2)</f>
        <v>68573.94</v>
      </c>
    </row>
    <row r="1120" spans="1:59">
      <c r="A1120" s="23" t="s">
        <v>1479</v>
      </c>
      <c r="B1120" s="24">
        <v>4264</v>
      </c>
      <c r="C1120" s="23" t="s">
        <v>349</v>
      </c>
      <c r="D1120" s="25" t="s">
        <v>44</v>
      </c>
      <c r="E1120" s="25" t="s">
        <v>52</v>
      </c>
      <c r="F1120" s="26">
        <v>61.213500000000003</v>
      </c>
      <c r="G1120" s="26">
        <f t="shared" si="756"/>
        <v>75.335499999999996</v>
      </c>
      <c r="H1120" s="26">
        <f>ROUND(G1120*(1+$J$14),2)</f>
        <v>95.53</v>
      </c>
      <c r="I1120" s="26">
        <f>ROUND(H1120*F1120,2)</f>
        <v>5847.73</v>
      </c>
      <c r="J1120" s="32">
        <f>'COMPOSIÇÃO DE CUSTOS'!G2113</f>
        <v>75.33</v>
      </c>
      <c r="K1120" s="368">
        <v>88.63</v>
      </c>
      <c r="L1120" s="362">
        <f t="shared" si="757"/>
        <v>4611.5496292500002</v>
      </c>
      <c r="M1120" s="32"/>
      <c r="AY1120" s="21"/>
      <c r="AZ1120" s="481"/>
      <c r="BA1120" s="481"/>
      <c r="BB1120" s="481"/>
      <c r="BC1120" s="481"/>
      <c r="BD1120" s="163">
        <f t="shared" ref="BD1120" si="760">ROUND(G1120*$BH$19,2)</f>
        <v>83.92</v>
      </c>
      <c r="BE1120" s="163">
        <f t="shared" ref="BE1120" si="761">ROUND(BD1120*(1+$J$14),2)</f>
        <v>106.42</v>
      </c>
      <c r="BF1120" s="163">
        <f>ROUND(BE1120*F1120,2)</f>
        <v>6514.34</v>
      </c>
    </row>
    <row r="1121" spans="1:60" s="34" customFormat="1" ht="60">
      <c r="A1121" s="471" t="s">
        <v>1480</v>
      </c>
      <c r="B1121" s="475">
        <v>7967</v>
      </c>
      <c r="C1121" s="471" t="s">
        <v>350</v>
      </c>
      <c r="D1121" s="472" t="s">
        <v>44</v>
      </c>
      <c r="E1121" s="472" t="s">
        <v>52</v>
      </c>
      <c r="F1121" s="473">
        <v>67.040000000000006</v>
      </c>
      <c r="G1121" s="473">
        <f t="shared" si="756"/>
        <v>621.928</v>
      </c>
      <c r="H1121" s="473">
        <f>ROUND(G1121*(1+$J$14),2)</f>
        <v>788.67</v>
      </c>
      <c r="I1121" s="473">
        <f>ROUND(H1121*F1121,2)</f>
        <v>52872.44</v>
      </c>
      <c r="J1121" s="477">
        <f>'COMPOSIÇÃO DE CUSTOS'!G2105</f>
        <v>621.92999999999995</v>
      </c>
      <c r="K1121" s="476">
        <v>731.68</v>
      </c>
      <c r="L1121" s="378">
        <f t="shared" si="757"/>
        <v>41694.053120000004</v>
      </c>
      <c r="M1121" s="477"/>
      <c r="AY1121" s="577"/>
      <c r="AZ1121" s="502"/>
      <c r="BA1121" s="502"/>
      <c r="BB1121" s="502"/>
      <c r="BC1121" s="502"/>
      <c r="BD1121" s="523">
        <f>BG1121</f>
        <v>730</v>
      </c>
      <c r="BE1121" s="523">
        <f>ROUND(BD1121*(1+$J$14),2)</f>
        <v>925.71</v>
      </c>
      <c r="BF1121" s="523">
        <f>ROUND(BE1121*F1121,2)</f>
        <v>62059.6</v>
      </c>
      <c r="BG1121" s="34">
        <f>'COMPOSIÇÃO AB'!G755</f>
        <v>730</v>
      </c>
      <c r="BH1121" s="34">
        <f>ROUND(G1121*BH19,2)</f>
        <v>692.83</v>
      </c>
    </row>
    <row r="1122" spans="1:60" ht="27.75" customHeight="1">
      <c r="A1122" s="23"/>
      <c r="B1122" s="25"/>
      <c r="C1122" s="23"/>
      <c r="D1122" s="25"/>
      <c r="E1122" s="25"/>
      <c r="F1122" s="26"/>
      <c r="G1122" s="26"/>
      <c r="H1122" s="26"/>
      <c r="I1122" s="26"/>
      <c r="L1122" s="362">
        <f t="shared" si="757"/>
        <v>0</v>
      </c>
      <c r="AY1122" s="21"/>
      <c r="AZ1122" s="481"/>
      <c r="BA1122" s="481"/>
      <c r="BB1122" s="481"/>
      <c r="BC1122" s="481"/>
      <c r="BD1122" s="481"/>
      <c r="BE1122" s="481"/>
      <c r="BF1122" s="481"/>
    </row>
    <row r="1123" spans="1:60" s="45" customFormat="1" ht="15" customHeight="1">
      <c r="A1123" s="356" t="s">
        <v>1481</v>
      </c>
      <c r="B1123" s="356"/>
      <c r="C1123" s="356" t="s">
        <v>351</v>
      </c>
      <c r="D1123" s="357"/>
      <c r="E1123" s="357"/>
      <c r="F1123" s="357"/>
      <c r="G1123" s="26"/>
      <c r="H1123" s="357"/>
      <c r="I1123" s="96">
        <f>ROUND(SUM(I1125:I1140),2)</f>
        <v>44232.19</v>
      </c>
      <c r="K1123" s="381"/>
      <c r="L1123" s="362">
        <f t="shared" si="757"/>
        <v>0</v>
      </c>
      <c r="AY1123" s="56"/>
      <c r="AZ1123" s="481"/>
      <c r="BA1123" s="481"/>
      <c r="BB1123" s="481"/>
      <c r="BC1123" s="481"/>
      <c r="BD1123" s="481"/>
      <c r="BE1123" s="481"/>
      <c r="BF1123" s="96">
        <f>ROUND(SUM(BF1125:BF1140),2)</f>
        <v>49276.32</v>
      </c>
    </row>
    <row r="1124" spans="1:60" s="28" customFormat="1" ht="15" customHeight="1">
      <c r="A1124" s="356" t="s">
        <v>1482</v>
      </c>
      <c r="B1124" s="356"/>
      <c r="C1124" s="356" t="s">
        <v>352</v>
      </c>
      <c r="D1124" s="357"/>
      <c r="E1124" s="357"/>
      <c r="F1124" s="357"/>
      <c r="G1124" s="26"/>
      <c r="H1124" s="357"/>
      <c r="I1124" s="96"/>
      <c r="K1124" s="377"/>
      <c r="L1124" s="362">
        <f t="shared" si="757"/>
        <v>0</v>
      </c>
      <c r="AY1124" s="370"/>
      <c r="AZ1124" s="481"/>
      <c r="BA1124" s="481"/>
      <c r="BB1124" s="481"/>
      <c r="BC1124" s="481"/>
      <c r="BD1124" s="481"/>
      <c r="BE1124" s="481"/>
      <c r="BF1124" s="481"/>
    </row>
    <row r="1125" spans="1:60" s="28" customFormat="1">
      <c r="A1125" s="23" t="s">
        <v>1483</v>
      </c>
      <c r="B1125" s="24">
        <v>98504</v>
      </c>
      <c r="C1125" s="23" t="s">
        <v>2662</v>
      </c>
      <c r="D1125" s="25" t="s">
        <v>12</v>
      </c>
      <c r="E1125" s="25" t="s">
        <v>26</v>
      </c>
      <c r="F1125" s="26">
        <v>249.08</v>
      </c>
      <c r="G1125" s="26">
        <f t="shared" si="756"/>
        <v>10.302</v>
      </c>
      <c r="H1125" s="26">
        <f>ROUND(G1125*(1+$J$14),2)</f>
        <v>13.06</v>
      </c>
      <c r="I1125" s="26">
        <f>ROUND(H1125*F1125,2)</f>
        <v>3252.98</v>
      </c>
      <c r="J1125" s="28" t="e">
        <f>IF(B1125&lt;&gt;0,VLOOKUP(B1125,#REF!,4,FALSE),"")</f>
        <v>#REF!</v>
      </c>
      <c r="K1125" s="377" t="s">
        <v>1870</v>
      </c>
      <c r="L1125" s="362">
        <f t="shared" si="757"/>
        <v>2566.02216</v>
      </c>
      <c r="N1125" s="28" t="e">
        <f>IF(B1125&lt;&gt;0,VLOOKUP(B1125,#REF!,2,FALSE),"")</f>
        <v>#REF!</v>
      </c>
      <c r="AY1125" s="370"/>
      <c r="AZ1125" s="481"/>
      <c r="BA1125" s="481"/>
      <c r="BB1125" s="481"/>
      <c r="BC1125" s="481"/>
      <c r="BD1125" s="163">
        <f t="shared" ref="BD1125" si="762">ROUND(G1125*$BH$19,2)</f>
        <v>11.48</v>
      </c>
      <c r="BE1125" s="163">
        <f t="shared" ref="BE1125:BE1139" si="763">ROUND(BD1125*(1+$J$14),2)</f>
        <v>14.56</v>
      </c>
      <c r="BF1125" s="163">
        <f>ROUND(BE1125*F1125,2)</f>
        <v>3626.6</v>
      </c>
    </row>
    <row r="1126" spans="1:60" s="28" customFormat="1" ht="15" customHeight="1">
      <c r="A1126" s="356" t="s">
        <v>1484</v>
      </c>
      <c r="B1126" s="356"/>
      <c r="C1126" s="356" t="s">
        <v>178</v>
      </c>
      <c r="D1126" s="357"/>
      <c r="E1126" s="357"/>
      <c r="F1126" s="357"/>
      <c r="G1126" s="26"/>
      <c r="H1126" s="357"/>
      <c r="I1126" s="96"/>
      <c r="K1126" s="377"/>
      <c r="L1126" s="362">
        <f t="shared" si="757"/>
        <v>0</v>
      </c>
      <c r="AY1126" s="370"/>
      <c r="AZ1126" s="481"/>
      <c r="BA1126" s="481"/>
      <c r="BB1126" s="481"/>
      <c r="BC1126" s="481"/>
      <c r="BD1126" s="163"/>
      <c r="BE1126" s="163"/>
      <c r="BF1126" s="163"/>
    </row>
    <row r="1127" spans="1:60" s="28" customFormat="1" ht="30">
      <c r="A1127" s="23" t="s">
        <v>1485</v>
      </c>
      <c r="B1127" s="25" t="s">
        <v>2011</v>
      </c>
      <c r="C1127" s="23" t="s">
        <v>353</v>
      </c>
      <c r="D1127" s="25" t="s">
        <v>1915</v>
      </c>
      <c r="E1127" s="25" t="s">
        <v>52</v>
      </c>
      <c r="F1127" s="26">
        <v>2.6865000000000001</v>
      </c>
      <c r="G1127" s="26">
        <f t="shared" si="756"/>
        <v>306.05950000000001</v>
      </c>
      <c r="H1127" s="26">
        <f>ROUND(G1127*(1+$J$14),2)</f>
        <v>388.11</v>
      </c>
      <c r="I1127" s="26">
        <f>ROUND(H1127*F1127,2)</f>
        <v>1042.6600000000001</v>
      </c>
      <c r="J1127" s="33">
        <f>'COMPOSIÇÃO DE CUSTOS'!G2136</f>
        <v>306.06</v>
      </c>
      <c r="K1127" s="377">
        <v>360.07</v>
      </c>
      <c r="L1127" s="362">
        <f t="shared" si="757"/>
        <v>822.22884675000012</v>
      </c>
      <c r="M1127" s="33"/>
      <c r="AY1127" s="370"/>
      <c r="AZ1127" s="481"/>
      <c r="BA1127" s="481"/>
      <c r="BB1127" s="481"/>
      <c r="BC1127" s="481"/>
      <c r="BD1127" s="163">
        <f t="shared" ref="BD1127:BD1139" si="764">ROUND(G1127*$BH$19,2)</f>
        <v>340.95</v>
      </c>
      <c r="BE1127" s="163">
        <f t="shared" si="763"/>
        <v>432.36</v>
      </c>
      <c r="BF1127" s="163">
        <f>ROUND(BE1127*F1127,2)</f>
        <v>1161.54</v>
      </c>
    </row>
    <row r="1128" spans="1:60">
      <c r="A1128" s="23" t="s">
        <v>1486</v>
      </c>
      <c r="B1128" s="24">
        <v>9599</v>
      </c>
      <c r="C1128" s="23" t="s">
        <v>354</v>
      </c>
      <c r="D1128" s="25" t="s">
        <v>1915</v>
      </c>
      <c r="E1128" s="25" t="s">
        <v>52</v>
      </c>
      <c r="F1128" s="26">
        <v>4.0229999999999997</v>
      </c>
      <c r="G1128" s="26">
        <f t="shared" si="756"/>
        <v>595.42499999999995</v>
      </c>
      <c r="H1128" s="26">
        <f>ROUND(G1128*(1+$J$14),2)</f>
        <v>755.06</v>
      </c>
      <c r="I1128" s="26">
        <f>ROUND(H1128*F1128,2)</f>
        <v>3037.61</v>
      </c>
      <c r="J1128" s="32">
        <f>'COMPOSIÇÃO DE CUSTOS'!G1735</f>
        <v>595.42999999999995</v>
      </c>
      <c r="K1128" s="368">
        <v>700.5</v>
      </c>
      <c r="L1128" s="362">
        <f t="shared" si="757"/>
        <v>2395.3947749999998</v>
      </c>
      <c r="M1128" s="32"/>
      <c r="AY1128" s="21"/>
      <c r="AZ1128" s="481"/>
      <c r="BA1128" s="481"/>
      <c r="BB1128" s="481"/>
      <c r="BC1128" s="481"/>
      <c r="BD1128" s="163">
        <f t="shared" si="764"/>
        <v>663.31</v>
      </c>
      <c r="BE1128" s="163">
        <f t="shared" si="763"/>
        <v>841.14</v>
      </c>
      <c r="BF1128" s="163">
        <f>ROUND(BE1128*F1128,2)</f>
        <v>3383.91</v>
      </c>
    </row>
    <row r="1129" spans="1:60" s="28" customFormat="1" ht="30">
      <c r="A1129" s="23" t="s">
        <v>1487</v>
      </c>
      <c r="B1129" s="24">
        <v>111609</v>
      </c>
      <c r="C1129" s="23" t="s">
        <v>355</v>
      </c>
      <c r="D1129" s="25" t="s">
        <v>1915</v>
      </c>
      <c r="E1129" s="25" t="s">
        <v>52</v>
      </c>
      <c r="F1129" s="26">
        <v>4.1175000000000006</v>
      </c>
      <c r="G1129" s="26">
        <f t="shared" si="756"/>
        <v>1292.7820000000002</v>
      </c>
      <c r="H1129" s="26">
        <f>ROUND(G1129*(1+$J$14),2)</f>
        <v>1639.38</v>
      </c>
      <c r="I1129" s="26">
        <f>ROUND(H1129*F1129,2)</f>
        <v>6750.15</v>
      </c>
      <c r="J1129" s="33">
        <f>'COMPOSIÇÃO DE CUSTOS'!G1744</f>
        <v>1292.78</v>
      </c>
      <c r="K1129" s="377">
        <v>1520.92</v>
      </c>
      <c r="L1129" s="362">
        <f t="shared" si="757"/>
        <v>5323.0298850000017</v>
      </c>
      <c r="M1129" s="33"/>
      <c r="AY1129" s="370"/>
      <c r="AZ1129" s="481"/>
      <c r="BA1129" s="481"/>
      <c r="BB1129" s="481"/>
      <c r="BC1129" s="481"/>
      <c r="BD1129" s="163">
        <f t="shared" si="764"/>
        <v>1440.17</v>
      </c>
      <c r="BE1129" s="163">
        <f t="shared" si="763"/>
        <v>1826.28</v>
      </c>
      <c r="BF1129" s="163">
        <f>ROUND(BE1129*F1129,2)</f>
        <v>7519.71</v>
      </c>
    </row>
    <row r="1130" spans="1:60" s="28" customFormat="1" ht="15" customHeight="1">
      <c r="A1130" s="356" t="s">
        <v>1488</v>
      </c>
      <c r="B1130" s="356"/>
      <c r="C1130" s="356" t="s">
        <v>356</v>
      </c>
      <c r="D1130" s="357"/>
      <c r="E1130" s="357"/>
      <c r="F1130" s="357"/>
      <c r="G1130" s="26"/>
      <c r="H1130" s="357"/>
      <c r="I1130" s="96"/>
      <c r="K1130" s="377"/>
      <c r="L1130" s="362">
        <f t="shared" si="757"/>
        <v>0</v>
      </c>
      <c r="AY1130" s="370"/>
      <c r="AZ1130" s="481"/>
      <c r="BA1130" s="481"/>
      <c r="BB1130" s="481"/>
      <c r="BC1130" s="481"/>
      <c r="BD1130" s="163"/>
      <c r="BE1130" s="163"/>
      <c r="BF1130" s="163"/>
    </row>
    <row r="1131" spans="1:60" ht="60">
      <c r="A1131" s="23" t="s">
        <v>1489</v>
      </c>
      <c r="B1131" s="24">
        <v>102509</v>
      </c>
      <c r="C1131" s="23" t="s">
        <v>357</v>
      </c>
      <c r="D1131" s="25" t="s">
        <v>12</v>
      </c>
      <c r="E1131" s="25" t="s">
        <v>26</v>
      </c>
      <c r="F1131" s="26">
        <v>0.45900000000000002</v>
      </c>
      <c r="G1131" s="26">
        <f t="shared" si="756"/>
        <v>15.639999999999999</v>
      </c>
      <c r="H1131" s="26">
        <f>ROUND(G1131*(1+$J$14),2)</f>
        <v>19.829999999999998</v>
      </c>
      <c r="I1131" s="26">
        <f t="shared" ref="I1131:I1140" si="765">ROUND(H1131*F1131,2)</f>
        <v>9.1</v>
      </c>
      <c r="J1131" s="2" t="e">
        <f>IF(B1131&lt;&gt;0,VLOOKUP(B1131,#REF!,4,FALSE),"")</f>
        <v>#REF!</v>
      </c>
      <c r="K1131" s="368" t="s">
        <v>3312</v>
      </c>
      <c r="L1131" s="362">
        <f t="shared" si="757"/>
        <v>7.1787599999999996</v>
      </c>
      <c r="N1131" s="2" t="e">
        <f>IF(B1131&lt;&gt;0,VLOOKUP(B1131,#REF!,2,FALSE),"")</f>
        <v>#REF!</v>
      </c>
      <c r="AY1131" s="21"/>
      <c r="AZ1131" s="481"/>
      <c r="BA1131" s="481"/>
      <c r="BB1131" s="481"/>
      <c r="BC1131" s="481"/>
      <c r="BD1131" s="163">
        <f t="shared" si="764"/>
        <v>17.420000000000002</v>
      </c>
      <c r="BE1131" s="163">
        <f t="shared" si="763"/>
        <v>22.09</v>
      </c>
      <c r="BF1131" s="163">
        <f t="shared" ref="BF1131:BF1140" si="766">ROUND(BE1131*F1131,2)</f>
        <v>10.14</v>
      </c>
    </row>
    <row r="1132" spans="1:60" ht="60">
      <c r="A1132" s="23" t="s">
        <v>1490</v>
      </c>
      <c r="B1132" s="24">
        <v>102509</v>
      </c>
      <c r="C1132" s="23" t="s">
        <v>358</v>
      </c>
      <c r="D1132" s="25" t="s">
        <v>12</v>
      </c>
      <c r="E1132" s="25" t="s">
        <v>26</v>
      </c>
      <c r="F1132" s="26">
        <v>5.5979999999999999</v>
      </c>
      <c r="G1132" s="26">
        <f t="shared" si="756"/>
        <v>15.639999999999999</v>
      </c>
      <c r="H1132" s="26">
        <f>ROUND(G1132*(1+$J$14),2)</f>
        <v>19.829999999999998</v>
      </c>
      <c r="I1132" s="26">
        <f t="shared" si="765"/>
        <v>111.01</v>
      </c>
      <c r="J1132" s="2" t="e">
        <f>IF(B1132&lt;&gt;0,VLOOKUP(B1132,#REF!,4,FALSE),"")</f>
        <v>#REF!</v>
      </c>
      <c r="K1132" s="368" t="s">
        <v>3312</v>
      </c>
      <c r="L1132" s="362">
        <f t="shared" si="757"/>
        <v>87.552719999999994</v>
      </c>
      <c r="N1132" s="2" t="e">
        <f>IF(B1132&lt;&gt;0,VLOOKUP(B1132,#REF!,2,FALSE),"")</f>
        <v>#REF!</v>
      </c>
      <c r="AY1132" s="21"/>
      <c r="AZ1132" s="481"/>
      <c r="BA1132" s="481"/>
      <c r="BB1132" s="481"/>
      <c r="BC1132" s="481"/>
      <c r="BD1132" s="163">
        <f t="shared" si="764"/>
        <v>17.420000000000002</v>
      </c>
      <c r="BE1132" s="163">
        <f t="shared" si="763"/>
        <v>22.09</v>
      </c>
      <c r="BF1132" s="163">
        <f t="shared" si="766"/>
        <v>123.66</v>
      </c>
    </row>
    <row r="1133" spans="1:60" ht="60">
      <c r="A1133" s="23" t="s">
        <v>1491</v>
      </c>
      <c r="B1133" s="24">
        <v>102509</v>
      </c>
      <c r="C1133" s="23" t="s">
        <v>359</v>
      </c>
      <c r="D1133" s="25" t="s">
        <v>12</v>
      </c>
      <c r="E1133" s="25" t="s">
        <v>26</v>
      </c>
      <c r="F1133" s="26">
        <v>17.163</v>
      </c>
      <c r="G1133" s="26">
        <f t="shared" si="756"/>
        <v>15.639999999999999</v>
      </c>
      <c r="H1133" s="26">
        <f>ROUND(G1133*(1+$J$14),2)</f>
        <v>19.829999999999998</v>
      </c>
      <c r="I1133" s="26">
        <f t="shared" si="765"/>
        <v>340.34</v>
      </c>
      <c r="J1133" s="2" t="e">
        <f>IF(B1133&lt;&gt;0,VLOOKUP(B1133,#REF!,4,FALSE),"")</f>
        <v>#REF!</v>
      </c>
      <c r="K1133" s="368" t="s">
        <v>3312</v>
      </c>
      <c r="L1133" s="362">
        <f t="shared" si="757"/>
        <v>268.42931999999996</v>
      </c>
      <c r="N1133" s="2" t="e">
        <f>IF(B1133&lt;&gt;0,VLOOKUP(B1133,#REF!,2,FALSE),"")</f>
        <v>#REF!</v>
      </c>
      <c r="AY1133" s="21"/>
      <c r="AZ1133" s="481"/>
      <c r="BA1133" s="481"/>
      <c r="BB1133" s="481"/>
      <c r="BC1133" s="481"/>
      <c r="BD1133" s="163">
        <f t="shared" si="764"/>
        <v>17.420000000000002</v>
      </c>
      <c r="BE1133" s="163">
        <f t="shared" si="763"/>
        <v>22.09</v>
      </c>
      <c r="BF1133" s="163">
        <f t="shared" si="766"/>
        <v>379.13</v>
      </c>
    </row>
    <row r="1134" spans="1:60" ht="30">
      <c r="A1134" s="23" t="s">
        <v>2656</v>
      </c>
      <c r="B1134" s="24">
        <v>3167</v>
      </c>
      <c r="C1134" s="23" t="s">
        <v>2653</v>
      </c>
      <c r="D1134" s="25" t="s">
        <v>44</v>
      </c>
      <c r="E1134" s="25" t="s">
        <v>17</v>
      </c>
      <c r="F1134" s="26">
        <v>1</v>
      </c>
      <c r="G1134" s="26">
        <f t="shared" si="756"/>
        <v>1361.3344999999999</v>
      </c>
      <c r="H1134" s="26">
        <f t="shared" ref="H1134:H1135" si="767">ROUND(G1134*(1+$J$14),2)</f>
        <v>1726.31</v>
      </c>
      <c r="I1134" s="26">
        <f t="shared" ref="I1134:I1135" si="768">ROUND(H1134*F1134,2)</f>
        <v>1726.31</v>
      </c>
      <c r="J1134" s="32">
        <f>'COMPOSIÇÃO DE CUSTOS'!G2323</f>
        <v>1361.33</v>
      </c>
      <c r="K1134" s="368">
        <v>1601.57</v>
      </c>
      <c r="L1134" s="362">
        <f t="shared" si="757"/>
        <v>1361.3344999999999</v>
      </c>
      <c r="M1134" s="32"/>
      <c r="AY1134" s="21"/>
      <c r="AZ1134" s="481"/>
      <c r="BA1134" s="481"/>
      <c r="BB1134" s="481"/>
      <c r="BC1134" s="481"/>
      <c r="BD1134" s="163">
        <f t="shared" si="764"/>
        <v>1516.54</v>
      </c>
      <c r="BE1134" s="163">
        <f t="shared" si="763"/>
        <v>1923.12</v>
      </c>
      <c r="BF1134" s="163">
        <f t="shared" si="766"/>
        <v>1923.12</v>
      </c>
    </row>
    <row r="1135" spans="1:60" ht="60">
      <c r="A1135" s="23" t="s">
        <v>2657</v>
      </c>
      <c r="B1135" s="24">
        <v>13294</v>
      </c>
      <c r="C1135" s="23" t="s">
        <v>2680</v>
      </c>
      <c r="D1135" s="25" t="s">
        <v>44</v>
      </c>
      <c r="E1135" s="25" t="s">
        <v>17</v>
      </c>
      <c r="F1135" s="26">
        <v>74</v>
      </c>
      <c r="G1135" s="26">
        <f t="shared" si="756"/>
        <v>71.697499999999991</v>
      </c>
      <c r="H1135" s="26">
        <f t="shared" si="767"/>
        <v>90.92</v>
      </c>
      <c r="I1135" s="26">
        <f t="shared" si="768"/>
        <v>6728.08</v>
      </c>
      <c r="J1135" s="32">
        <f>'COMPOSIÇÃO DE CUSTOS'!G2338</f>
        <v>71.7</v>
      </c>
      <c r="K1135" s="368">
        <v>84.35</v>
      </c>
      <c r="L1135" s="362">
        <f t="shared" si="757"/>
        <v>5305.6149999999998</v>
      </c>
      <c r="M1135" s="32"/>
      <c r="AY1135" s="21"/>
      <c r="AZ1135" s="481"/>
      <c r="BA1135" s="481"/>
      <c r="BB1135" s="481"/>
      <c r="BC1135" s="481"/>
      <c r="BD1135" s="163">
        <f t="shared" si="764"/>
        <v>79.87</v>
      </c>
      <c r="BE1135" s="163">
        <f t="shared" si="763"/>
        <v>101.28</v>
      </c>
      <c r="BF1135" s="163">
        <f t="shared" si="766"/>
        <v>7494.72</v>
      </c>
    </row>
    <row r="1136" spans="1:60" s="45" customFormat="1" ht="33.75" customHeight="1">
      <c r="A1136" s="23" t="s">
        <v>2658</v>
      </c>
      <c r="B1136" s="24">
        <v>12041</v>
      </c>
      <c r="C1136" s="23" t="s">
        <v>2543</v>
      </c>
      <c r="D1136" s="25" t="s">
        <v>44</v>
      </c>
      <c r="E1136" s="25" t="s">
        <v>17</v>
      </c>
      <c r="F1136" s="26">
        <v>21</v>
      </c>
      <c r="G1136" s="26">
        <f t="shared" si="756"/>
        <v>46.3675</v>
      </c>
      <c r="H1136" s="26">
        <f>ROUND(G1136*(1+$J$14),2)</f>
        <v>58.8</v>
      </c>
      <c r="I1136" s="26">
        <f t="shared" si="765"/>
        <v>1234.8</v>
      </c>
      <c r="J1136" s="49">
        <f>'COMPOSIÇÃO DE CUSTOS'!G1751</f>
        <v>46.37</v>
      </c>
      <c r="K1136" s="364">
        <v>54.55</v>
      </c>
      <c r="L1136" s="362">
        <f t="shared" si="757"/>
        <v>973.71749999999997</v>
      </c>
      <c r="M1136" s="49"/>
      <c r="AY1136" s="56"/>
      <c r="AZ1136" s="481"/>
      <c r="BA1136" s="481"/>
      <c r="BB1136" s="481"/>
      <c r="BC1136" s="481"/>
      <c r="BD1136" s="163">
        <f t="shared" si="764"/>
        <v>51.65</v>
      </c>
      <c r="BE1136" s="163">
        <f t="shared" si="763"/>
        <v>65.5</v>
      </c>
      <c r="BF1136" s="163">
        <f t="shared" si="766"/>
        <v>1375.5</v>
      </c>
    </row>
    <row r="1137" spans="1:61" ht="30">
      <c r="A1137" s="23" t="s">
        <v>2659</v>
      </c>
      <c r="B1137" s="24">
        <v>12042</v>
      </c>
      <c r="C1137" s="23" t="s">
        <v>2024</v>
      </c>
      <c r="D1137" s="25" t="s">
        <v>44</v>
      </c>
      <c r="E1137" s="25" t="s">
        <v>17</v>
      </c>
      <c r="F1137" s="26">
        <v>144</v>
      </c>
      <c r="G1137" s="26">
        <f t="shared" si="756"/>
        <v>67.677000000000007</v>
      </c>
      <c r="H1137" s="26">
        <f>ROUND(G1137*(1+$J$14),2)</f>
        <v>85.82</v>
      </c>
      <c r="I1137" s="26">
        <f t="shared" si="765"/>
        <v>12358.08</v>
      </c>
      <c r="J1137" s="38">
        <f>'COMPOSIÇÃO DE CUSTOS'!G2213</f>
        <v>67.67</v>
      </c>
      <c r="K1137" s="375">
        <v>79.62</v>
      </c>
      <c r="L1137" s="362">
        <f t="shared" si="757"/>
        <v>9745.4880000000012</v>
      </c>
      <c r="M1137" s="38"/>
      <c r="AY1137" s="21"/>
      <c r="AZ1137" s="481"/>
      <c r="BA1137" s="481"/>
      <c r="BB1137" s="481"/>
      <c r="BC1137" s="481"/>
      <c r="BD1137" s="163">
        <f t="shared" si="764"/>
        <v>75.39</v>
      </c>
      <c r="BE1137" s="163">
        <f t="shared" si="763"/>
        <v>95.6</v>
      </c>
      <c r="BF1137" s="163">
        <f t="shared" si="766"/>
        <v>13766.4</v>
      </c>
    </row>
    <row r="1138" spans="1:61" ht="30">
      <c r="A1138" s="23" t="s">
        <v>2660</v>
      </c>
      <c r="B1138" s="24">
        <v>12043</v>
      </c>
      <c r="C1138" s="23" t="s">
        <v>2026</v>
      </c>
      <c r="D1138" s="25" t="s">
        <v>44</v>
      </c>
      <c r="E1138" s="25" t="s">
        <v>17</v>
      </c>
      <c r="F1138" s="26">
        <v>28</v>
      </c>
      <c r="G1138" s="26">
        <f t="shared" si="756"/>
        <v>58.063500000000005</v>
      </c>
      <c r="H1138" s="26">
        <f>ROUND(G1138*(1+$J$14),2)</f>
        <v>73.63</v>
      </c>
      <c r="I1138" s="26">
        <f t="shared" si="765"/>
        <v>2061.64</v>
      </c>
      <c r="J1138" s="38">
        <f>'COMPOSIÇÃO DE CUSTOS'!G2219</f>
        <v>58.06</v>
      </c>
      <c r="K1138" s="375">
        <v>68.31</v>
      </c>
      <c r="L1138" s="362">
        <f t="shared" si="757"/>
        <v>1625.7780000000002</v>
      </c>
      <c r="M1138" s="38"/>
      <c r="AY1138" s="21"/>
      <c r="AZ1138" s="481"/>
      <c r="BA1138" s="481"/>
      <c r="BB1138" s="481"/>
      <c r="BC1138" s="481"/>
      <c r="BD1138" s="163">
        <f t="shared" si="764"/>
        <v>64.680000000000007</v>
      </c>
      <c r="BE1138" s="163">
        <f t="shared" si="763"/>
        <v>82.02</v>
      </c>
      <c r="BF1138" s="163">
        <f t="shared" si="766"/>
        <v>2296.56</v>
      </c>
    </row>
    <row r="1139" spans="1:61" s="45" customFormat="1" ht="30">
      <c r="A1139" s="23" t="s">
        <v>2661</v>
      </c>
      <c r="B1139" s="25" t="s">
        <v>2419</v>
      </c>
      <c r="C1139" s="23" t="s">
        <v>2544</v>
      </c>
      <c r="D1139" s="25" t="s">
        <v>1915</v>
      </c>
      <c r="E1139" s="25" t="s">
        <v>17</v>
      </c>
      <c r="F1139" s="26">
        <v>17</v>
      </c>
      <c r="G1139" s="26">
        <f t="shared" si="756"/>
        <v>86.716999999999999</v>
      </c>
      <c r="H1139" s="26">
        <f>ROUND(G1139*(1+$J$14),2)</f>
        <v>109.97</v>
      </c>
      <c r="I1139" s="26">
        <f t="shared" si="765"/>
        <v>1869.49</v>
      </c>
      <c r="J1139" s="49">
        <f>'COMPOSIÇÃO DE CUSTOS'!G1757</f>
        <v>86.71</v>
      </c>
      <c r="K1139" s="364">
        <v>102.02</v>
      </c>
      <c r="L1139" s="362">
        <f t="shared" si="757"/>
        <v>1474.1890000000001</v>
      </c>
      <c r="M1139" s="49"/>
      <c r="AY1139" s="56"/>
      <c r="AZ1139" s="481"/>
      <c r="BA1139" s="481"/>
      <c r="BB1139" s="481"/>
      <c r="BC1139" s="481"/>
      <c r="BD1139" s="163">
        <f t="shared" si="764"/>
        <v>96.6</v>
      </c>
      <c r="BE1139" s="163">
        <f t="shared" si="763"/>
        <v>122.5</v>
      </c>
      <c r="BF1139" s="163">
        <f t="shared" si="766"/>
        <v>2082.5</v>
      </c>
    </row>
    <row r="1140" spans="1:61" s="45" customFormat="1" ht="30">
      <c r="A1140" s="23" t="s">
        <v>2679</v>
      </c>
      <c r="B1140" s="24">
        <v>12047</v>
      </c>
      <c r="C1140" s="23" t="s">
        <v>2545</v>
      </c>
      <c r="D1140" s="25" t="s">
        <v>44</v>
      </c>
      <c r="E1140" s="25" t="s">
        <v>17</v>
      </c>
      <c r="F1140" s="26">
        <v>13</v>
      </c>
      <c r="G1140" s="26">
        <f t="shared" si="756"/>
        <v>225.04599999999999</v>
      </c>
      <c r="H1140" s="26">
        <f>ROUND(G1140*(1+$J$14),2)</f>
        <v>285.38</v>
      </c>
      <c r="I1140" s="26">
        <f t="shared" si="765"/>
        <v>3709.94</v>
      </c>
      <c r="J1140" s="49">
        <f>'COMPOSIÇÃO DE CUSTOS'!G1763</f>
        <v>225.05</v>
      </c>
      <c r="K1140" s="364">
        <v>264.76</v>
      </c>
      <c r="L1140" s="362">
        <f t="shared" si="757"/>
        <v>2925.598</v>
      </c>
      <c r="M1140" s="49"/>
      <c r="AY1140" s="56"/>
      <c r="AZ1140" s="481"/>
      <c r="BA1140" s="481"/>
      <c r="BB1140" s="481"/>
      <c r="BC1140" s="481"/>
      <c r="BD1140" s="163">
        <f>ROUND(G1140*$BH$19,2)</f>
        <v>250.7</v>
      </c>
      <c r="BE1140" s="163">
        <f>ROUND(BD1140*(1+$J$14),2)</f>
        <v>317.91000000000003</v>
      </c>
      <c r="BF1140" s="163">
        <f t="shared" si="766"/>
        <v>4132.83</v>
      </c>
    </row>
    <row r="1141" spans="1:61" ht="21.75" customHeight="1">
      <c r="A1141" s="23"/>
      <c r="B1141" s="25"/>
      <c r="C1141" s="23"/>
      <c r="D1141" s="25"/>
      <c r="E1141" s="25"/>
      <c r="F1141" s="26"/>
      <c r="G1141" s="26"/>
      <c r="H1141" s="26"/>
      <c r="I1141" s="26"/>
      <c r="L1141" s="362">
        <f t="shared" si="757"/>
        <v>0</v>
      </c>
      <c r="AY1141" s="21"/>
      <c r="AZ1141" s="481"/>
      <c r="BA1141" s="481"/>
      <c r="BB1141" s="481"/>
      <c r="BC1141" s="481"/>
      <c r="BD1141" s="163"/>
      <c r="BE1141" s="163"/>
      <c r="BF1141" s="163"/>
    </row>
    <row r="1142" spans="1:61" s="45" customFormat="1" ht="15" customHeight="1">
      <c r="A1142" s="142" t="s">
        <v>1492</v>
      </c>
      <c r="B1142" s="142"/>
      <c r="C1142" s="142" t="s">
        <v>360</v>
      </c>
      <c r="D1142" s="229"/>
      <c r="E1142" s="229"/>
      <c r="F1142" s="229"/>
      <c r="G1142" s="26"/>
      <c r="H1142" s="229"/>
      <c r="I1142" s="230">
        <f>ROUND(SUM(I1143:I1144),2)</f>
        <v>8399.86</v>
      </c>
      <c r="K1142" s="381"/>
      <c r="L1142" s="362">
        <f t="shared" si="757"/>
        <v>0</v>
      </c>
      <c r="AY1142" s="56"/>
      <c r="AZ1142" s="481"/>
      <c r="BA1142" s="481"/>
      <c r="BB1142" s="481"/>
      <c r="BC1142" s="481"/>
      <c r="BD1142" s="163"/>
      <c r="BE1142" s="163"/>
      <c r="BF1142" s="230">
        <f>ROUND(SUM(BF1143:BF1144),2)</f>
        <v>9347.92</v>
      </c>
    </row>
    <row r="1143" spans="1:61" s="28" customFormat="1" ht="30">
      <c r="A1143" s="149" t="s">
        <v>1493</v>
      </c>
      <c r="B1143" s="148">
        <v>10832</v>
      </c>
      <c r="C1143" s="149" t="s">
        <v>361</v>
      </c>
      <c r="D1143" s="141" t="s">
        <v>44</v>
      </c>
      <c r="E1143" s="141" t="s">
        <v>26</v>
      </c>
      <c r="F1143" s="158">
        <v>1896.13</v>
      </c>
      <c r="G1143" s="26">
        <f t="shared" si="756"/>
        <v>1.5555000000000001</v>
      </c>
      <c r="H1143" s="158">
        <f>ROUND(G1143*(1+$J$14),2)</f>
        <v>1.97</v>
      </c>
      <c r="I1143" s="158">
        <f>ROUND(H1143*F1143,2)</f>
        <v>3735.38</v>
      </c>
      <c r="J1143" s="36">
        <f>'COMPOSIÇÃO DE CUSTOS'!G1768</f>
        <v>1.56</v>
      </c>
      <c r="K1143" s="374">
        <v>1.83</v>
      </c>
      <c r="L1143" s="362">
        <f t="shared" si="757"/>
        <v>2949.4302150000003</v>
      </c>
      <c r="M1143" s="36"/>
      <c r="AY1143" s="370"/>
      <c r="AZ1143" s="481"/>
      <c r="BA1143" s="481"/>
      <c r="BB1143" s="481"/>
      <c r="BC1143" s="481"/>
      <c r="BD1143" s="163">
        <f>ROUND(G1143*$BH$19,2)</f>
        <v>1.73</v>
      </c>
      <c r="BE1143" s="163">
        <f>ROUND(BD1143*(1+$J$14),2)</f>
        <v>2.19</v>
      </c>
      <c r="BF1143" s="163">
        <f>ROUND(BE1143*F1143,2)</f>
        <v>4152.5200000000004</v>
      </c>
    </row>
    <row r="1144" spans="1:61" s="28" customFormat="1">
      <c r="A1144" s="149" t="s">
        <v>1494</v>
      </c>
      <c r="B1144" s="148">
        <v>9537</v>
      </c>
      <c r="C1144" s="149" t="s">
        <v>362</v>
      </c>
      <c r="D1144" s="141" t="s">
        <v>1915</v>
      </c>
      <c r="E1144" s="141" t="s">
        <v>26</v>
      </c>
      <c r="F1144" s="158">
        <v>1896.13</v>
      </c>
      <c r="G1144" s="26">
        <f t="shared" si="756"/>
        <v>1.9379999999999997</v>
      </c>
      <c r="H1144" s="158">
        <f>ROUND(G1144*(1+$J$14),2)</f>
        <v>2.46</v>
      </c>
      <c r="I1144" s="158">
        <f>ROUND(H1144*F1144,2)</f>
        <v>4664.4799999999996</v>
      </c>
      <c r="J1144" s="36">
        <f>'COMPOSIÇÃO DE CUSTOS'!G1774</f>
        <v>1.94</v>
      </c>
      <c r="K1144" s="374">
        <v>2.2799999999999998</v>
      </c>
      <c r="L1144" s="362">
        <f t="shared" si="757"/>
        <v>3674.6999399999995</v>
      </c>
      <c r="M1144" s="36"/>
      <c r="AY1144" s="370"/>
      <c r="AZ1144" s="481"/>
      <c r="BA1144" s="481"/>
      <c r="BB1144" s="481"/>
      <c r="BC1144" s="481"/>
      <c r="BD1144" s="163">
        <f>ROUND(G1144*$BH$19,2)</f>
        <v>2.16</v>
      </c>
      <c r="BE1144" s="163">
        <f>ROUND(BD1144*(1+$J$14),2)</f>
        <v>2.74</v>
      </c>
      <c r="BF1144" s="163">
        <f>ROUND(BE1144*F1144,2)</f>
        <v>5195.3999999999996</v>
      </c>
    </row>
    <row r="1145" spans="1:61" s="28" customFormat="1">
      <c r="A1145" s="407"/>
      <c r="B1145" s="408"/>
      <c r="C1145" s="407"/>
      <c r="D1145" s="409"/>
      <c r="E1145" s="409"/>
      <c r="F1145" s="410"/>
      <c r="G1145" s="410"/>
      <c r="H1145" s="415"/>
      <c r="I1145" s="411"/>
      <c r="J1145" s="36"/>
      <c r="K1145" s="374"/>
      <c r="L1145" s="362"/>
      <c r="M1145" s="36"/>
      <c r="AZ1145" s="27"/>
      <c r="BA1145" s="27"/>
      <c r="BB1145" s="27"/>
      <c r="BC1145" s="869"/>
      <c r="BD1145" s="869"/>
      <c r="BE1145" s="862"/>
      <c r="BF1145" s="861"/>
    </row>
    <row r="1146" spans="1:61" ht="15" hidden="1" customHeight="1">
      <c r="A1146" s="416"/>
      <c r="B1146" s="416"/>
      <c r="C1146" s="412" t="s">
        <v>3452</v>
      </c>
      <c r="D1146" s="416"/>
      <c r="E1146" s="416"/>
      <c r="F1146" s="416"/>
      <c r="G1146" s="896" t="s">
        <v>3455</v>
      </c>
      <c r="H1146" s="896"/>
      <c r="I1146" s="232">
        <f>I1148-I1147</f>
        <v>8651879.0679300837</v>
      </c>
      <c r="J1146" s="60"/>
      <c r="K1146" s="372"/>
      <c r="L1146" s="359">
        <f>SUM(L23:L1144)</f>
        <v>8719505.9629381392</v>
      </c>
      <c r="M1146" s="387">
        <f>M1079+M1013+M517</f>
        <v>920889.62599999993</v>
      </c>
      <c r="N1146" s="21">
        <f>L1146+M1146</f>
        <v>9640395.5889381394</v>
      </c>
      <c r="BC1146" s="821"/>
      <c r="BD1146" s="821"/>
      <c r="BE1146" s="821"/>
      <c r="BF1146" s="821"/>
      <c r="BH1146" s="2" t="s">
        <v>4093</v>
      </c>
    </row>
    <row r="1147" spans="1:61" ht="15" hidden="1" customHeight="1">
      <c r="A1147" s="416"/>
      <c r="B1147" s="416"/>
      <c r="C1147" s="412" t="s">
        <v>3453</v>
      </c>
      <c r="D1147" s="416"/>
      <c r="E1147" s="416"/>
      <c r="F1147" s="416"/>
      <c r="G1147" s="896" t="s">
        <v>3455</v>
      </c>
      <c r="H1147" s="896"/>
      <c r="I1147" s="74">
        <f>M1153</f>
        <v>2262831.2220699149</v>
      </c>
      <c r="J1147" s="60"/>
      <c r="K1147" s="372"/>
      <c r="L1147" s="372">
        <f>L1146*J14</f>
        <v>2337699.5486637154</v>
      </c>
      <c r="M1147" s="372">
        <f>M1146*J15</f>
        <v>172022.18213679999</v>
      </c>
      <c r="N1147" s="21">
        <f>L1153+M1147</f>
        <v>2262831.2220699149</v>
      </c>
      <c r="BC1147" s="861"/>
      <c r="BD1147" s="861"/>
      <c r="BE1147" s="861"/>
      <c r="BF1147" s="861"/>
      <c r="BG1147" s="796">
        <f>BC1158-I1148</f>
        <v>2049464.1500000004</v>
      </c>
      <c r="BH1147" s="799">
        <v>4493658.4000000004</v>
      </c>
      <c r="BI1147" s="2">
        <f>BG1147-BH1147</f>
        <v>-2444194.25</v>
      </c>
    </row>
    <row r="1148" spans="1:61" ht="15" customHeight="1">
      <c r="A1148" s="416"/>
      <c r="B1148" s="416"/>
      <c r="C1148" s="412" t="s">
        <v>3454</v>
      </c>
      <c r="D1148" s="416"/>
      <c r="E1148" s="416"/>
      <c r="F1148" s="416"/>
      <c r="G1148" s="903" t="s">
        <v>3455</v>
      </c>
      <c r="H1148" s="903"/>
      <c r="I1148" s="73">
        <f>ROUND(I1142+I1123+I1119+I1114+I1101+I240+I233+I225+I209+I206+I198+I195+I188+I175+I171+I112+I97+I61+I49+I34+I22,2)</f>
        <v>10914710.289999999</v>
      </c>
      <c r="J1148" s="60">
        <v>12391443.24</v>
      </c>
      <c r="K1148" s="372"/>
      <c r="L1148" s="372">
        <f>L1146-M1146</f>
        <v>7798616.3369381391</v>
      </c>
      <c r="M1148" s="372"/>
      <c r="N1148" s="21">
        <f>N1146+N1147</f>
        <v>11903226.811008055</v>
      </c>
      <c r="BC1148" s="552"/>
      <c r="BD1148" s="552"/>
      <c r="BE1148" s="552"/>
      <c r="BF1148" s="552"/>
      <c r="BG1148" s="884">
        <f>BF1150-I1148</f>
        <v>3726006.2699999996</v>
      </c>
    </row>
    <row r="1149" spans="1:61" ht="15" customHeight="1">
      <c r="A1149" s="231"/>
      <c r="B1149" s="231"/>
      <c r="C1149" s="413"/>
      <c r="D1149" s="231"/>
      <c r="E1149" s="231"/>
      <c r="F1149" s="231"/>
      <c r="G1149" s="359"/>
      <c r="H1149" s="359"/>
      <c r="I1149" s="414"/>
      <c r="J1149" s="372"/>
      <c r="K1149" s="372"/>
      <c r="L1149" s="372"/>
      <c r="M1149" s="372"/>
      <c r="N1149" s="21"/>
      <c r="BD1149" s="868"/>
    </row>
    <row r="1150" spans="1:61" ht="15" customHeight="1">
      <c r="A1150" s="231"/>
      <c r="B1150" s="231"/>
      <c r="C1150" s="413" t="s">
        <v>3461</v>
      </c>
      <c r="D1150" s="231"/>
      <c r="E1150" s="231"/>
      <c r="F1150" s="231"/>
      <c r="G1150" s="359"/>
      <c r="H1150" s="359"/>
      <c r="I1150" s="414"/>
      <c r="J1150" s="372"/>
      <c r="K1150" s="372"/>
      <c r="L1150" s="372"/>
      <c r="M1150" s="372"/>
      <c r="N1150" s="21"/>
      <c r="BD1150" s="898" t="s">
        <v>4114</v>
      </c>
      <c r="BE1150" s="898"/>
      <c r="BF1150" s="73">
        <f>BC1158+BC1157</f>
        <v>14640716.559999999</v>
      </c>
    </row>
    <row r="1151" spans="1:61" ht="15" customHeight="1">
      <c r="A1151" s="231"/>
      <c r="B1151" s="231"/>
      <c r="C1151" s="413"/>
      <c r="D1151" s="231"/>
      <c r="E1151" s="231"/>
      <c r="F1151" s="231"/>
      <c r="G1151" s="359"/>
      <c r="H1151" s="359"/>
      <c r="I1151" s="414"/>
      <c r="J1151" s="372"/>
      <c r="K1151" s="372"/>
      <c r="L1151" s="372"/>
      <c r="M1151" s="372"/>
      <c r="N1151" s="21"/>
    </row>
    <row r="1152" spans="1:61" ht="15" customHeight="1">
      <c r="A1152" s="231"/>
      <c r="B1152" s="231"/>
      <c r="C1152" s="413"/>
      <c r="D1152" s="231"/>
      <c r="E1152" s="231"/>
      <c r="F1152" s="231"/>
      <c r="G1152" s="359"/>
      <c r="H1152" s="359"/>
      <c r="I1152" s="414"/>
      <c r="J1152" s="372"/>
      <c r="K1152" s="372"/>
      <c r="L1152" s="372"/>
      <c r="M1152" s="372"/>
      <c r="N1152" s="21"/>
    </row>
    <row r="1153" spans="5:58" hidden="1">
      <c r="I1153" s="2">
        <f>I1147+I1146</f>
        <v>10914710.289999999</v>
      </c>
      <c r="J1153" s="21"/>
      <c r="K1153" s="360"/>
      <c r="L1153" s="360">
        <f>L1148*J14</f>
        <v>2090809.039933115</v>
      </c>
      <c r="M1153" s="21">
        <f>L1153+M1147</f>
        <v>2262831.2220699149</v>
      </c>
    </row>
    <row r="1154" spans="5:58" hidden="1">
      <c r="I1154" s="401">
        <f>I1148+'PLANILHA ORÇA - EJUD'!I951</f>
        <v>16020942.349999998</v>
      </c>
      <c r="L1154" s="368">
        <f>I1148-L1153-M1147</f>
        <v>8651879.0679300837</v>
      </c>
    </row>
    <row r="1155" spans="5:58" hidden="1">
      <c r="I1155" s="2">
        <f>I1148+'PLANILHA ORÇA - EJUD'!I951</f>
        <v>16020942.349999998</v>
      </c>
      <c r="L1155" s="368">
        <f>L1154+L1153+M1147</f>
        <v>10914710.289999999</v>
      </c>
    </row>
    <row r="1156" spans="5:58">
      <c r="BF1156" s="27">
        <f>BC1158-I1148</f>
        <v>2049464.1500000004</v>
      </c>
    </row>
    <row r="1157" spans="5:58" ht="30">
      <c r="G1157" s="233"/>
      <c r="H1157" s="234"/>
      <c r="I1157" s="235"/>
      <c r="BA1157" s="2" t="s">
        <v>4116</v>
      </c>
      <c r="BB1157" s="867" t="s">
        <v>368</v>
      </c>
      <c r="BC1157" s="73">
        <f>ROUND(BC1142+BC1123+BC1119+BC1114+BC1101+BC240+BC233+BC225+BC209+BC206+BC198+BC195+BC188+BC175+BC171+BC112+BC97+BC61+BC49+BC34+BC22,2)</f>
        <v>1676542.12</v>
      </c>
      <c r="BF1157" s="27">
        <f>BF1156+'PLANILHA ORÇA - EJUD'!AK969</f>
        <v>1875767.7600000007</v>
      </c>
    </row>
    <row r="1158" spans="5:58">
      <c r="BA1158" s="2" t="s">
        <v>4117</v>
      </c>
      <c r="BB1158" s="867" t="s">
        <v>368</v>
      </c>
      <c r="BC1158" s="73">
        <f>ROUND(BF1142+BF1123+BF1119+BF1114+BF1101+BF240+BF233+BF225+BF209+BF206+BF198+BF195+BF188+BF175+BF171+BF112+BF97+BF61+BF49+BF34+BF22,2)</f>
        <v>12964174.439999999</v>
      </c>
    </row>
    <row r="1159" spans="5:58" ht="36" customHeight="1">
      <c r="E1159" s="894"/>
      <c r="F1159" s="894"/>
      <c r="G1159" s="894"/>
      <c r="H1159" s="894"/>
      <c r="I1159" s="35"/>
      <c r="J1159" s="237"/>
      <c r="K1159" s="375"/>
      <c r="L1159" s="375"/>
      <c r="M1159" s="237"/>
      <c r="N1159" s="35"/>
    </row>
    <row r="1160" spans="5:58" ht="30" customHeight="1">
      <c r="E1160" s="894"/>
      <c r="F1160" s="894"/>
      <c r="G1160" s="894"/>
      <c r="H1160" s="894"/>
      <c r="I1160" s="35"/>
      <c r="J1160" s="237"/>
      <c r="K1160" s="375"/>
      <c r="L1160" s="375"/>
      <c r="M1160" s="237"/>
      <c r="N1160" s="35"/>
    </row>
    <row r="1161" spans="5:58">
      <c r="E1161" s="894"/>
      <c r="F1161" s="894"/>
      <c r="G1161" s="894"/>
      <c r="H1161" s="894"/>
      <c r="J1161" s="236"/>
      <c r="M1161" s="358"/>
    </row>
    <row r="1162" spans="5:58">
      <c r="J1162" s="236"/>
      <c r="L1162" s="400"/>
      <c r="M1162" s="358"/>
    </row>
    <row r="1165" spans="5:58">
      <c r="H1165" s="281"/>
    </row>
  </sheetData>
  <mergeCells count="28">
    <mergeCell ref="AZ19:BF19"/>
    <mergeCell ref="C7:E8"/>
    <mergeCell ref="G1148:H1148"/>
    <mergeCell ref="A19:I19"/>
    <mergeCell ref="A13:A14"/>
    <mergeCell ref="B13:D14"/>
    <mergeCell ref="A15:A16"/>
    <mergeCell ref="B15:D16"/>
    <mergeCell ref="B17:D17"/>
    <mergeCell ref="B18:D18"/>
    <mergeCell ref="A20:A21"/>
    <mergeCell ref="A11:I11"/>
    <mergeCell ref="A12:I12"/>
    <mergeCell ref="B20:B21"/>
    <mergeCell ref="C20:C21"/>
    <mergeCell ref="D20:D21"/>
    <mergeCell ref="BD20:BF20"/>
    <mergeCell ref="E1159:H1159"/>
    <mergeCell ref="E1161:H1161"/>
    <mergeCell ref="E1160:H1160"/>
    <mergeCell ref="G20:H20"/>
    <mergeCell ref="I20:I21"/>
    <mergeCell ref="G1146:H1146"/>
    <mergeCell ref="G1147:H1147"/>
    <mergeCell ref="E20:E21"/>
    <mergeCell ref="F20:F21"/>
    <mergeCell ref="AZ20:BC20"/>
    <mergeCell ref="BD1150:BE1150"/>
  </mergeCells>
  <pageMargins left="0.39370078740157483" right="0.39370078740157483" top="1.9685039370078741" bottom="0.98425196850393704" header="0" footer="0"/>
  <pageSetup paperSize="9"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AP971"/>
  <sheetViews>
    <sheetView view="pageBreakPreview" zoomScaleSheetLayoutView="100" workbookViewId="0">
      <pane ySplit="14" topLeftCell="A23" activePane="bottomLeft" state="frozen"/>
      <selection activeCell="BC112" sqref="BC112"/>
      <selection pane="bottomLeft" activeCell="AM24" sqref="AM24"/>
    </sheetView>
  </sheetViews>
  <sheetFormatPr defaultColWidth="9.140625" defaultRowHeight="15"/>
  <cols>
    <col min="1" max="1" width="10.5703125" style="358" customWidth="1"/>
    <col min="2" max="2" width="13.42578125" style="2" hidden="1" customWidth="1"/>
    <col min="3" max="3" width="55.28515625" style="2" customWidth="1"/>
    <col min="4" max="4" width="15.5703125" style="2" hidden="1" customWidth="1"/>
    <col min="5" max="5" width="6.5703125" style="2" bestFit="1" customWidth="1"/>
    <col min="6" max="6" width="10.7109375" style="2" bestFit="1" customWidth="1"/>
    <col min="7" max="7" width="11.42578125" style="2" customWidth="1"/>
    <col min="8" max="8" width="11" style="2" bestFit="1" customWidth="1"/>
    <col min="9" max="9" width="18.28515625" style="2" bestFit="1" customWidth="1"/>
    <col min="10" max="10" width="13.140625" style="2" hidden="1" customWidth="1"/>
    <col min="11" max="11" width="13.140625" style="368" hidden="1" customWidth="1"/>
    <col min="12" max="12" width="12.28515625" style="2" hidden="1" customWidth="1"/>
    <col min="13" max="13" width="11.5703125" style="2" hidden="1" customWidth="1"/>
    <col min="14" max="14" width="10" style="2" hidden="1" customWidth="1"/>
    <col min="15" max="15" width="11.5703125" style="2" hidden="1" customWidth="1"/>
    <col min="16" max="16" width="12.5703125" style="2" hidden="1" customWidth="1"/>
    <col min="17" max="17" width="8" style="2" hidden="1" customWidth="1"/>
    <col min="18" max="18" width="9" style="2" hidden="1" customWidth="1"/>
    <col min="19" max="19" width="9.140625" style="2" hidden="1" customWidth="1"/>
    <col min="20" max="30" width="0" style="2" hidden="1" customWidth="1"/>
    <col min="31" max="33" width="9.140625" style="2"/>
    <col min="34" max="34" width="13.140625" style="27" bestFit="1" customWidth="1"/>
    <col min="35" max="36" width="10.140625" style="27" customWidth="1"/>
    <col min="37" max="37" width="17.28515625" style="27" bestFit="1" customWidth="1"/>
    <col min="38" max="38" width="21.42578125" style="237" customWidth="1"/>
    <col min="39" max="39" width="14.7109375" style="2" bestFit="1" customWidth="1"/>
    <col min="40" max="40" width="15.42578125" style="2" bestFit="1" customWidth="1"/>
    <col min="41" max="41" width="6.140625" style="2" customWidth="1"/>
    <col min="42" max="42" width="13.5703125" style="2" customWidth="1"/>
    <col min="43" max="16384" width="9.140625" style="2"/>
  </cols>
  <sheetData>
    <row r="1" spans="1:39">
      <c r="A1" s="403"/>
    </row>
    <row r="2" spans="1:39" hidden="1">
      <c r="A2" s="403"/>
      <c r="C2" s="234" t="s">
        <v>3456</v>
      </c>
    </row>
    <row r="3" spans="1:39" hidden="1">
      <c r="A3" s="403"/>
      <c r="C3" s="234" t="s">
        <v>3457</v>
      </c>
    </row>
    <row r="4" spans="1:39" hidden="1">
      <c r="A4" s="403"/>
      <c r="C4" s="234" t="s">
        <v>3458</v>
      </c>
    </row>
    <row r="5" spans="1:39" hidden="1">
      <c r="A5" s="403"/>
      <c r="C5" s="234" t="s">
        <v>3459</v>
      </c>
    </row>
    <row r="6" spans="1:39" hidden="1">
      <c r="A6" s="403"/>
      <c r="C6" s="234" t="s">
        <v>3460</v>
      </c>
    </row>
    <row r="7" spans="1:39" hidden="1">
      <c r="A7" s="406"/>
      <c r="C7" s="902" t="s">
        <v>3470</v>
      </c>
      <c r="D7" s="902"/>
      <c r="E7" s="902"/>
    </row>
    <row r="8" spans="1:39" ht="27.75" hidden="1" customHeight="1">
      <c r="A8" s="406"/>
      <c r="C8" s="902"/>
      <c r="D8" s="902"/>
      <c r="E8" s="902"/>
    </row>
    <row r="9" spans="1:39">
      <c r="A9" s="406"/>
      <c r="C9" s="234"/>
      <c r="AL9" s="237" t="s">
        <v>3942</v>
      </c>
      <c r="AM9" s="2">
        <v>938.47500000000002</v>
      </c>
    </row>
    <row r="10" spans="1:39">
      <c r="A10" s="403"/>
      <c r="AL10" s="237" t="s">
        <v>4094</v>
      </c>
      <c r="AM10" s="2">
        <v>1045.4690000000001</v>
      </c>
    </row>
    <row r="11" spans="1:39">
      <c r="A11" s="403"/>
      <c r="C11" s="914"/>
      <c r="D11" s="914"/>
      <c r="E11" s="914"/>
      <c r="F11" s="914"/>
      <c r="G11" s="914"/>
      <c r="AM11" s="550">
        <f>(AM10-AM9)/AM9+1</f>
        <v>1.1140083646341139</v>
      </c>
    </row>
    <row r="12" spans="1:39" ht="24" customHeight="1">
      <c r="A12" s="904" t="s">
        <v>4120</v>
      </c>
      <c r="B12" s="904"/>
      <c r="C12" s="904"/>
      <c r="D12" s="904"/>
      <c r="E12" s="904"/>
      <c r="F12" s="904"/>
      <c r="G12" s="904"/>
      <c r="H12" s="904"/>
      <c r="I12" s="904"/>
      <c r="J12" s="21" t="s">
        <v>8</v>
      </c>
      <c r="K12" s="360" t="s">
        <v>8</v>
      </c>
      <c r="L12" s="21"/>
      <c r="M12" s="21"/>
      <c r="N12" s="21"/>
      <c r="O12" s="21"/>
      <c r="AE12" s="899" t="s">
        <v>4118</v>
      </c>
      <c r="AF12" s="900"/>
      <c r="AG12" s="900"/>
      <c r="AH12" s="900"/>
      <c r="AI12" s="900"/>
      <c r="AJ12" s="900"/>
      <c r="AK12" s="901"/>
    </row>
    <row r="13" spans="1:39">
      <c r="A13" s="892" t="s">
        <v>0</v>
      </c>
      <c r="B13" s="916" t="s">
        <v>1</v>
      </c>
      <c r="C13" s="892" t="s">
        <v>2</v>
      </c>
      <c r="D13" s="916" t="s">
        <v>3</v>
      </c>
      <c r="E13" s="892" t="s">
        <v>4</v>
      </c>
      <c r="F13" s="892" t="s">
        <v>1769</v>
      </c>
      <c r="G13" s="892" t="s">
        <v>5</v>
      </c>
      <c r="H13" s="893"/>
      <c r="I13" s="892" t="s">
        <v>6</v>
      </c>
      <c r="J13" s="48">
        <v>0.2681</v>
      </c>
      <c r="K13" s="361">
        <v>0.2681</v>
      </c>
      <c r="L13" s="48"/>
      <c r="M13" s="48"/>
      <c r="N13" s="48"/>
      <c r="O13" s="48"/>
      <c r="AE13" s="912" t="s">
        <v>4106</v>
      </c>
      <c r="AF13" s="912"/>
      <c r="AG13" s="912"/>
      <c r="AH13" s="912"/>
      <c r="AI13" s="912" t="s">
        <v>5</v>
      </c>
      <c r="AJ13" s="913"/>
      <c r="AK13" s="912" t="s">
        <v>6</v>
      </c>
    </row>
    <row r="14" spans="1:39" ht="28.5">
      <c r="A14" s="895"/>
      <c r="B14" s="892"/>
      <c r="C14" s="895"/>
      <c r="D14" s="892"/>
      <c r="E14" s="895"/>
      <c r="F14" s="895"/>
      <c r="G14" s="171" t="s">
        <v>7</v>
      </c>
      <c r="H14" s="482" t="s">
        <v>9</v>
      </c>
      <c r="I14" s="915"/>
      <c r="J14" s="48">
        <v>0.18679999999999999</v>
      </c>
      <c r="K14" s="361">
        <v>0.18679999999999999</v>
      </c>
      <c r="L14" s="48">
        <v>0.15</v>
      </c>
      <c r="M14" s="48"/>
      <c r="N14" s="48"/>
      <c r="O14" s="48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853" t="s">
        <v>1769</v>
      </c>
      <c r="AF14" s="853" t="s">
        <v>7</v>
      </c>
      <c r="AG14" s="853" t="s">
        <v>9</v>
      </c>
      <c r="AH14" s="853" t="s">
        <v>368</v>
      </c>
      <c r="AI14" s="586" t="s">
        <v>7</v>
      </c>
      <c r="AJ14" s="586" t="s">
        <v>9</v>
      </c>
      <c r="AK14" s="913"/>
    </row>
    <row r="15" spans="1:39" s="62" customFormat="1" ht="33.75" customHeight="1">
      <c r="A15" s="83">
        <v>1</v>
      </c>
      <c r="B15" s="244"/>
      <c r="C15" s="244" t="s">
        <v>3005</v>
      </c>
      <c r="D15" s="245"/>
      <c r="E15" s="245"/>
      <c r="F15" s="245"/>
      <c r="G15" s="156"/>
      <c r="H15" s="553"/>
      <c r="I15" s="548">
        <v>0</v>
      </c>
      <c r="J15" s="554"/>
      <c r="K15" s="555"/>
      <c r="L15" s="554"/>
      <c r="M15" s="554"/>
      <c r="N15" s="554"/>
      <c r="O15" s="554"/>
      <c r="P15" s="556"/>
      <c r="Q15" s="556">
        <v>1</v>
      </c>
      <c r="R15" s="556">
        <f t="shared" ref="R15:R59" si="0">Q15-F15</f>
        <v>1</v>
      </c>
      <c r="S15" s="556"/>
      <c r="T15" s="556"/>
      <c r="U15" s="556"/>
      <c r="V15" s="556"/>
      <c r="W15" s="556"/>
      <c r="X15" s="556"/>
      <c r="Y15" s="556"/>
      <c r="Z15" s="556"/>
      <c r="AA15" s="556"/>
      <c r="AB15" s="556"/>
      <c r="AC15" s="556"/>
      <c r="AD15" s="556"/>
      <c r="AE15" s="481"/>
      <c r="AF15" s="481"/>
      <c r="AG15" s="481"/>
      <c r="AH15" s="845">
        <v>0</v>
      </c>
      <c r="AI15" s="481"/>
      <c r="AJ15" s="481"/>
      <c r="AK15" s="548">
        <v>0</v>
      </c>
      <c r="AL15" s="224"/>
    </row>
    <row r="16" spans="1:39" s="28" customFormat="1" ht="15" customHeight="1">
      <c r="A16" s="25"/>
      <c r="B16" s="25"/>
      <c r="C16" s="23"/>
      <c r="D16" s="25"/>
      <c r="E16" s="25"/>
      <c r="F16" s="26"/>
      <c r="G16" s="157"/>
      <c r="H16" s="158"/>
      <c r="I16" s="158"/>
      <c r="J16" s="557" t="str">
        <f>IF(B16&lt;&gt;0,VLOOKUP(B16,#REF!,4,FALSE),"")</f>
        <v/>
      </c>
      <c r="K16" s="558" t="s">
        <v>1892</v>
      </c>
      <c r="L16" s="557"/>
      <c r="M16" s="557"/>
      <c r="N16" s="557"/>
      <c r="O16" s="557"/>
      <c r="P16" s="557" t="str">
        <f>IF(B16&lt;&gt;0,VLOOKUP(B16,#REF!,2,FALSE),"")</f>
        <v/>
      </c>
      <c r="Q16" s="559"/>
      <c r="R16" s="556">
        <f t="shared" si="0"/>
        <v>0</v>
      </c>
      <c r="S16" s="559"/>
      <c r="T16" s="559"/>
      <c r="U16" s="559"/>
      <c r="V16" s="559"/>
      <c r="W16" s="559"/>
      <c r="X16" s="559"/>
      <c r="Y16" s="559"/>
      <c r="Z16" s="559"/>
      <c r="AA16" s="559"/>
      <c r="AB16" s="559"/>
      <c r="AC16" s="559"/>
      <c r="AD16" s="559"/>
      <c r="AE16" s="481"/>
      <c r="AF16" s="481"/>
      <c r="AG16" s="481"/>
      <c r="AH16" s="481"/>
      <c r="AI16" s="481"/>
      <c r="AJ16" s="481"/>
      <c r="AK16" s="158"/>
      <c r="AL16" s="787"/>
    </row>
    <row r="17" spans="1:38" s="28" customFormat="1" ht="33.75" customHeight="1">
      <c r="A17" s="77" t="s">
        <v>655</v>
      </c>
      <c r="B17" s="244"/>
      <c r="C17" s="244" t="s">
        <v>3008</v>
      </c>
      <c r="D17" s="245"/>
      <c r="E17" s="245"/>
      <c r="F17" s="245"/>
      <c r="G17" s="156"/>
      <c r="H17" s="553"/>
      <c r="I17" s="548">
        <v>0</v>
      </c>
      <c r="J17" s="557" t="str">
        <f>IF(B17&lt;&gt;0,VLOOKUP(B17,#REF!,4,FALSE),"")</f>
        <v/>
      </c>
      <c r="K17" s="558" t="s">
        <v>1892</v>
      </c>
      <c r="L17" s="557"/>
      <c r="M17" s="557"/>
      <c r="N17" s="557"/>
      <c r="O17" s="557"/>
      <c r="P17" s="557" t="str">
        <f>IF(B17&lt;&gt;0,VLOOKUP(B17,#REF!,2,FALSE),"")</f>
        <v/>
      </c>
      <c r="Q17" s="559"/>
      <c r="R17" s="556">
        <f t="shared" si="0"/>
        <v>0</v>
      </c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481"/>
      <c r="AF17" s="481"/>
      <c r="AG17" s="481"/>
      <c r="AH17" s="845">
        <v>0</v>
      </c>
      <c r="AI17" s="481"/>
      <c r="AJ17" s="481"/>
      <c r="AK17" s="548">
        <v>0</v>
      </c>
      <c r="AL17" s="787"/>
    </row>
    <row r="18" spans="1:38" s="28" customFormat="1" ht="17.25" customHeight="1">
      <c r="A18" s="25"/>
      <c r="B18" s="24"/>
      <c r="C18" s="23"/>
      <c r="D18" s="25"/>
      <c r="E18" s="25"/>
      <c r="F18" s="26"/>
      <c r="G18" s="157"/>
      <c r="H18" s="158"/>
      <c r="I18" s="158"/>
      <c r="J18" s="557" t="str">
        <f>IF(B18&lt;&gt;0,VLOOKUP(B18,#REF!,4,FALSE),"")</f>
        <v/>
      </c>
      <c r="K18" s="558" t="s">
        <v>1892</v>
      </c>
      <c r="L18" s="557"/>
      <c r="M18" s="557"/>
      <c r="N18" s="557"/>
      <c r="O18" s="557"/>
      <c r="P18" s="557" t="str">
        <f>IF(B18&lt;&gt;0,VLOOKUP(B18,#REF!,2,FALSE),"")</f>
        <v/>
      </c>
      <c r="Q18" s="559"/>
      <c r="R18" s="556">
        <f t="shared" si="0"/>
        <v>0</v>
      </c>
      <c r="S18" s="559"/>
      <c r="T18" s="559"/>
      <c r="U18" s="559"/>
      <c r="V18" s="559"/>
      <c r="W18" s="559"/>
      <c r="X18" s="559"/>
      <c r="Y18" s="559"/>
      <c r="Z18" s="559"/>
      <c r="AA18" s="559"/>
      <c r="AB18" s="559"/>
      <c r="AC18" s="559"/>
      <c r="AD18" s="559"/>
      <c r="AE18" s="481"/>
      <c r="AF18" s="481"/>
      <c r="AG18" s="481"/>
      <c r="AH18" s="481"/>
      <c r="AI18" s="481"/>
      <c r="AJ18" s="481"/>
      <c r="AK18" s="481"/>
      <c r="AL18" s="787"/>
    </row>
    <row r="19" spans="1:38" ht="15" customHeight="1">
      <c r="A19" s="77" t="s">
        <v>668</v>
      </c>
      <c r="B19" s="139"/>
      <c r="C19" s="244" t="s">
        <v>30</v>
      </c>
      <c r="D19" s="245"/>
      <c r="E19" s="245"/>
      <c r="F19" s="245"/>
      <c r="G19" s="156"/>
      <c r="H19" s="553"/>
      <c r="I19" s="548">
        <f>ROUND(SUM(I20:I29),2)</f>
        <v>40027.79</v>
      </c>
      <c r="J19" s="557" t="str">
        <f>IF(B19&lt;&gt;0,VLOOKUP(B19,#REF!,4,FALSE),"")</f>
        <v/>
      </c>
      <c r="K19" s="558" t="s">
        <v>1892</v>
      </c>
      <c r="L19" s="557"/>
      <c r="M19" s="557"/>
      <c r="N19" s="557"/>
      <c r="O19" s="557"/>
      <c r="P19" s="557" t="str">
        <f>IF(B19&lt;&gt;0,VLOOKUP(B19,#REF!,2,FALSE),"")</f>
        <v/>
      </c>
      <c r="Q19" s="239"/>
      <c r="R19" s="556">
        <f t="shared" si="0"/>
        <v>0</v>
      </c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481"/>
      <c r="AF19" s="481"/>
      <c r="AG19" s="481"/>
      <c r="AH19" s="834">
        <f>ROUND(SUM(AH20:AH29),2)</f>
        <v>40027.79</v>
      </c>
      <c r="AI19" s="481"/>
      <c r="AJ19" s="481"/>
      <c r="AK19" s="548"/>
    </row>
    <row r="20" spans="1:38" s="28" customFormat="1" ht="27.75" customHeight="1">
      <c r="A20" s="77" t="s">
        <v>669</v>
      </c>
      <c r="B20" s="139"/>
      <c r="C20" s="340" t="s">
        <v>31</v>
      </c>
      <c r="D20" s="341"/>
      <c r="E20" s="341"/>
      <c r="F20" s="341"/>
      <c r="G20" s="156"/>
      <c r="H20" s="553"/>
      <c r="I20" s="548"/>
      <c r="J20" s="557" t="str">
        <f>IF(B20&lt;&gt;0,VLOOKUP(B20,#REF!,4,FALSE),"")</f>
        <v/>
      </c>
      <c r="K20" s="558" t="s">
        <v>1892</v>
      </c>
      <c r="L20" s="557"/>
      <c r="M20" s="557"/>
      <c r="N20" s="557"/>
      <c r="O20" s="557"/>
      <c r="P20" s="557" t="str">
        <f>IF(B20&lt;&gt;0,VLOOKUP(B20,#REF!,2,FALSE),"")</f>
        <v/>
      </c>
      <c r="Q20" s="559">
        <v>1185</v>
      </c>
      <c r="R20" s="556">
        <f t="shared" si="0"/>
        <v>1185</v>
      </c>
      <c r="S20" s="559"/>
      <c r="T20" s="559"/>
      <c r="U20" s="559"/>
      <c r="V20" s="559"/>
      <c r="W20" s="559"/>
      <c r="X20" s="559"/>
      <c r="Y20" s="559"/>
      <c r="Z20" s="559"/>
      <c r="AA20" s="559"/>
      <c r="AB20" s="559"/>
      <c r="AC20" s="559"/>
      <c r="AD20" s="559"/>
      <c r="AE20" s="481"/>
      <c r="AF20" s="481"/>
      <c r="AG20" s="481"/>
      <c r="AH20" s="481"/>
      <c r="AI20" s="481"/>
      <c r="AJ20" s="481"/>
      <c r="AK20" s="481"/>
      <c r="AL20" s="787"/>
    </row>
    <row r="21" spans="1:38" ht="52.5" customHeight="1">
      <c r="A21" s="25" t="s">
        <v>670</v>
      </c>
      <c r="B21" s="24">
        <v>98525</v>
      </c>
      <c r="C21" s="23" t="s">
        <v>32</v>
      </c>
      <c r="D21" s="25"/>
      <c r="E21" s="25" t="s">
        <v>26</v>
      </c>
      <c r="F21" s="26">
        <v>602.15</v>
      </c>
      <c r="G21" s="157">
        <f>K21-(K21*$L$14)</f>
        <v>0.2465</v>
      </c>
      <c r="H21" s="158">
        <f>ROUND(G21*(1+$J$13),2)</f>
        <v>0.31</v>
      </c>
      <c r="I21" s="158">
        <f>ROUND(H21*F21,2)</f>
        <v>186.67</v>
      </c>
      <c r="J21" s="557" t="e">
        <f>IF(B21&lt;&gt;0,VLOOKUP(B21,#REF!,4,FALSE),"")</f>
        <v>#REF!</v>
      </c>
      <c r="K21" s="558">
        <v>0.28999999999999998</v>
      </c>
      <c r="L21" s="557">
        <f>G21-K21</f>
        <v>-4.3499999999999983E-2</v>
      </c>
      <c r="M21" s="557">
        <f>F21*G21</f>
        <v>148.42997499999998</v>
      </c>
      <c r="N21" s="557"/>
      <c r="O21" s="557">
        <f>F21*H21</f>
        <v>186.66649999999998</v>
      </c>
      <c r="P21" s="557" t="e">
        <f>IF(B21&lt;&gt;0,VLOOKUP(B21,#REF!,2,FALSE),"")</f>
        <v>#REF!</v>
      </c>
      <c r="Q21" s="239"/>
      <c r="R21" s="556">
        <f t="shared" si="0"/>
        <v>-602.15</v>
      </c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163">
        <f>F21</f>
        <v>602.15</v>
      </c>
      <c r="AF21" s="163">
        <f>G21</f>
        <v>0.2465</v>
      </c>
      <c r="AG21" s="158">
        <f>ROUND(AF21*(1+$J$13),2)</f>
        <v>0.31</v>
      </c>
      <c r="AH21" s="158">
        <f>ROUND(AG21*F21,2)</f>
        <v>186.67</v>
      </c>
      <c r="AI21" s="158"/>
      <c r="AJ21" s="158"/>
      <c r="AK21" s="158"/>
    </row>
    <row r="22" spans="1:38" s="28" customFormat="1">
      <c r="A22" s="77" t="s">
        <v>671</v>
      </c>
      <c r="B22" s="139"/>
      <c r="C22" s="340" t="s">
        <v>33</v>
      </c>
      <c r="D22" s="341"/>
      <c r="E22" s="341"/>
      <c r="F22" s="341"/>
      <c r="G22" s="26"/>
      <c r="H22" s="549"/>
      <c r="I22" s="551"/>
      <c r="J22" s="67" t="str">
        <f>IF(B22&lt;&gt;0,VLOOKUP(B22,#REF!,4,FALSE),"")</f>
        <v/>
      </c>
      <c r="K22" s="385" t="s">
        <v>1892</v>
      </c>
      <c r="L22" s="67"/>
      <c r="M22" s="67">
        <f t="shared" ref="M22:M85" si="1">F22*G22</f>
        <v>0</v>
      </c>
      <c r="N22" s="67"/>
      <c r="O22" s="67">
        <f t="shared" ref="O22:O85" si="2">F22*H22</f>
        <v>0</v>
      </c>
      <c r="P22" s="67" t="str">
        <f>IF(B22&lt;&gt;0,VLOOKUP(B22,#REF!,2,FALSE),"")</f>
        <v/>
      </c>
      <c r="Q22" s="370">
        <v>974.47</v>
      </c>
      <c r="R22" s="221">
        <f t="shared" si="0"/>
        <v>974.47</v>
      </c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163"/>
      <c r="AF22" s="163"/>
      <c r="AG22" s="158"/>
      <c r="AH22" s="158"/>
      <c r="AI22" s="552"/>
      <c r="AJ22" s="552"/>
      <c r="AK22" s="552"/>
      <c r="AL22" s="787"/>
    </row>
    <row r="23" spans="1:38" s="28" customFormat="1" ht="34.5" customHeight="1">
      <c r="A23" s="25" t="s">
        <v>672</v>
      </c>
      <c r="B23" s="24">
        <v>79480</v>
      </c>
      <c r="C23" s="23" t="s">
        <v>34</v>
      </c>
      <c r="D23" s="25"/>
      <c r="E23" s="25" t="s">
        <v>35</v>
      </c>
      <c r="F23" s="26">
        <v>994.79</v>
      </c>
      <c r="G23" s="26">
        <f t="shared" ref="G23:G85" si="3">K23-(K23*$L$14)</f>
        <v>2.0995000000000004</v>
      </c>
      <c r="H23" s="26">
        <f>ROUND(G23*(1+$J$13),2)</f>
        <v>2.66</v>
      </c>
      <c r="I23" s="26">
        <f t="shared" ref="I23" si="4">ROUND(H23*F23,2)</f>
        <v>2646.14</v>
      </c>
      <c r="J23" s="64">
        <f>'COMPOSIÇÃO DE CUSTOS'!G11</f>
        <v>2.1</v>
      </c>
      <c r="K23" s="362">
        <v>2.4700000000000002</v>
      </c>
      <c r="L23" s="65">
        <f t="shared" ref="L23:L85" si="5">G23-K23</f>
        <v>-0.37049999999999983</v>
      </c>
      <c r="M23" s="65">
        <f t="shared" si="1"/>
        <v>2088.5616050000003</v>
      </c>
      <c r="N23" s="65"/>
      <c r="O23" s="65">
        <f t="shared" si="2"/>
        <v>2646.1414</v>
      </c>
      <c r="P23" s="65" t="e">
        <f>IF(B23&lt;&gt;0,VLOOKUP(B23,#REF!,2,FALSE),"")</f>
        <v>#REF!</v>
      </c>
      <c r="R23" s="62">
        <f t="shared" si="0"/>
        <v>-994.79</v>
      </c>
      <c r="AE23" s="163">
        <f t="shared" ref="AE23:AE29" si="6">F23</f>
        <v>994.79</v>
      </c>
      <c r="AF23" s="163">
        <f t="shared" ref="AF23:AF29" si="7">G23</f>
        <v>2.0995000000000004</v>
      </c>
      <c r="AG23" s="158">
        <f>ROUND(AF23*(1+$J$13),2)</f>
        <v>2.66</v>
      </c>
      <c r="AH23" s="158">
        <f>ROUND(AG23*F23,2)</f>
        <v>2646.14</v>
      </c>
      <c r="AI23" s="26"/>
      <c r="AJ23" s="26"/>
      <c r="AK23" s="26"/>
      <c r="AL23" s="787"/>
    </row>
    <row r="24" spans="1:38">
      <c r="A24" s="77" t="s">
        <v>673</v>
      </c>
      <c r="B24" s="139"/>
      <c r="C24" s="340" t="s">
        <v>36</v>
      </c>
      <c r="D24" s="341"/>
      <c r="E24" s="341"/>
      <c r="F24" s="341"/>
      <c r="G24" s="26"/>
      <c r="H24" s="341"/>
      <c r="I24" s="96"/>
      <c r="J24" s="65" t="str">
        <f>IF(B24&lt;&gt;0,VLOOKUP(B24,#REF!,4,FALSE),"")</f>
        <v/>
      </c>
      <c r="K24" s="362" t="s">
        <v>1892</v>
      </c>
      <c r="L24" s="65"/>
      <c r="M24" s="65">
        <f t="shared" si="1"/>
        <v>0</v>
      </c>
      <c r="N24" s="65"/>
      <c r="O24" s="65">
        <f t="shared" si="2"/>
        <v>0</v>
      </c>
      <c r="P24" s="65" t="str">
        <f>IF(B24&lt;&gt;0,VLOOKUP(B24,#REF!,2,FALSE),"")</f>
        <v/>
      </c>
      <c r="Q24" s="2">
        <v>693.2</v>
      </c>
      <c r="R24" s="62">
        <f t="shared" si="0"/>
        <v>693.2</v>
      </c>
      <c r="AE24" s="163"/>
      <c r="AF24" s="163"/>
      <c r="AG24" s="158"/>
      <c r="AH24" s="158"/>
    </row>
    <row r="25" spans="1:38" ht="30">
      <c r="A25" s="25" t="s">
        <v>674</v>
      </c>
      <c r="B25" s="24">
        <v>93382</v>
      </c>
      <c r="C25" s="23" t="s">
        <v>1522</v>
      </c>
      <c r="D25" s="25"/>
      <c r="E25" s="25" t="s">
        <v>35</v>
      </c>
      <c r="F25" s="26">
        <v>838.43</v>
      </c>
      <c r="G25" s="26">
        <f t="shared" si="3"/>
        <v>20.612500000000001</v>
      </c>
      <c r="H25" s="26">
        <f>ROUND(G25*(1+$J$13),2)</f>
        <v>26.14</v>
      </c>
      <c r="I25" s="26">
        <f t="shared" ref="I25:I26" si="8">ROUND(H25*F25,2)</f>
        <v>21916.560000000001</v>
      </c>
      <c r="J25" s="65" t="e">
        <f>IF(B25&lt;&gt;0,VLOOKUP(B25,#REF!,4,FALSE),"")</f>
        <v>#REF!</v>
      </c>
      <c r="K25" s="362" t="s">
        <v>3309</v>
      </c>
      <c r="L25" s="65">
        <f t="shared" si="5"/>
        <v>-3.6374999999999993</v>
      </c>
      <c r="M25" s="65">
        <f t="shared" si="1"/>
        <v>17282.138374999999</v>
      </c>
      <c r="N25" s="65"/>
      <c r="O25" s="65">
        <f t="shared" si="2"/>
        <v>21916.5602</v>
      </c>
      <c r="P25" s="65" t="e">
        <f>IF(B25&lt;&gt;0,VLOOKUP(B25,#REF!,2,FALSE),"")</f>
        <v>#REF!</v>
      </c>
      <c r="Q25" s="2">
        <v>65.680999999999997</v>
      </c>
      <c r="R25" s="62">
        <f t="shared" si="0"/>
        <v>-772.74899999999991</v>
      </c>
      <c r="AE25" s="163">
        <f t="shared" si="6"/>
        <v>838.43</v>
      </c>
      <c r="AF25" s="163">
        <f t="shared" si="7"/>
        <v>20.612500000000001</v>
      </c>
      <c r="AG25" s="158">
        <f>ROUND(AF25*(1+$J$13),2)</f>
        <v>26.14</v>
      </c>
      <c r="AH25" s="158">
        <f>ROUND(AG25*F25,2)</f>
        <v>21916.560000000001</v>
      </c>
      <c r="AI25" s="26"/>
      <c r="AJ25" s="26"/>
      <c r="AK25" s="26"/>
    </row>
    <row r="26" spans="1:38" ht="51.75" customHeight="1">
      <c r="A26" s="25" t="s">
        <v>675</v>
      </c>
      <c r="B26" s="24">
        <v>97083</v>
      </c>
      <c r="C26" s="23" t="s">
        <v>1523</v>
      </c>
      <c r="D26" s="25"/>
      <c r="E26" s="25" t="s">
        <v>26</v>
      </c>
      <c r="F26" s="26">
        <v>65.680999999999997</v>
      </c>
      <c r="G26" s="26">
        <f t="shared" si="3"/>
        <v>1.87</v>
      </c>
      <c r="H26" s="26">
        <f>ROUND(G26*(1+$J$13),2)</f>
        <v>2.37</v>
      </c>
      <c r="I26" s="26">
        <f t="shared" si="8"/>
        <v>155.66</v>
      </c>
      <c r="J26" s="65" t="e">
        <f>IF(B26&lt;&gt;0,VLOOKUP(B26,#REF!,4,FALSE),"")</f>
        <v>#REF!</v>
      </c>
      <c r="K26" s="362" t="s">
        <v>1841</v>
      </c>
      <c r="L26" s="65">
        <f t="shared" si="5"/>
        <v>-0.33000000000000007</v>
      </c>
      <c r="M26" s="65">
        <f t="shared" si="1"/>
        <v>122.82347</v>
      </c>
      <c r="N26" s="65"/>
      <c r="O26" s="65">
        <f t="shared" si="2"/>
        <v>155.66397000000001</v>
      </c>
      <c r="P26" s="65" t="e">
        <f>IF(B26&lt;&gt;0,VLOOKUP(B26,#REF!,2,FALSE),"")</f>
        <v>#REF!</v>
      </c>
      <c r="R26" s="62">
        <f t="shared" si="0"/>
        <v>-65.680999999999997</v>
      </c>
      <c r="AE26" s="163">
        <f t="shared" si="6"/>
        <v>65.680999999999997</v>
      </c>
      <c r="AF26" s="163">
        <f t="shared" si="7"/>
        <v>1.87</v>
      </c>
      <c r="AG26" s="158">
        <f>ROUND(AF26*(1+$J$13),2)</f>
        <v>2.37</v>
      </c>
      <c r="AH26" s="158">
        <f>ROUND(AG26*F26,2)</f>
        <v>155.66</v>
      </c>
      <c r="AI26" s="26"/>
      <c r="AJ26" s="26"/>
      <c r="AK26" s="26"/>
    </row>
    <row r="27" spans="1:38" s="28" customFormat="1">
      <c r="A27" s="77" t="s">
        <v>676</v>
      </c>
      <c r="B27" s="139"/>
      <c r="C27" s="340" t="s">
        <v>37</v>
      </c>
      <c r="D27" s="341"/>
      <c r="E27" s="341"/>
      <c r="F27" s="341"/>
      <c r="G27" s="26"/>
      <c r="H27" s="341"/>
      <c r="I27" s="96"/>
      <c r="J27" s="65" t="str">
        <f>IF(B27&lt;&gt;0,VLOOKUP(B27,#REF!,4,FALSE),"")</f>
        <v/>
      </c>
      <c r="K27" s="362" t="s">
        <v>1892</v>
      </c>
      <c r="L27" s="65"/>
      <c r="M27" s="65">
        <f t="shared" si="1"/>
        <v>0</v>
      </c>
      <c r="N27" s="65"/>
      <c r="O27" s="65">
        <f t="shared" si="2"/>
        <v>0</v>
      </c>
      <c r="P27" s="65" t="str">
        <f>IF(B27&lt;&gt;0,VLOOKUP(B27,#REF!,2,FALSE),"")</f>
        <v/>
      </c>
      <c r="Q27" s="28">
        <v>717.39850000000001</v>
      </c>
      <c r="R27" s="62">
        <f t="shared" si="0"/>
        <v>717.39850000000001</v>
      </c>
      <c r="AE27" s="163"/>
      <c r="AF27" s="163"/>
      <c r="AG27" s="158"/>
      <c r="AH27" s="158"/>
      <c r="AI27" s="27"/>
      <c r="AJ27" s="27"/>
      <c r="AK27" s="27"/>
      <c r="AL27" s="787"/>
    </row>
    <row r="28" spans="1:38" s="28" customFormat="1" ht="45">
      <c r="A28" s="25" t="s">
        <v>677</v>
      </c>
      <c r="B28" s="24">
        <v>72895</v>
      </c>
      <c r="C28" s="23" t="s">
        <v>38</v>
      </c>
      <c r="D28" s="25"/>
      <c r="E28" s="25" t="s">
        <v>35</v>
      </c>
      <c r="F28" s="26">
        <v>717.39850000000001</v>
      </c>
      <c r="G28" s="26">
        <f t="shared" si="3"/>
        <v>15.8355</v>
      </c>
      <c r="H28" s="26">
        <f>ROUND(G28*(1+$J$13),2)</f>
        <v>20.079999999999998</v>
      </c>
      <c r="I28" s="26">
        <f t="shared" ref="I28:I29" si="9">ROUND(H28*F28,2)</f>
        <v>14405.36</v>
      </c>
      <c r="J28" s="64">
        <f>'COMPOSIÇÃO DE CUSTOS'!G16</f>
        <v>15.84</v>
      </c>
      <c r="K28" s="362">
        <v>18.63</v>
      </c>
      <c r="L28" s="65">
        <f t="shared" si="5"/>
        <v>-2.7944999999999993</v>
      </c>
      <c r="M28" s="65">
        <f t="shared" si="1"/>
        <v>11360.36394675</v>
      </c>
      <c r="N28" s="65"/>
      <c r="O28" s="65">
        <f t="shared" si="2"/>
        <v>14405.361879999999</v>
      </c>
      <c r="P28" s="65" t="e">
        <f>IF(B28&lt;&gt;0,VLOOKUP(B28,#REF!,2,FALSE),"")</f>
        <v>#REF!</v>
      </c>
      <c r="Q28" s="28">
        <v>717.39850000000001</v>
      </c>
      <c r="R28" s="62">
        <f t="shared" si="0"/>
        <v>0</v>
      </c>
      <c r="AE28" s="163">
        <f t="shared" si="6"/>
        <v>717.39850000000001</v>
      </c>
      <c r="AF28" s="163">
        <f t="shared" si="7"/>
        <v>15.8355</v>
      </c>
      <c r="AG28" s="158">
        <f>ROUND(AF28*(1+$J$13),2)</f>
        <v>20.079999999999998</v>
      </c>
      <c r="AH28" s="158">
        <f>ROUND(AG28*F28,2)</f>
        <v>14405.36</v>
      </c>
      <c r="AI28" s="26"/>
      <c r="AJ28" s="26"/>
      <c r="AK28" s="26"/>
      <c r="AL28" s="787"/>
    </row>
    <row r="29" spans="1:38" ht="29.25" customHeight="1">
      <c r="A29" s="25" t="s">
        <v>678</v>
      </c>
      <c r="B29" s="24">
        <v>83344</v>
      </c>
      <c r="C29" s="23" t="s">
        <v>39</v>
      </c>
      <c r="D29" s="25" t="s">
        <v>1915</v>
      </c>
      <c r="E29" s="25" t="s">
        <v>35</v>
      </c>
      <c r="F29" s="26">
        <v>717.39850000000001</v>
      </c>
      <c r="G29" s="26">
        <f t="shared" si="3"/>
        <v>0.79049999999999998</v>
      </c>
      <c r="H29" s="26">
        <f>ROUND(G29*(1+$J$13),2)</f>
        <v>1</v>
      </c>
      <c r="I29" s="26">
        <f t="shared" si="9"/>
        <v>717.4</v>
      </c>
      <c r="J29" s="64">
        <f>'COMPOSIÇÃO DE CUSTOS'!G22</f>
        <v>0.79</v>
      </c>
      <c r="K29" s="362">
        <v>0.92999999999999994</v>
      </c>
      <c r="L29" s="65">
        <f t="shared" si="5"/>
        <v>-0.13949999999999996</v>
      </c>
      <c r="M29" s="65">
        <f t="shared" si="1"/>
        <v>567.10351424999999</v>
      </c>
      <c r="N29" s="65"/>
      <c r="O29" s="65">
        <f t="shared" si="2"/>
        <v>717.39850000000001</v>
      </c>
      <c r="P29" s="65" t="e">
        <f>IF(B29&lt;&gt;0,VLOOKUP(B29,#REF!,2,FALSE),"")</f>
        <v>#REF!</v>
      </c>
      <c r="R29" s="62">
        <f t="shared" si="0"/>
        <v>-717.39850000000001</v>
      </c>
      <c r="AE29" s="163">
        <f t="shared" si="6"/>
        <v>717.39850000000001</v>
      </c>
      <c r="AF29" s="163">
        <f t="shared" si="7"/>
        <v>0.79049999999999998</v>
      </c>
      <c r="AG29" s="158">
        <f>ROUND(AF29*(1+$J$13),2)</f>
        <v>1</v>
      </c>
      <c r="AH29" s="158">
        <f>ROUND(AG29*F29,2)</f>
        <v>717.4</v>
      </c>
      <c r="AI29" s="26"/>
      <c r="AJ29" s="26"/>
      <c r="AK29" s="26"/>
    </row>
    <row r="30" spans="1:38" s="28" customFormat="1" ht="15" customHeight="1">
      <c r="A30" s="25"/>
      <c r="B30" s="24"/>
      <c r="C30" s="23"/>
      <c r="D30" s="25"/>
      <c r="E30" s="25"/>
      <c r="F30" s="26"/>
      <c r="G30" s="26"/>
      <c r="H30" s="26"/>
      <c r="I30" s="26"/>
      <c r="J30" s="64" t="str">
        <f>IF(B30&lt;&gt;0,VLOOKUP(B30,#REF!,4,FALSE),"")</f>
        <v/>
      </c>
      <c r="K30" s="362" t="s">
        <v>1892</v>
      </c>
      <c r="L30" s="65"/>
      <c r="M30" s="65">
        <f t="shared" si="1"/>
        <v>0</v>
      </c>
      <c r="N30" s="65"/>
      <c r="O30" s="65">
        <f t="shared" si="2"/>
        <v>0</v>
      </c>
      <c r="P30" s="65" t="str">
        <f>IF(B30&lt;&gt;0,VLOOKUP(B30,#REF!,2,FALSE),"")</f>
        <v/>
      </c>
      <c r="R30" s="62">
        <f t="shared" si="0"/>
        <v>0</v>
      </c>
      <c r="AE30" s="552"/>
      <c r="AF30" s="552"/>
      <c r="AG30" s="775"/>
      <c r="AH30" s="775"/>
      <c r="AI30" s="552"/>
      <c r="AJ30" s="552"/>
      <c r="AK30" s="552"/>
      <c r="AL30" s="787"/>
    </row>
    <row r="31" spans="1:38" s="62" customFormat="1" ht="15" customHeight="1">
      <c r="A31" s="77" t="s">
        <v>679</v>
      </c>
      <c r="B31" s="139"/>
      <c r="C31" s="340" t="s">
        <v>40</v>
      </c>
      <c r="D31" s="341"/>
      <c r="E31" s="341"/>
      <c r="F31" s="341"/>
      <c r="G31" s="26"/>
      <c r="H31" s="341"/>
      <c r="I31" s="96">
        <f>ROUND(SUM(I33:I61),2)</f>
        <v>330536.78000000003</v>
      </c>
      <c r="J31" s="64" t="str">
        <f>IF(B31&lt;&gt;0,VLOOKUP(B31,#REF!,4,FALSE),"")</f>
        <v/>
      </c>
      <c r="K31" s="362" t="s">
        <v>1892</v>
      </c>
      <c r="L31" s="65"/>
      <c r="M31" s="65">
        <f t="shared" si="1"/>
        <v>0</v>
      </c>
      <c r="N31" s="65"/>
      <c r="O31" s="65">
        <f t="shared" si="2"/>
        <v>0</v>
      </c>
      <c r="P31" s="65" t="str">
        <f>IF(B31&lt;&gt;0,VLOOKUP(B31,#REF!,2,FALSE),"")</f>
        <v/>
      </c>
      <c r="R31" s="62">
        <f t="shared" si="0"/>
        <v>0</v>
      </c>
      <c r="AE31" s="481"/>
      <c r="AF31" s="481"/>
      <c r="AG31" s="481"/>
      <c r="AH31" s="834">
        <f>ROUND(SUM(AH33:AH61),2)</f>
        <v>392772.78</v>
      </c>
      <c r="AI31" s="481"/>
      <c r="AJ31" s="481"/>
      <c r="AK31" s="834"/>
      <c r="AL31" s="224"/>
    </row>
    <row r="32" spans="1:38" s="62" customFormat="1">
      <c r="A32" s="77" t="s">
        <v>680</v>
      </c>
      <c r="B32" s="139"/>
      <c r="C32" s="340" t="s">
        <v>41</v>
      </c>
      <c r="D32" s="341"/>
      <c r="E32" s="341"/>
      <c r="F32" s="341"/>
      <c r="G32" s="26"/>
      <c r="H32" s="341"/>
      <c r="I32" s="96"/>
      <c r="J32" s="64" t="str">
        <f>IF(B32&lt;&gt;0,VLOOKUP(B32,#REF!,4,FALSE),"")</f>
        <v/>
      </c>
      <c r="K32" s="362" t="s">
        <v>1892</v>
      </c>
      <c r="L32" s="65"/>
      <c r="M32" s="65">
        <f t="shared" si="1"/>
        <v>0</v>
      </c>
      <c r="N32" s="65"/>
      <c r="O32" s="65">
        <f t="shared" si="2"/>
        <v>0</v>
      </c>
      <c r="P32" s="65" t="str">
        <f>IF(B32&lt;&gt;0,VLOOKUP(B32,#REF!,2,FALSE),"")</f>
        <v/>
      </c>
      <c r="Q32" s="62">
        <v>266</v>
      </c>
      <c r="R32" s="62">
        <f t="shared" si="0"/>
        <v>266</v>
      </c>
      <c r="AE32" s="481"/>
      <c r="AF32" s="481"/>
      <c r="AG32" s="481"/>
      <c r="AH32" s="481"/>
      <c r="AI32" s="481"/>
      <c r="AJ32" s="481"/>
      <c r="AK32" s="481"/>
      <c r="AL32" s="224"/>
    </row>
    <row r="33" spans="1:38" s="28" customFormat="1" ht="45">
      <c r="A33" s="25" t="s">
        <v>681</v>
      </c>
      <c r="B33" s="24">
        <v>94097</v>
      </c>
      <c r="C33" s="23" t="s">
        <v>1524</v>
      </c>
      <c r="D33" s="25" t="s">
        <v>1915</v>
      </c>
      <c r="E33" s="25" t="s">
        <v>26</v>
      </c>
      <c r="F33" s="26">
        <v>266</v>
      </c>
      <c r="G33" s="26">
        <f t="shared" si="3"/>
        <v>3.5529999999999999</v>
      </c>
      <c r="H33" s="26">
        <f t="shared" ref="H33:H39" si="10">ROUND(G33*(1+$J$13),2)</f>
        <v>4.51</v>
      </c>
      <c r="I33" s="26">
        <f t="shared" ref="I33:I39" si="11">ROUND(H33*F33,2)</f>
        <v>1199.6600000000001</v>
      </c>
      <c r="J33" s="64">
        <f>'COMPOSIÇÃO DE CUSTOS'!G30</f>
        <v>3.54</v>
      </c>
      <c r="K33" s="362">
        <v>4.18</v>
      </c>
      <c r="L33" s="65">
        <f t="shared" si="5"/>
        <v>-0.62699999999999978</v>
      </c>
      <c r="M33" s="65">
        <f t="shared" si="1"/>
        <v>945.09799999999996</v>
      </c>
      <c r="N33" s="65"/>
      <c r="O33" s="65">
        <f t="shared" si="2"/>
        <v>1199.6599999999999</v>
      </c>
      <c r="P33" s="65" t="e">
        <f>IF(B33&lt;&gt;0,VLOOKUP(B33,#REF!,2,FALSE),"")</f>
        <v>#REF!</v>
      </c>
      <c r="Q33" s="28">
        <v>13.3</v>
      </c>
      <c r="R33" s="62">
        <f t="shared" si="0"/>
        <v>-252.7</v>
      </c>
      <c r="AE33" s="163">
        <f t="shared" ref="AE33" si="12">F33</f>
        <v>266</v>
      </c>
      <c r="AF33" s="163">
        <f t="shared" ref="AF33" si="13">G33</f>
        <v>3.5529999999999999</v>
      </c>
      <c r="AG33" s="158">
        <f>ROUND(AF33*(1+$J$13),2)</f>
        <v>4.51</v>
      </c>
      <c r="AH33" s="158">
        <f>ROUND(AG33*F33,2)</f>
        <v>1199.6600000000001</v>
      </c>
      <c r="AI33" s="158"/>
      <c r="AJ33" s="158"/>
      <c r="AK33" s="158"/>
      <c r="AL33" s="787"/>
    </row>
    <row r="34" spans="1:38" s="28" customFormat="1" ht="45">
      <c r="A34" s="25" t="s">
        <v>682</v>
      </c>
      <c r="B34" s="24">
        <v>83534</v>
      </c>
      <c r="C34" s="23" t="s">
        <v>42</v>
      </c>
      <c r="D34" s="25" t="s">
        <v>1915</v>
      </c>
      <c r="E34" s="25" t="s">
        <v>35</v>
      </c>
      <c r="F34" s="26">
        <v>13.3</v>
      </c>
      <c r="G34" s="26">
        <f t="shared" si="3"/>
        <v>477.23250000000007</v>
      </c>
      <c r="H34" s="26">
        <f t="shared" si="10"/>
        <v>605.17999999999995</v>
      </c>
      <c r="I34" s="26">
        <f t="shared" si="11"/>
        <v>8048.89</v>
      </c>
      <c r="J34" s="64">
        <f>'COMPOSIÇÃO DE CUSTOS'!G38</f>
        <v>477.22999999999996</v>
      </c>
      <c r="K34" s="362">
        <v>561.45000000000005</v>
      </c>
      <c r="L34" s="65">
        <f t="shared" si="5"/>
        <v>-84.217499999999973</v>
      </c>
      <c r="M34" s="65">
        <f t="shared" si="1"/>
        <v>6347.192250000001</v>
      </c>
      <c r="N34" s="65"/>
      <c r="O34" s="65">
        <f t="shared" si="2"/>
        <v>8048.8939999999993</v>
      </c>
      <c r="P34" s="65" t="e">
        <f>IF(B34&lt;&gt;0,VLOOKUP(B34,#REF!,2,FALSE),"")</f>
        <v>#REF!</v>
      </c>
      <c r="Q34" s="28">
        <v>272</v>
      </c>
      <c r="R34" s="62">
        <f t="shared" si="0"/>
        <v>258.7</v>
      </c>
      <c r="AE34" s="163">
        <f t="shared" ref="AE34:AE61" si="14">F34</f>
        <v>13.3</v>
      </c>
      <c r="AF34" s="163">
        <f t="shared" ref="AF34:AF60" si="15">G34</f>
        <v>477.23250000000007</v>
      </c>
      <c r="AG34" s="158">
        <f t="shared" ref="AG34:AG61" si="16">ROUND(AF34*(1+$J$13),2)</f>
        <v>605.17999999999995</v>
      </c>
      <c r="AH34" s="158">
        <f t="shared" ref="AH34:AH61" si="17">ROUND(AG34*F34,2)</f>
        <v>8048.89</v>
      </c>
      <c r="AI34" s="158"/>
      <c r="AJ34" s="158"/>
      <c r="AK34" s="158"/>
      <c r="AL34" s="787"/>
    </row>
    <row r="35" spans="1:38" s="34" customFormat="1" ht="30">
      <c r="A35" s="472" t="s">
        <v>683</v>
      </c>
      <c r="B35" s="475" t="s">
        <v>2046</v>
      </c>
      <c r="C35" s="471" t="s">
        <v>43</v>
      </c>
      <c r="D35" s="472" t="s">
        <v>1915</v>
      </c>
      <c r="E35" s="472" t="s">
        <v>26</v>
      </c>
      <c r="F35" s="473">
        <v>272</v>
      </c>
      <c r="G35" s="473">
        <f t="shared" si="3"/>
        <v>96.72999999999999</v>
      </c>
      <c r="H35" s="473">
        <f t="shared" si="10"/>
        <v>122.66</v>
      </c>
      <c r="I35" s="473">
        <f t="shared" si="11"/>
        <v>33363.519999999997</v>
      </c>
      <c r="J35" s="474">
        <f>'COMPOSIÇÃO DE CUSTOS'!G47</f>
        <v>96.72999999999999</v>
      </c>
      <c r="K35" s="378">
        <v>113.8</v>
      </c>
      <c r="L35" s="47">
        <f t="shared" si="5"/>
        <v>-17.070000000000007</v>
      </c>
      <c r="M35" s="47">
        <f t="shared" si="1"/>
        <v>26310.559999999998</v>
      </c>
      <c r="N35" s="47"/>
      <c r="O35" s="47">
        <f t="shared" si="2"/>
        <v>33363.519999999997</v>
      </c>
      <c r="P35" s="47" t="e">
        <f>IF(B35&lt;&gt;0,VLOOKUP(B35,#REF!,2,FALSE),"")</f>
        <v>#REF!</v>
      </c>
      <c r="Q35" s="34">
        <v>35.349999999999994</v>
      </c>
      <c r="R35" s="34">
        <f t="shared" si="0"/>
        <v>-236.65</v>
      </c>
      <c r="AE35" s="833">
        <f t="shared" si="14"/>
        <v>272</v>
      </c>
      <c r="AF35" s="833">
        <f>'PLANILHA ORÇA - CORREGEDORIA'!BA65</f>
        <v>127.2</v>
      </c>
      <c r="AG35" s="870">
        <f t="shared" si="16"/>
        <v>161.30000000000001</v>
      </c>
      <c r="AH35" s="870">
        <f t="shared" si="17"/>
        <v>43873.599999999999</v>
      </c>
      <c r="AI35" s="573"/>
      <c r="AJ35" s="573"/>
      <c r="AK35" s="573"/>
      <c r="AL35" s="788"/>
    </row>
    <row r="36" spans="1:38" ht="45">
      <c r="A36" s="25" t="s">
        <v>3393</v>
      </c>
      <c r="B36" s="24">
        <v>96545</v>
      </c>
      <c r="C36" s="23" t="s">
        <v>1526</v>
      </c>
      <c r="D36" s="25" t="s">
        <v>12</v>
      </c>
      <c r="E36" s="25" t="s">
        <v>45</v>
      </c>
      <c r="F36" s="26">
        <v>513</v>
      </c>
      <c r="G36" s="26">
        <f t="shared" si="3"/>
        <v>14.2545</v>
      </c>
      <c r="H36" s="26">
        <f t="shared" si="10"/>
        <v>18.079999999999998</v>
      </c>
      <c r="I36" s="26">
        <f t="shared" si="11"/>
        <v>9275.0400000000009</v>
      </c>
      <c r="J36" s="65" t="e">
        <f>IF(B36&lt;&gt;0,VLOOKUP(B36,#REF!,4,FALSE),"")</f>
        <v>#REF!</v>
      </c>
      <c r="K36" s="362" t="s">
        <v>2645</v>
      </c>
      <c r="L36" s="65">
        <f t="shared" si="5"/>
        <v>-2.5154999999999994</v>
      </c>
      <c r="M36" s="65">
        <f t="shared" si="1"/>
        <v>7312.5585000000001</v>
      </c>
      <c r="N36" s="65"/>
      <c r="O36" s="65">
        <f t="shared" si="2"/>
        <v>9275.0399999999991</v>
      </c>
      <c r="P36" s="65" t="e">
        <f>IF(B36&lt;&gt;0,VLOOKUP(B36,#REF!,2,FALSE),"")</f>
        <v>#REF!</v>
      </c>
      <c r="Q36" s="2">
        <v>200</v>
      </c>
      <c r="R36" s="62">
        <f t="shared" si="0"/>
        <v>-313</v>
      </c>
      <c r="AE36" s="163">
        <f t="shared" si="14"/>
        <v>513</v>
      </c>
      <c r="AF36" s="163">
        <f t="shared" si="15"/>
        <v>14.2545</v>
      </c>
      <c r="AG36" s="158">
        <f t="shared" si="16"/>
        <v>18.079999999999998</v>
      </c>
      <c r="AH36" s="158">
        <f t="shared" si="17"/>
        <v>9275.0400000000009</v>
      </c>
      <c r="AI36" s="158"/>
      <c r="AJ36" s="158"/>
      <c r="AK36" s="158"/>
    </row>
    <row r="37" spans="1:38" s="34" customFormat="1" ht="45">
      <c r="A37" s="472" t="s">
        <v>3394</v>
      </c>
      <c r="B37" s="475">
        <v>96548</v>
      </c>
      <c r="C37" s="471" t="s">
        <v>1528</v>
      </c>
      <c r="D37" s="472" t="s">
        <v>12</v>
      </c>
      <c r="E37" s="472" t="s">
        <v>45</v>
      </c>
      <c r="F37" s="473">
        <v>5845</v>
      </c>
      <c r="G37" s="473">
        <f t="shared" si="3"/>
        <v>10.557</v>
      </c>
      <c r="H37" s="473">
        <f t="shared" si="10"/>
        <v>13.39</v>
      </c>
      <c r="I37" s="473">
        <f t="shared" si="11"/>
        <v>78264.55</v>
      </c>
      <c r="J37" s="47" t="e">
        <f>IF(B37&lt;&gt;0,VLOOKUP(B37,#REF!,4,FALSE),"")</f>
        <v>#REF!</v>
      </c>
      <c r="K37" s="378" t="s">
        <v>3034</v>
      </c>
      <c r="L37" s="47">
        <f t="shared" si="5"/>
        <v>-1.8629999999999995</v>
      </c>
      <c r="M37" s="47">
        <f t="shared" si="1"/>
        <v>61705.665000000001</v>
      </c>
      <c r="N37" s="47"/>
      <c r="O37" s="47">
        <f t="shared" si="2"/>
        <v>78264.55</v>
      </c>
      <c r="P37" s="47" t="e">
        <f>IF(B37&lt;&gt;0,VLOOKUP(B37,#REF!,2,FALSE),"")</f>
        <v>#REF!</v>
      </c>
      <c r="Q37" s="34">
        <v>240</v>
      </c>
      <c r="R37" s="34">
        <f t="shared" si="0"/>
        <v>-5605</v>
      </c>
      <c r="AE37" s="523">
        <f t="shared" si="14"/>
        <v>5845</v>
      </c>
      <c r="AF37" s="523">
        <f>'PLANILHA ORÇA - CORREGEDORIA'!BA68</f>
        <v>13.55</v>
      </c>
      <c r="AG37" s="562">
        <f t="shared" si="16"/>
        <v>17.18</v>
      </c>
      <c r="AH37" s="562">
        <f t="shared" si="17"/>
        <v>100417.1</v>
      </c>
      <c r="AI37" s="473"/>
      <c r="AJ37" s="473"/>
      <c r="AK37" s="473"/>
      <c r="AL37" s="788"/>
    </row>
    <row r="38" spans="1:38" s="34" customFormat="1" ht="45">
      <c r="A38" s="472" t="s">
        <v>3395</v>
      </c>
      <c r="B38" s="475">
        <v>94966</v>
      </c>
      <c r="C38" s="471" t="s">
        <v>1530</v>
      </c>
      <c r="D38" s="472" t="s">
        <v>12</v>
      </c>
      <c r="E38" s="472" t="s">
        <v>35</v>
      </c>
      <c r="F38" s="473">
        <v>130.57</v>
      </c>
      <c r="G38" s="473">
        <f t="shared" si="3"/>
        <v>360.38300000000004</v>
      </c>
      <c r="H38" s="473">
        <f t="shared" si="10"/>
        <v>457</v>
      </c>
      <c r="I38" s="473">
        <f t="shared" si="11"/>
        <v>59670.49</v>
      </c>
      <c r="J38" s="47" t="e">
        <f>IF(B38&lt;&gt;0,VLOOKUP(B38,#REF!,4,FALSE),"")</f>
        <v>#REF!</v>
      </c>
      <c r="K38" s="378" t="s">
        <v>3220</v>
      </c>
      <c r="L38" s="47">
        <f t="shared" si="5"/>
        <v>-63.59699999999998</v>
      </c>
      <c r="M38" s="47">
        <f t="shared" si="1"/>
        <v>47055.208310000002</v>
      </c>
      <c r="N38" s="47"/>
      <c r="O38" s="47">
        <f t="shared" si="2"/>
        <v>59670.49</v>
      </c>
      <c r="P38" s="47" t="e">
        <f>IF(B38&lt;&gt;0,VLOOKUP(B38,#REF!,2,FALSE),"")</f>
        <v>#REF!</v>
      </c>
      <c r="Q38" s="34">
        <v>159.61000000000001</v>
      </c>
      <c r="R38" s="34">
        <f t="shared" si="0"/>
        <v>29.04000000000002</v>
      </c>
      <c r="AE38" s="523">
        <f t="shared" si="14"/>
        <v>130.57</v>
      </c>
      <c r="AF38" s="523">
        <f>'PLANILHA ORÇA - CORREGEDORIA'!BA69</f>
        <v>417.1699999999999</v>
      </c>
      <c r="AG38" s="562">
        <f t="shared" si="16"/>
        <v>529.01</v>
      </c>
      <c r="AH38" s="562">
        <f t="shared" si="17"/>
        <v>69072.84</v>
      </c>
      <c r="AI38" s="473"/>
      <c r="AJ38" s="473"/>
      <c r="AK38" s="473"/>
      <c r="AL38" s="788"/>
    </row>
    <row r="39" spans="1:38" s="283" customFormat="1" ht="51.75" customHeight="1">
      <c r="A39" s="25" t="s">
        <v>3396</v>
      </c>
      <c r="B39" s="24" t="s">
        <v>46</v>
      </c>
      <c r="C39" s="23" t="s">
        <v>47</v>
      </c>
      <c r="D39" s="25" t="s">
        <v>1915</v>
      </c>
      <c r="E39" s="25" t="s">
        <v>35</v>
      </c>
      <c r="F39" s="26">
        <v>130.57</v>
      </c>
      <c r="G39" s="26">
        <f t="shared" si="3"/>
        <v>78.472000000000008</v>
      </c>
      <c r="H39" s="26">
        <f t="shared" si="10"/>
        <v>99.51</v>
      </c>
      <c r="I39" s="26">
        <f t="shared" si="11"/>
        <v>12993.02</v>
      </c>
      <c r="J39" s="285">
        <f>'COMPOSIÇÃO DE CUSTOS'!G55</f>
        <v>78.470000000000013</v>
      </c>
      <c r="K39" s="363">
        <v>92.320000000000007</v>
      </c>
      <c r="L39" s="65">
        <f t="shared" si="5"/>
        <v>-13.847999999999999</v>
      </c>
      <c r="M39" s="65">
        <f t="shared" si="1"/>
        <v>10246.089040000001</v>
      </c>
      <c r="N39" s="65"/>
      <c r="O39" s="65">
        <f t="shared" si="2"/>
        <v>12993.020699999999</v>
      </c>
      <c r="P39" s="285" t="e">
        <f>IF(B39&lt;&gt;0,VLOOKUP(B39,#REF!,2,FALSE),"")</f>
        <v>#REF!</v>
      </c>
      <c r="R39" s="283">
        <f t="shared" si="0"/>
        <v>-130.57</v>
      </c>
      <c r="AE39" s="163">
        <f t="shared" si="14"/>
        <v>130.57</v>
      </c>
      <c r="AF39" s="163">
        <f t="shared" si="15"/>
        <v>78.472000000000008</v>
      </c>
      <c r="AG39" s="158">
        <f t="shared" si="16"/>
        <v>99.51</v>
      </c>
      <c r="AH39" s="158">
        <f t="shared" si="17"/>
        <v>12993.02</v>
      </c>
      <c r="AI39" s="158"/>
      <c r="AJ39" s="158"/>
      <c r="AK39" s="158"/>
      <c r="AL39" s="789"/>
    </row>
    <row r="40" spans="1:38" s="62" customFormat="1">
      <c r="A40" s="77" t="s">
        <v>684</v>
      </c>
      <c r="B40" s="139"/>
      <c r="C40" s="340" t="s">
        <v>48</v>
      </c>
      <c r="D40" s="341"/>
      <c r="E40" s="341"/>
      <c r="F40" s="341"/>
      <c r="G40" s="26"/>
      <c r="H40" s="341"/>
      <c r="I40" s="96"/>
      <c r="J40" s="65" t="str">
        <f>IF(B40&lt;&gt;0,VLOOKUP(B40,#REF!,4,FALSE),"")</f>
        <v/>
      </c>
      <c r="K40" s="362" t="s">
        <v>1892</v>
      </c>
      <c r="L40" s="65"/>
      <c r="M40" s="65">
        <f t="shared" si="1"/>
        <v>0</v>
      </c>
      <c r="N40" s="65"/>
      <c r="O40" s="65">
        <f t="shared" si="2"/>
        <v>0</v>
      </c>
      <c r="P40" s="65" t="str">
        <f>IF(B40&lt;&gt;0,VLOOKUP(B40,#REF!,2,FALSE),"")</f>
        <v/>
      </c>
      <c r="Q40" s="62">
        <v>75.540499999999994</v>
      </c>
      <c r="R40" s="62">
        <f t="shared" si="0"/>
        <v>75.540499999999994</v>
      </c>
      <c r="AE40" s="163"/>
      <c r="AF40" s="163"/>
      <c r="AG40" s="158"/>
      <c r="AH40" s="158"/>
      <c r="AI40" s="27"/>
      <c r="AJ40" s="27"/>
      <c r="AK40" s="27"/>
      <c r="AL40" s="224"/>
    </row>
    <row r="41" spans="1:38" s="62" customFormat="1" ht="45">
      <c r="A41" s="25" t="s">
        <v>685</v>
      </c>
      <c r="B41" s="24">
        <v>94097</v>
      </c>
      <c r="C41" s="23" t="s">
        <v>1524</v>
      </c>
      <c r="D41" s="25" t="s">
        <v>1915</v>
      </c>
      <c r="E41" s="25" t="s">
        <v>26</v>
      </c>
      <c r="F41" s="26">
        <v>75.540499999999994</v>
      </c>
      <c r="G41" s="26">
        <f t="shared" si="3"/>
        <v>3.5529999999999999</v>
      </c>
      <c r="H41" s="26">
        <f t="shared" ref="H41:H50" si="18">ROUND(G41*(1+$J$13),2)</f>
        <v>4.51</v>
      </c>
      <c r="I41" s="26">
        <f t="shared" ref="I41:I50" si="19">ROUND(H41*F41,2)</f>
        <v>340.69</v>
      </c>
      <c r="J41" s="64">
        <f>'COMPOSIÇÃO DE CUSTOS'!G30</f>
        <v>3.54</v>
      </c>
      <c r="K41" s="362">
        <v>4.18</v>
      </c>
      <c r="L41" s="65">
        <f t="shared" si="5"/>
        <v>-0.62699999999999978</v>
      </c>
      <c r="M41" s="65">
        <f t="shared" si="1"/>
        <v>268.39539649999995</v>
      </c>
      <c r="N41" s="65"/>
      <c r="O41" s="65">
        <f t="shared" si="2"/>
        <v>340.68765499999995</v>
      </c>
      <c r="P41" s="65" t="e">
        <f>IF(B41&lt;&gt;0,VLOOKUP(B41,#REF!,2,FALSE),"")</f>
        <v>#REF!</v>
      </c>
      <c r="Q41" s="62">
        <v>1.9</v>
      </c>
      <c r="R41" s="62">
        <f t="shared" si="0"/>
        <v>-73.640499999999989</v>
      </c>
      <c r="AE41" s="163">
        <f t="shared" si="14"/>
        <v>75.540499999999994</v>
      </c>
      <c r="AF41" s="163">
        <f t="shared" si="15"/>
        <v>3.5529999999999999</v>
      </c>
      <c r="AG41" s="158">
        <f t="shared" si="16"/>
        <v>4.51</v>
      </c>
      <c r="AH41" s="158">
        <f t="shared" si="17"/>
        <v>340.69</v>
      </c>
      <c r="AI41" s="26"/>
      <c r="AJ41" s="26"/>
      <c r="AK41" s="26"/>
      <c r="AL41" s="224"/>
    </row>
    <row r="42" spans="1:38" s="283" customFormat="1" ht="45">
      <c r="A42" s="25" t="s">
        <v>686</v>
      </c>
      <c r="B42" s="24">
        <v>83534</v>
      </c>
      <c r="C42" s="23" t="s">
        <v>49</v>
      </c>
      <c r="D42" s="25" t="s">
        <v>1915</v>
      </c>
      <c r="E42" s="25" t="s">
        <v>35</v>
      </c>
      <c r="F42" s="26">
        <v>2.15</v>
      </c>
      <c r="G42" s="26">
        <f t="shared" si="3"/>
        <v>477.23250000000007</v>
      </c>
      <c r="H42" s="26">
        <f t="shared" si="18"/>
        <v>605.17999999999995</v>
      </c>
      <c r="I42" s="26">
        <f t="shared" si="19"/>
        <v>1301.1400000000001</v>
      </c>
      <c r="J42" s="284">
        <f>'COMPOSIÇÃO DE CUSTOS'!G38</f>
        <v>477.22999999999996</v>
      </c>
      <c r="K42" s="363">
        <v>561.45000000000005</v>
      </c>
      <c r="L42" s="65">
        <f t="shared" si="5"/>
        <v>-84.217499999999973</v>
      </c>
      <c r="M42" s="65">
        <f t="shared" si="1"/>
        <v>1026.0498750000002</v>
      </c>
      <c r="N42" s="65"/>
      <c r="O42" s="65">
        <f t="shared" si="2"/>
        <v>1301.1369999999999</v>
      </c>
      <c r="P42" s="285" t="e">
        <f>IF(B42&lt;&gt;0,VLOOKUP(B42,#REF!,2,FALSE),"")</f>
        <v>#REF!</v>
      </c>
      <c r="Q42" s="283">
        <v>227.46</v>
      </c>
      <c r="R42" s="283">
        <f t="shared" si="0"/>
        <v>225.31</v>
      </c>
      <c r="AE42" s="163">
        <f t="shared" si="14"/>
        <v>2.15</v>
      </c>
      <c r="AF42" s="163">
        <f t="shared" si="15"/>
        <v>477.23250000000007</v>
      </c>
      <c r="AG42" s="158">
        <f t="shared" si="16"/>
        <v>605.17999999999995</v>
      </c>
      <c r="AH42" s="158">
        <f t="shared" si="17"/>
        <v>1301.1400000000001</v>
      </c>
      <c r="AI42" s="26"/>
      <c r="AJ42" s="26"/>
      <c r="AK42" s="26"/>
      <c r="AL42" s="789"/>
    </row>
    <row r="43" spans="1:38" s="34" customFormat="1" ht="30">
      <c r="A43" s="472" t="s">
        <v>687</v>
      </c>
      <c r="B43" s="475" t="s">
        <v>2046</v>
      </c>
      <c r="C43" s="471" t="s">
        <v>43</v>
      </c>
      <c r="D43" s="472" t="s">
        <v>1915</v>
      </c>
      <c r="E43" s="472" t="s">
        <v>26</v>
      </c>
      <c r="F43" s="473">
        <v>257.95</v>
      </c>
      <c r="G43" s="473">
        <f t="shared" si="3"/>
        <v>96.72999999999999</v>
      </c>
      <c r="H43" s="473">
        <f t="shared" si="18"/>
        <v>122.66</v>
      </c>
      <c r="I43" s="473">
        <f t="shared" si="19"/>
        <v>31640.15</v>
      </c>
      <c r="J43" s="474">
        <f>'COMPOSIÇÃO DE CUSTOS'!G47</f>
        <v>96.72999999999999</v>
      </c>
      <c r="K43" s="378">
        <v>113.8</v>
      </c>
      <c r="L43" s="47">
        <f t="shared" si="5"/>
        <v>-17.070000000000007</v>
      </c>
      <c r="M43" s="47">
        <f t="shared" si="1"/>
        <v>24951.503499999995</v>
      </c>
      <c r="N43" s="47"/>
      <c r="O43" s="47">
        <f t="shared" si="2"/>
        <v>31640.146999999997</v>
      </c>
      <c r="P43" s="47" t="e">
        <f>IF(B43&lt;&gt;0,VLOOKUP(B43,#REF!,2,FALSE),"")</f>
        <v>#REF!</v>
      </c>
      <c r="Q43" s="34">
        <v>318</v>
      </c>
      <c r="R43" s="34">
        <f t="shared" si="0"/>
        <v>60.050000000000011</v>
      </c>
      <c r="AE43" s="523">
        <f t="shared" si="14"/>
        <v>257.95</v>
      </c>
      <c r="AF43" s="523">
        <f>AF35</f>
        <v>127.2</v>
      </c>
      <c r="AG43" s="562">
        <f t="shared" si="16"/>
        <v>161.30000000000001</v>
      </c>
      <c r="AH43" s="562">
        <f t="shared" si="17"/>
        <v>41607.339999999997</v>
      </c>
      <c r="AI43" s="473"/>
      <c r="AJ43" s="473"/>
      <c r="AK43" s="473"/>
      <c r="AL43" s="788"/>
    </row>
    <row r="44" spans="1:38" ht="30">
      <c r="A44" s="25" t="s">
        <v>688</v>
      </c>
      <c r="B44" s="24">
        <v>96543</v>
      </c>
      <c r="C44" s="23" t="s">
        <v>1531</v>
      </c>
      <c r="D44" s="25" t="s">
        <v>12</v>
      </c>
      <c r="E44" s="25" t="s">
        <v>45</v>
      </c>
      <c r="F44" s="26">
        <v>318</v>
      </c>
      <c r="G44" s="26">
        <f t="shared" si="3"/>
        <v>15.308500000000002</v>
      </c>
      <c r="H44" s="26">
        <f t="shared" si="18"/>
        <v>19.41</v>
      </c>
      <c r="I44" s="26">
        <f t="shared" si="19"/>
        <v>6172.38</v>
      </c>
      <c r="J44" s="65" t="e">
        <f>IF(B44&lt;&gt;0,VLOOKUP(B44,#REF!,4,FALSE),"")</f>
        <v>#REF!</v>
      </c>
      <c r="K44" s="362" t="s">
        <v>3103</v>
      </c>
      <c r="L44" s="65">
        <f t="shared" si="5"/>
        <v>-2.7014999999999993</v>
      </c>
      <c r="M44" s="65">
        <f t="shared" si="1"/>
        <v>4868.103000000001</v>
      </c>
      <c r="N44" s="65"/>
      <c r="O44" s="65">
        <f t="shared" si="2"/>
        <v>6172.38</v>
      </c>
      <c r="P44" s="65" t="e">
        <f>IF(B44&lt;&gt;0,VLOOKUP(B44,#REF!,2,FALSE),"")</f>
        <v>#REF!</v>
      </c>
      <c r="Q44" s="2">
        <v>411</v>
      </c>
      <c r="R44" s="62">
        <f t="shared" si="0"/>
        <v>93</v>
      </c>
      <c r="AE44" s="163">
        <f t="shared" si="14"/>
        <v>318</v>
      </c>
      <c r="AF44" s="163">
        <f t="shared" si="15"/>
        <v>15.308500000000002</v>
      </c>
      <c r="AG44" s="158">
        <f t="shared" si="16"/>
        <v>19.41</v>
      </c>
      <c r="AH44" s="158">
        <f t="shared" si="17"/>
        <v>6172.38</v>
      </c>
      <c r="AI44" s="26"/>
      <c r="AJ44" s="26"/>
      <c r="AK44" s="26"/>
    </row>
    <row r="45" spans="1:38" ht="45">
      <c r="A45" s="25" t="s">
        <v>3406</v>
      </c>
      <c r="B45" s="24">
        <v>96544</v>
      </c>
      <c r="C45" s="23" t="s">
        <v>1525</v>
      </c>
      <c r="D45" s="25" t="s">
        <v>12</v>
      </c>
      <c r="E45" s="25" t="s">
        <v>45</v>
      </c>
      <c r="F45" s="26">
        <v>411</v>
      </c>
      <c r="G45" s="26">
        <f t="shared" si="3"/>
        <v>14.866499999999998</v>
      </c>
      <c r="H45" s="26">
        <f t="shared" si="18"/>
        <v>18.850000000000001</v>
      </c>
      <c r="I45" s="26">
        <f t="shared" si="19"/>
        <v>7747.35</v>
      </c>
      <c r="J45" s="65" t="e">
        <f>IF(B45&lt;&gt;0,VLOOKUP(B45,#REF!,4,FALSE),"")</f>
        <v>#REF!</v>
      </c>
      <c r="K45" s="362" t="s">
        <v>3109</v>
      </c>
      <c r="L45" s="65">
        <f t="shared" si="5"/>
        <v>-2.6234999999999999</v>
      </c>
      <c r="M45" s="65">
        <f t="shared" si="1"/>
        <v>6110.1314999999995</v>
      </c>
      <c r="N45" s="65"/>
      <c r="O45" s="65">
        <f t="shared" si="2"/>
        <v>7747.35</v>
      </c>
      <c r="P45" s="65" t="e">
        <f>IF(B45&lt;&gt;0,VLOOKUP(B45,#REF!,2,FALSE),"")</f>
        <v>#REF!</v>
      </c>
      <c r="Q45" s="2">
        <v>15.749999999999998</v>
      </c>
      <c r="R45" s="62">
        <f t="shared" si="0"/>
        <v>-395.25</v>
      </c>
      <c r="AE45" s="163">
        <f t="shared" si="14"/>
        <v>411</v>
      </c>
      <c r="AF45" s="163">
        <f t="shared" si="15"/>
        <v>14.866499999999998</v>
      </c>
      <c r="AG45" s="158">
        <f t="shared" si="16"/>
        <v>18.850000000000001</v>
      </c>
      <c r="AH45" s="158">
        <f t="shared" si="17"/>
        <v>7747.35</v>
      </c>
      <c r="AI45" s="26"/>
      <c r="AJ45" s="26"/>
      <c r="AK45" s="26"/>
    </row>
    <row r="46" spans="1:38" ht="45">
      <c r="A46" s="25" t="s">
        <v>3407</v>
      </c>
      <c r="B46" s="24">
        <v>96546</v>
      </c>
      <c r="C46" s="23" t="s">
        <v>1532</v>
      </c>
      <c r="D46" s="25" t="s">
        <v>12</v>
      </c>
      <c r="E46" s="25" t="s">
        <v>45</v>
      </c>
      <c r="F46" s="26">
        <v>648</v>
      </c>
      <c r="G46" s="26">
        <f t="shared" si="3"/>
        <v>12.894500000000001</v>
      </c>
      <c r="H46" s="26">
        <f t="shared" si="18"/>
        <v>16.350000000000001</v>
      </c>
      <c r="I46" s="26">
        <f t="shared" si="19"/>
        <v>10594.8</v>
      </c>
      <c r="J46" s="65" t="e">
        <f>IF(B46&lt;&gt;0,VLOOKUP(B46,#REF!,4,FALSE),"")</f>
        <v>#REF!</v>
      </c>
      <c r="K46" s="362" t="s">
        <v>3171</v>
      </c>
      <c r="L46" s="65">
        <f t="shared" si="5"/>
        <v>-2.2754999999999992</v>
      </c>
      <c r="M46" s="65">
        <f t="shared" si="1"/>
        <v>8355.6360000000004</v>
      </c>
      <c r="N46" s="65"/>
      <c r="O46" s="65">
        <f t="shared" si="2"/>
        <v>10594.800000000001</v>
      </c>
      <c r="P46" s="65" t="e">
        <f>IF(B46&lt;&gt;0,VLOOKUP(B46,#REF!,2,FALSE),"")</f>
        <v>#REF!</v>
      </c>
      <c r="Q46" s="2">
        <v>32</v>
      </c>
      <c r="R46" s="62">
        <f t="shared" si="0"/>
        <v>-616</v>
      </c>
      <c r="AE46" s="163">
        <f t="shared" si="14"/>
        <v>648</v>
      </c>
      <c r="AF46" s="163">
        <f t="shared" si="15"/>
        <v>12.894500000000001</v>
      </c>
      <c r="AG46" s="158">
        <f t="shared" si="16"/>
        <v>16.350000000000001</v>
      </c>
      <c r="AH46" s="158">
        <f t="shared" si="17"/>
        <v>10594.8</v>
      </c>
      <c r="AI46" s="26"/>
      <c r="AJ46" s="26"/>
      <c r="AK46" s="26"/>
    </row>
    <row r="47" spans="1:38" s="34" customFormat="1" ht="45">
      <c r="A47" s="472" t="s">
        <v>3408</v>
      </c>
      <c r="B47" s="475">
        <v>96547</v>
      </c>
      <c r="C47" s="471" t="s">
        <v>1527</v>
      </c>
      <c r="D47" s="472" t="s">
        <v>12</v>
      </c>
      <c r="E47" s="472" t="s">
        <v>45</v>
      </c>
      <c r="F47" s="473">
        <v>32</v>
      </c>
      <c r="G47" s="473">
        <f t="shared" si="3"/>
        <v>10.981999999999999</v>
      </c>
      <c r="H47" s="473">
        <f t="shared" si="18"/>
        <v>13.93</v>
      </c>
      <c r="I47" s="473">
        <f t="shared" si="19"/>
        <v>445.76</v>
      </c>
      <c r="J47" s="47" t="e">
        <f>IF(B47&lt;&gt;0,VLOOKUP(B47,#REF!,4,FALSE),"")</f>
        <v>#REF!</v>
      </c>
      <c r="K47" s="378" t="s">
        <v>3219</v>
      </c>
      <c r="L47" s="47">
        <f t="shared" si="5"/>
        <v>-1.9380000000000006</v>
      </c>
      <c r="M47" s="47">
        <f t="shared" si="1"/>
        <v>351.42399999999998</v>
      </c>
      <c r="N47" s="47"/>
      <c r="O47" s="47">
        <f t="shared" si="2"/>
        <v>445.76</v>
      </c>
      <c r="P47" s="47" t="e">
        <f>IF(B47&lt;&gt;0,VLOOKUP(B47,#REF!,2,FALSE),"")</f>
        <v>#REF!</v>
      </c>
      <c r="Q47" s="34">
        <v>15</v>
      </c>
      <c r="R47" s="34">
        <f t="shared" si="0"/>
        <v>-17</v>
      </c>
      <c r="AE47" s="523">
        <f t="shared" si="14"/>
        <v>32</v>
      </c>
      <c r="AF47" s="523">
        <f>'PLANILHA ORÇA - CORREGEDORIA'!BA67</f>
        <v>13.969999999999999</v>
      </c>
      <c r="AG47" s="562">
        <f t="shared" si="16"/>
        <v>17.72</v>
      </c>
      <c r="AH47" s="562">
        <f t="shared" si="17"/>
        <v>567.04</v>
      </c>
      <c r="AI47" s="473"/>
      <c r="AJ47" s="473"/>
      <c r="AK47" s="473"/>
      <c r="AL47" s="788"/>
    </row>
    <row r="48" spans="1:38" s="34" customFormat="1" ht="45">
      <c r="A48" s="472" t="s">
        <v>3409</v>
      </c>
      <c r="B48" s="475">
        <v>96548</v>
      </c>
      <c r="C48" s="471" t="s">
        <v>1528</v>
      </c>
      <c r="D48" s="472" t="s">
        <v>12</v>
      </c>
      <c r="E48" s="472" t="s">
        <v>45</v>
      </c>
      <c r="F48" s="473">
        <v>9</v>
      </c>
      <c r="G48" s="473">
        <f t="shared" si="3"/>
        <v>10.557</v>
      </c>
      <c r="H48" s="473">
        <f t="shared" si="18"/>
        <v>13.39</v>
      </c>
      <c r="I48" s="473">
        <f t="shared" si="19"/>
        <v>120.51</v>
      </c>
      <c r="J48" s="47" t="e">
        <f>IF(B48&lt;&gt;0,VLOOKUP(B48,#REF!,4,FALSE),"")</f>
        <v>#REF!</v>
      </c>
      <c r="K48" s="378" t="s">
        <v>3034</v>
      </c>
      <c r="L48" s="47">
        <f t="shared" si="5"/>
        <v>-1.8629999999999995</v>
      </c>
      <c r="M48" s="47">
        <f t="shared" si="1"/>
        <v>95.013000000000005</v>
      </c>
      <c r="N48" s="47"/>
      <c r="O48" s="47">
        <f t="shared" si="2"/>
        <v>120.51</v>
      </c>
      <c r="P48" s="47" t="e">
        <f>IF(B48&lt;&gt;0,VLOOKUP(B48,#REF!,2,FALSE),"")</f>
        <v>#REF!</v>
      </c>
      <c r="Q48" s="34">
        <v>9.1</v>
      </c>
      <c r="R48" s="34">
        <f t="shared" si="0"/>
        <v>9.9999999999999645E-2</v>
      </c>
      <c r="AE48" s="523">
        <f t="shared" si="14"/>
        <v>9</v>
      </c>
      <c r="AF48" s="523">
        <f>AF37</f>
        <v>13.55</v>
      </c>
      <c r="AG48" s="562">
        <f t="shared" si="16"/>
        <v>17.18</v>
      </c>
      <c r="AH48" s="562">
        <f t="shared" si="17"/>
        <v>154.62</v>
      </c>
      <c r="AI48" s="473"/>
      <c r="AJ48" s="473"/>
      <c r="AK48" s="473"/>
      <c r="AL48" s="788"/>
    </row>
    <row r="49" spans="1:38" s="34" customFormat="1" ht="45">
      <c r="A49" s="472" t="s">
        <v>3410</v>
      </c>
      <c r="B49" s="475">
        <v>94966</v>
      </c>
      <c r="C49" s="471" t="s">
        <v>1530</v>
      </c>
      <c r="D49" s="472" t="s">
        <v>12</v>
      </c>
      <c r="E49" s="472" t="s">
        <v>35</v>
      </c>
      <c r="F49" s="473">
        <v>25.8</v>
      </c>
      <c r="G49" s="473">
        <f t="shared" si="3"/>
        <v>360.38300000000004</v>
      </c>
      <c r="H49" s="473">
        <f t="shared" si="18"/>
        <v>457</v>
      </c>
      <c r="I49" s="473">
        <f t="shared" si="19"/>
        <v>11790.6</v>
      </c>
      <c r="J49" s="47" t="e">
        <f>IF(B49&lt;&gt;0,VLOOKUP(B49,#REF!,4,FALSE),"")</f>
        <v>#REF!</v>
      </c>
      <c r="K49" s="378" t="s">
        <v>3220</v>
      </c>
      <c r="L49" s="47">
        <f t="shared" si="5"/>
        <v>-63.59699999999998</v>
      </c>
      <c r="M49" s="47">
        <f t="shared" si="1"/>
        <v>9297.881400000002</v>
      </c>
      <c r="N49" s="47"/>
      <c r="O49" s="47">
        <f t="shared" si="2"/>
        <v>11790.6</v>
      </c>
      <c r="P49" s="47" t="e">
        <f>IF(B49&lt;&gt;0,VLOOKUP(B49,#REF!,2,FALSE),"")</f>
        <v>#REF!</v>
      </c>
      <c r="Q49" s="34">
        <v>40.956999999999994</v>
      </c>
      <c r="R49" s="34">
        <f t="shared" si="0"/>
        <v>15.156999999999993</v>
      </c>
      <c r="AE49" s="523">
        <f t="shared" si="14"/>
        <v>25.8</v>
      </c>
      <c r="AF49" s="523">
        <f>AF38</f>
        <v>417.1699999999999</v>
      </c>
      <c r="AG49" s="562">
        <f t="shared" si="16"/>
        <v>529.01</v>
      </c>
      <c r="AH49" s="562">
        <f t="shared" si="17"/>
        <v>13648.46</v>
      </c>
      <c r="AI49" s="473"/>
      <c r="AJ49" s="473"/>
      <c r="AK49" s="473"/>
      <c r="AL49" s="788"/>
    </row>
    <row r="50" spans="1:38" s="283" customFormat="1" ht="30">
      <c r="A50" s="25" t="s">
        <v>3411</v>
      </c>
      <c r="B50" s="24" t="s">
        <v>46</v>
      </c>
      <c r="C50" s="23" t="s">
        <v>47</v>
      </c>
      <c r="D50" s="25" t="s">
        <v>1915</v>
      </c>
      <c r="E50" s="25" t="s">
        <v>35</v>
      </c>
      <c r="F50" s="26">
        <v>25.8</v>
      </c>
      <c r="G50" s="26">
        <f t="shared" si="3"/>
        <v>78.472000000000008</v>
      </c>
      <c r="H50" s="26">
        <f t="shared" si="18"/>
        <v>99.51</v>
      </c>
      <c r="I50" s="26">
        <f t="shared" si="19"/>
        <v>2567.36</v>
      </c>
      <c r="J50" s="284">
        <f>'COMPOSIÇÃO DE CUSTOS'!G55</f>
        <v>78.470000000000013</v>
      </c>
      <c r="K50" s="363">
        <v>92.320000000000007</v>
      </c>
      <c r="L50" s="65">
        <f t="shared" si="5"/>
        <v>-13.847999999999999</v>
      </c>
      <c r="M50" s="65">
        <f t="shared" si="1"/>
        <v>2024.5776000000003</v>
      </c>
      <c r="N50" s="65"/>
      <c r="O50" s="65">
        <f t="shared" si="2"/>
        <v>2567.3580000000002</v>
      </c>
      <c r="P50" s="285" t="e">
        <f>IF(B50&lt;&gt;0,VLOOKUP(B50,#REF!,2,FALSE),"")</f>
        <v>#REF!</v>
      </c>
      <c r="R50" s="283">
        <f t="shared" si="0"/>
        <v>-25.8</v>
      </c>
      <c r="AE50" s="163">
        <f t="shared" si="14"/>
        <v>25.8</v>
      </c>
      <c r="AF50" s="163">
        <f t="shared" si="15"/>
        <v>78.472000000000008</v>
      </c>
      <c r="AG50" s="158">
        <f t="shared" si="16"/>
        <v>99.51</v>
      </c>
      <c r="AH50" s="158">
        <f t="shared" si="17"/>
        <v>2567.36</v>
      </c>
      <c r="AI50" s="26"/>
      <c r="AJ50" s="26"/>
      <c r="AK50" s="26"/>
      <c r="AL50" s="789"/>
    </row>
    <row r="51" spans="1:38">
      <c r="A51" s="77" t="s">
        <v>697</v>
      </c>
      <c r="B51" s="139"/>
      <c r="C51" s="340" t="s">
        <v>50</v>
      </c>
      <c r="D51" s="341"/>
      <c r="E51" s="341"/>
      <c r="F51" s="341"/>
      <c r="G51" s="26"/>
      <c r="H51" s="341"/>
      <c r="I51" s="96"/>
      <c r="J51" s="65" t="str">
        <f>IF(B51&lt;&gt;0,VLOOKUP(B51,#REF!,4,FALSE),"")</f>
        <v/>
      </c>
      <c r="K51" s="362" t="s">
        <v>1892</v>
      </c>
      <c r="L51" s="65"/>
      <c r="M51" s="65">
        <f t="shared" si="1"/>
        <v>0</v>
      </c>
      <c r="N51" s="65"/>
      <c r="O51" s="65">
        <f t="shared" si="2"/>
        <v>0</v>
      </c>
      <c r="P51" s="65" t="str">
        <f>IF(B51&lt;&gt;0,VLOOKUP(B51,#REF!,2,FALSE),"")</f>
        <v/>
      </c>
      <c r="Q51" s="2">
        <v>95.44</v>
      </c>
      <c r="R51" s="62">
        <f t="shared" si="0"/>
        <v>95.44</v>
      </c>
      <c r="AE51" s="163"/>
      <c r="AF51" s="163"/>
      <c r="AG51" s="158"/>
      <c r="AH51" s="158"/>
    </row>
    <row r="52" spans="1:38" s="283" customFormat="1" ht="45">
      <c r="A52" s="25" t="s">
        <v>698</v>
      </c>
      <c r="B52" s="24">
        <v>97086</v>
      </c>
      <c r="C52" s="23" t="s">
        <v>1533</v>
      </c>
      <c r="D52" s="25" t="s">
        <v>12</v>
      </c>
      <c r="E52" s="25" t="s">
        <v>26</v>
      </c>
      <c r="F52" s="26">
        <v>6.56</v>
      </c>
      <c r="G52" s="26">
        <f t="shared" si="3"/>
        <v>73.618499999999997</v>
      </c>
      <c r="H52" s="26">
        <f t="shared" ref="H52:H61" si="20">ROUND(G52*(1+$J$13),2)</f>
        <v>93.36</v>
      </c>
      <c r="I52" s="26">
        <f t="shared" ref="I52:I61" si="21">ROUND(H52*F52,2)</f>
        <v>612.44000000000005</v>
      </c>
      <c r="J52" s="285" t="e">
        <f>IF(B52&lt;&gt;0,VLOOKUP(B52,#REF!,4,FALSE),"")</f>
        <v>#REF!</v>
      </c>
      <c r="K52" s="363" t="s">
        <v>3214</v>
      </c>
      <c r="L52" s="65">
        <f t="shared" si="5"/>
        <v>-12.991500000000002</v>
      </c>
      <c r="M52" s="65">
        <f t="shared" si="1"/>
        <v>482.93735999999996</v>
      </c>
      <c r="N52" s="65"/>
      <c r="O52" s="65">
        <f t="shared" si="2"/>
        <v>612.44159999999999</v>
      </c>
      <c r="P52" s="285" t="e">
        <f>IF(B52&lt;&gt;0,VLOOKUP(B52,#REF!,2,FALSE),"")</f>
        <v>#REF!</v>
      </c>
      <c r="Q52" s="283">
        <v>137.04</v>
      </c>
      <c r="R52" s="283">
        <f t="shared" si="0"/>
        <v>130.47999999999999</v>
      </c>
      <c r="AE52" s="163">
        <f t="shared" si="14"/>
        <v>6.56</v>
      </c>
      <c r="AF52" s="163">
        <f t="shared" si="15"/>
        <v>73.618499999999997</v>
      </c>
      <c r="AG52" s="158">
        <f t="shared" si="16"/>
        <v>93.36</v>
      </c>
      <c r="AH52" s="158">
        <f t="shared" si="17"/>
        <v>612.44000000000005</v>
      </c>
      <c r="AI52" s="26"/>
      <c r="AJ52" s="26"/>
      <c r="AK52" s="26"/>
      <c r="AL52" s="789"/>
    </row>
    <row r="53" spans="1:38" s="283" customFormat="1" ht="45">
      <c r="A53" s="25" t="s">
        <v>699</v>
      </c>
      <c r="B53" s="24">
        <v>91005</v>
      </c>
      <c r="C53" s="23" t="s">
        <v>1534</v>
      </c>
      <c r="D53" s="25" t="s">
        <v>12</v>
      </c>
      <c r="E53" s="25" t="s">
        <v>26</v>
      </c>
      <c r="F53" s="26">
        <v>161.01</v>
      </c>
      <c r="G53" s="26">
        <f t="shared" si="3"/>
        <v>12.7075</v>
      </c>
      <c r="H53" s="26">
        <f t="shared" si="20"/>
        <v>16.11</v>
      </c>
      <c r="I53" s="26">
        <f t="shared" si="21"/>
        <v>2593.87</v>
      </c>
      <c r="J53" s="285" t="e">
        <f>IF(B53&lt;&gt;0,VLOOKUP(B53,#REF!,4,FALSE),"")</f>
        <v>#REF!</v>
      </c>
      <c r="K53" s="363" t="s">
        <v>3150</v>
      </c>
      <c r="L53" s="65">
        <f t="shared" si="5"/>
        <v>-2.2424999999999997</v>
      </c>
      <c r="M53" s="65">
        <f t="shared" si="1"/>
        <v>2046.0345749999999</v>
      </c>
      <c r="N53" s="65"/>
      <c r="O53" s="65">
        <f t="shared" si="2"/>
        <v>2593.8710999999998</v>
      </c>
      <c r="P53" s="285" t="e">
        <f>IF(B53&lt;&gt;0,VLOOKUP(B53,#REF!,2,FALSE),"")</f>
        <v>#REF!</v>
      </c>
      <c r="Q53" s="283">
        <v>95.44</v>
      </c>
      <c r="R53" s="283">
        <f t="shared" si="0"/>
        <v>-65.569999999999993</v>
      </c>
      <c r="AE53" s="163">
        <f t="shared" si="14"/>
        <v>161.01</v>
      </c>
      <c r="AF53" s="163">
        <f t="shared" si="15"/>
        <v>12.7075</v>
      </c>
      <c r="AG53" s="158">
        <f t="shared" si="16"/>
        <v>16.11</v>
      </c>
      <c r="AH53" s="158">
        <f t="shared" si="17"/>
        <v>2593.87</v>
      </c>
      <c r="AI53" s="26"/>
      <c r="AJ53" s="26"/>
      <c r="AK53" s="26"/>
      <c r="AL53" s="789"/>
    </row>
    <row r="54" spans="1:38" s="34" customFormat="1" ht="60">
      <c r="A54" s="472" t="s">
        <v>700</v>
      </c>
      <c r="B54" s="475">
        <v>92481</v>
      </c>
      <c r="C54" s="471" t="s">
        <v>1535</v>
      </c>
      <c r="D54" s="472" t="s">
        <v>1915</v>
      </c>
      <c r="E54" s="472" t="s">
        <v>26</v>
      </c>
      <c r="F54" s="473">
        <v>39.4</v>
      </c>
      <c r="G54" s="473">
        <f t="shared" si="3"/>
        <v>197.89700000000002</v>
      </c>
      <c r="H54" s="473">
        <f t="shared" si="20"/>
        <v>250.95</v>
      </c>
      <c r="I54" s="473">
        <f t="shared" si="21"/>
        <v>9887.43</v>
      </c>
      <c r="J54" s="474">
        <f>'COMPOSIÇÃO DE CUSTOS'!G67</f>
        <v>197.9</v>
      </c>
      <c r="K54" s="378">
        <v>232.82000000000002</v>
      </c>
      <c r="L54" s="47">
        <f t="shared" si="5"/>
        <v>-34.923000000000002</v>
      </c>
      <c r="M54" s="47">
        <f t="shared" si="1"/>
        <v>7797.1418000000003</v>
      </c>
      <c r="N54" s="47"/>
      <c r="O54" s="47">
        <f t="shared" si="2"/>
        <v>9887.4299999999985</v>
      </c>
      <c r="P54" s="47" t="e">
        <f>IF(B54&lt;&gt;0,VLOOKUP(B54,#REF!,2,FALSE),"")</f>
        <v>#REF!</v>
      </c>
      <c r="Q54" s="34">
        <v>116</v>
      </c>
      <c r="R54" s="34">
        <f t="shared" si="0"/>
        <v>76.599999999999994</v>
      </c>
      <c r="AE54" s="523">
        <f t="shared" si="14"/>
        <v>39.4</v>
      </c>
      <c r="AF54" s="523">
        <f>'PLANILHA ORÇA - CORREGEDORIA'!BA87</f>
        <v>234.24</v>
      </c>
      <c r="AG54" s="562">
        <f t="shared" si="16"/>
        <v>297.04000000000002</v>
      </c>
      <c r="AH54" s="562">
        <f t="shared" si="17"/>
        <v>11703.38</v>
      </c>
      <c r="AI54" s="473"/>
      <c r="AJ54" s="473"/>
      <c r="AK54" s="473"/>
      <c r="AL54" s="788"/>
    </row>
    <row r="55" spans="1:38" ht="75">
      <c r="A55" s="25" t="s">
        <v>701</v>
      </c>
      <c r="B55" s="24">
        <v>92759</v>
      </c>
      <c r="C55" s="23" t="s">
        <v>1536</v>
      </c>
      <c r="D55" s="25" t="s">
        <v>12</v>
      </c>
      <c r="E55" s="25" t="s">
        <v>45</v>
      </c>
      <c r="F55" s="26">
        <v>116</v>
      </c>
      <c r="G55" s="26">
        <f t="shared" si="3"/>
        <v>13.5915</v>
      </c>
      <c r="H55" s="26">
        <f t="shared" si="20"/>
        <v>17.239999999999998</v>
      </c>
      <c r="I55" s="26">
        <f t="shared" si="21"/>
        <v>1999.84</v>
      </c>
      <c r="J55" s="65" t="e">
        <f>IF(B55&lt;&gt;0,VLOOKUP(B55,#REF!,4,FALSE),"")</f>
        <v>#REF!</v>
      </c>
      <c r="K55" s="362" t="s">
        <v>1854</v>
      </c>
      <c r="L55" s="65">
        <f t="shared" si="5"/>
        <v>-2.3985000000000003</v>
      </c>
      <c r="M55" s="65">
        <f t="shared" si="1"/>
        <v>1576.614</v>
      </c>
      <c r="N55" s="65"/>
      <c r="O55" s="65">
        <f t="shared" si="2"/>
        <v>1999.84</v>
      </c>
      <c r="P55" s="65" t="e">
        <f>IF(B55&lt;&gt;0,VLOOKUP(B55,#REF!,2,FALSE),"")</f>
        <v>#REF!</v>
      </c>
      <c r="Q55" s="2">
        <v>716</v>
      </c>
      <c r="R55" s="62">
        <f t="shared" si="0"/>
        <v>600</v>
      </c>
      <c r="AE55" s="163">
        <f t="shared" si="14"/>
        <v>116</v>
      </c>
      <c r="AF55" s="163">
        <f t="shared" si="15"/>
        <v>13.5915</v>
      </c>
      <c r="AG55" s="158">
        <f t="shared" si="16"/>
        <v>17.239999999999998</v>
      </c>
      <c r="AH55" s="158">
        <f t="shared" si="17"/>
        <v>1999.84</v>
      </c>
      <c r="AI55" s="26"/>
      <c r="AJ55" s="26"/>
      <c r="AK55" s="26"/>
    </row>
    <row r="56" spans="1:38" s="34" customFormat="1" ht="75">
      <c r="A56" s="472" t="s">
        <v>702</v>
      </c>
      <c r="B56" s="475">
        <v>92760</v>
      </c>
      <c r="C56" s="471" t="s">
        <v>1537</v>
      </c>
      <c r="D56" s="472" t="s">
        <v>12</v>
      </c>
      <c r="E56" s="472" t="s">
        <v>45</v>
      </c>
      <c r="F56" s="473">
        <v>716</v>
      </c>
      <c r="G56" s="473">
        <f t="shared" si="3"/>
        <v>13.5915</v>
      </c>
      <c r="H56" s="473">
        <f t="shared" si="20"/>
        <v>17.239999999999998</v>
      </c>
      <c r="I56" s="473">
        <f t="shared" si="21"/>
        <v>12343.84</v>
      </c>
      <c r="J56" s="47" t="e">
        <f>IF(B56&lt;&gt;0,VLOOKUP(B56,#REF!,4,FALSE),"")</f>
        <v>#REF!</v>
      </c>
      <c r="K56" s="378" t="s">
        <v>1854</v>
      </c>
      <c r="L56" s="47">
        <f t="shared" si="5"/>
        <v>-2.3985000000000003</v>
      </c>
      <c r="M56" s="47">
        <f t="shared" si="1"/>
        <v>9731.5139999999992</v>
      </c>
      <c r="N56" s="47"/>
      <c r="O56" s="47">
        <f t="shared" si="2"/>
        <v>12343.839999999998</v>
      </c>
      <c r="P56" s="47" t="e">
        <f>IF(B56&lt;&gt;0,VLOOKUP(B56,#REF!,2,FALSE),"")</f>
        <v>#REF!</v>
      </c>
      <c r="Q56" s="34">
        <v>20</v>
      </c>
      <c r="R56" s="34">
        <f t="shared" si="0"/>
        <v>-696</v>
      </c>
      <c r="AE56" s="523">
        <f t="shared" si="14"/>
        <v>716</v>
      </c>
      <c r="AF56" s="523">
        <f>'PLANILHA ORÇA - CORREGEDORIA'!BA89</f>
        <v>14.78</v>
      </c>
      <c r="AG56" s="562">
        <f t="shared" si="16"/>
        <v>18.739999999999998</v>
      </c>
      <c r="AH56" s="562">
        <f t="shared" si="17"/>
        <v>13417.84</v>
      </c>
      <c r="AI56" s="473"/>
      <c r="AJ56" s="473"/>
      <c r="AK56" s="473"/>
      <c r="AL56" s="788"/>
    </row>
    <row r="57" spans="1:38" s="34" customFormat="1" ht="75">
      <c r="A57" s="472" t="s">
        <v>3412</v>
      </c>
      <c r="B57" s="475">
        <v>92762</v>
      </c>
      <c r="C57" s="471" t="s">
        <v>1539</v>
      </c>
      <c r="D57" s="472" t="s">
        <v>12</v>
      </c>
      <c r="E57" s="472" t="s">
        <v>45</v>
      </c>
      <c r="F57" s="473">
        <v>135</v>
      </c>
      <c r="G57" s="473">
        <f t="shared" si="3"/>
        <v>12.1295</v>
      </c>
      <c r="H57" s="473">
        <f t="shared" si="20"/>
        <v>15.38</v>
      </c>
      <c r="I57" s="473">
        <f t="shared" si="21"/>
        <v>2076.3000000000002</v>
      </c>
      <c r="J57" s="47" t="e">
        <f>IF(B57&lt;&gt;0,VLOOKUP(B57,#REF!,4,FALSE),"")</f>
        <v>#REF!</v>
      </c>
      <c r="K57" s="378" t="s">
        <v>3154</v>
      </c>
      <c r="L57" s="47">
        <f t="shared" si="5"/>
        <v>-2.1404999999999994</v>
      </c>
      <c r="M57" s="47">
        <f t="shared" si="1"/>
        <v>1637.4825000000001</v>
      </c>
      <c r="N57" s="47"/>
      <c r="O57" s="47">
        <f t="shared" si="2"/>
        <v>2076.3000000000002</v>
      </c>
      <c r="P57" s="47" t="e">
        <f>IF(B57&lt;&gt;0,VLOOKUP(B57,#REF!,2,FALSE),"")</f>
        <v>#REF!</v>
      </c>
      <c r="Q57" s="34">
        <v>453</v>
      </c>
      <c r="R57" s="34">
        <f t="shared" si="0"/>
        <v>318</v>
      </c>
      <c r="AE57" s="523">
        <f t="shared" si="14"/>
        <v>135</v>
      </c>
      <c r="AF57" s="523">
        <f>'PLANILHA ORÇA - CORREGEDORIA'!BA91</f>
        <v>14.259999999999998</v>
      </c>
      <c r="AG57" s="562">
        <f t="shared" si="16"/>
        <v>18.079999999999998</v>
      </c>
      <c r="AH57" s="562">
        <f t="shared" si="17"/>
        <v>2440.8000000000002</v>
      </c>
      <c r="AI57" s="473"/>
      <c r="AJ57" s="473"/>
      <c r="AK57" s="473"/>
      <c r="AL57" s="788"/>
    </row>
    <row r="58" spans="1:38" s="34" customFormat="1" ht="75">
      <c r="A58" s="472" t="s">
        <v>3413</v>
      </c>
      <c r="B58" s="475">
        <v>92763</v>
      </c>
      <c r="C58" s="471" t="s">
        <v>1540</v>
      </c>
      <c r="D58" s="472" t="s">
        <v>12</v>
      </c>
      <c r="E58" s="472" t="s">
        <v>45</v>
      </c>
      <c r="F58" s="473">
        <v>453</v>
      </c>
      <c r="G58" s="473">
        <f t="shared" si="3"/>
        <v>10.361499999999999</v>
      </c>
      <c r="H58" s="473">
        <f t="shared" si="20"/>
        <v>13.14</v>
      </c>
      <c r="I58" s="473">
        <f t="shared" si="21"/>
        <v>5952.42</v>
      </c>
      <c r="J58" s="47" t="e">
        <f>IF(B58&lt;&gt;0,VLOOKUP(B58,#REF!,4,FALSE),"")</f>
        <v>#REF!</v>
      </c>
      <c r="K58" s="378" t="s">
        <v>3134</v>
      </c>
      <c r="L58" s="47">
        <f t="shared" si="5"/>
        <v>-1.8285</v>
      </c>
      <c r="M58" s="47">
        <f t="shared" si="1"/>
        <v>4693.7595000000001</v>
      </c>
      <c r="N58" s="47"/>
      <c r="O58" s="47">
        <f t="shared" si="2"/>
        <v>5952.42</v>
      </c>
      <c r="P58" s="47" t="e">
        <f>IF(B58&lt;&gt;0,VLOOKUP(B58,#REF!,2,FALSE),"")</f>
        <v>#REF!</v>
      </c>
      <c r="Q58" s="34">
        <v>279</v>
      </c>
      <c r="R58" s="34">
        <f t="shared" si="0"/>
        <v>-174</v>
      </c>
      <c r="AE58" s="523">
        <f t="shared" si="14"/>
        <v>453</v>
      </c>
      <c r="AF58" s="523">
        <f>'PLANILHA ORÇA - CORREGEDORIA'!BA92</f>
        <v>13.25121</v>
      </c>
      <c r="AG58" s="562">
        <f t="shared" si="16"/>
        <v>16.8</v>
      </c>
      <c r="AH58" s="562">
        <f t="shared" si="17"/>
        <v>7610.4</v>
      </c>
      <c r="AI58" s="473"/>
      <c r="AJ58" s="473"/>
      <c r="AK58" s="473"/>
      <c r="AL58" s="788"/>
    </row>
    <row r="59" spans="1:38" s="34" customFormat="1" ht="75">
      <c r="A59" s="472" t="s">
        <v>3414</v>
      </c>
      <c r="B59" s="475">
        <v>92764</v>
      </c>
      <c r="C59" s="471" t="s">
        <v>1541</v>
      </c>
      <c r="D59" s="472" t="s">
        <v>12</v>
      </c>
      <c r="E59" s="472" t="s">
        <v>45</v>
      </c>
      <c r="F59" s="473">
        <v>279</v>
      </c>
      <c r="G59" s="473">
        <f t="shared" si="3"/>
        <v>10.064</v>
      </c>
      <c r="H59" s="473">
        <f t="shared" si="20"/>
        <v>12.76</v>
      </c>
      <c r="I59" s="473">
        <f t="shared" si="21"/>
        <v>3560.04</v>
      </c>
      <c r="J59" s="47" t="e">
        <f>IF(B59&lt;&gt;0,VLOOKUP(B59,#REF!,4,FALSE),"")</f>
        <v>#REF!</v>
      </c>
      <c r="K59" s="378" t="s">
        <v>3044</v>
      </c>
      <c r="L59" s="47">
        <f t="shared" si="5"/>
        <v>-1.7759999999999998</v>
      </c>
      <c r="M59" s="47">
        <f t="shared" si="1"/>
        <v>2807.8560000000002</v>
      </c>
      <c r="N59" s="47"/>
      <c r="O59" s="47">
        <f t="shared" si="2"/>
        <v>3560.04</v>
      </c>
      <c r="P59" s="47" t="e">
        <f>IF(B59&lt;&gt;0,VLOOKUP(B59,#REF!,2,FALSE),"")</f>
        <v>#REF!</v>
      </c>
      <c r="Q59" s="34">
        <v>31.27</v>
      </c>
      <c r="R59" s="34">
        <f t="shared" si="0"/>
        <v>-247.73</v>
      </c>
      <c r="AE59" s="523">
        <f t="shared" si="14"/>
        <v>279</v>
      </c>
      <c r="AF59" s="523">
        <f>'PLANILHA ORÇA - CORREGEDORIA'!BA93</f>
        <v>13.06</v>
      </c>
      <c r="AG59" s="562">
        <f t="shared" si="16"/>
        <v>16.559999999999999</v>
      </c>
      <c r="AH59" s="562">
        <f t="shared" si="17"/>
        <v>4620.24</v>
      </c>
      <c r="AI59" s="473"/>
      <c r="AJ59" s="473"/>
      <c r="AK59" s="473"/>
      <c r="AL59" s="788"/>
    </row>
    <row r="60" spans="1:38" s="62" customFormat="1" ht="60">
      <c r="A60" s="250" t="s">
        <v>3550</v>
      </c>
      <c r="B60" s="24">
        <v>97094</v>
      </c>
      <c r="C60" s="470" t="s">
        <v>3742</v>
      </c>
      <c r="D60" s="25" t="s">
        <v>12</v>
      </c>
      <c r="E60" s="25" t="s">
        <v>35</v>
      </c>
      <c r="F60" s="26">
        <v>13.45</v>
      </c>
      <c r="G60" s="26">
        <f t="shared" si="3"/>
        <v>410.89850000000001</v>
      </c>
      <c r="H60" s="26">
        <f t="shared" si="20"/>
        <v>521.05999999999995</v>
      </c>
      <c r="I60" s="26">
        <f t="shared" ref="I60" si="22">ROUND(H60*F60,2)</f>
        <v>7008.26</v>
      </c>
      <c r="J60" s="65" t="e">
        <f>IF(B60&lt;&gt;0,VLOOKUP(B60,#REF!,4,FALSE),"")</f>
        <v>#REF!</v>
      </c>
      <c r="K60" s="362" t="s">
        <v>3215</v>
      </c>
      <c r="L60" s="65">
        <f t="shared" si="5"/>
        <v>-72.511500000000012</v>
      </c>
      <c r="M60" s="65">
        <f t="shared" si="1"/>
        <v>5526.5848249999999</v>
      </c>
      <c r="N60" s="65"/>
      <c r="O60" s="65">
        <f t="shared" si="2"/>
        <v>7008.2569999999987</v>
      </c>
      <c r="P60" s="65" t="e">
        <f>IF(B60&lt;&gt;0,VLOOKUP(B60,#REF!,2,FALSE),"")</f>
        <v>#REF!</v>
      </c>
      <c r="AE60" s="163">
        <f t="shared" si="14"/>
        <v>13.45</v>
      </c>
      <c r="AF60" s="163">
        <f t="shared" si="15"/>
        <v>410.89850000000001</v>
      </c>
      <c r="AG60" s="158">
        <f t="shared" si="16"/>
        <v>521.05999999999995</v>
      </c>
      <c r="AH60" s="158">
        <f t="shared" si="17"/>
        <v>7008.26</v>
      </c>
      <c r="AI60" s="26"/>
      <c r="AJ60" s="26"/>
      <c r="AK60" s="26"/>
      <c r="AL60" s="224"/>
    </row>
    <row r="61" spans="1:38" s="34" customFormat="1" ht="78.75" customHeight="1">
      <c r="A61" s="472" t="s">
        <v>2497</v>
      </c>
      <c r="B61" s="475" t="s">
        <v>2051</v>
      </c>
      <c r="C61" s="471" t="s">
        <v>1542</v>
      </c>
      <c r="D61" s="472" t="s">
        <v>1915</v>
      </c>
      <c r="E61" s="472" t="s">
        <v>35</v>
      </c>
      <c r="F61" s="473">
        <v>17.93</v>
      </c>
      <c r="G61" s="473">
        <f t="shared" si="3"/>
        <v>394.35750000000007</v>
      </c>
      <c r="H61" s="473">
        <f t="shared" si="20"/>
        <v>500.08</v>
      </c>
      <c r="I61" s="473">
        <f t="shared" si="21"/>
        <v>8966.43</v>
      </c>
      <c r="J61" s="474">
        <f>'COMPOSIÇÃO DE CUSTOS'!G78</f>
        <v>394.36</v>
      </c>
      <c r="K61" s="378">
        <v>463.95000000000005</v>
      </c>
      <c r="L61" s="47">
        <f t="shared" si="5"/>
        <v>-69.592499999999973</v>
      </c>
      <c r="M61" s="47">
        <f t="shared" si="1"/>
        <v>7070.8299750000015</v>
      </c>
      <c r="N61" s="47"/>
      <c r="O61" s="47">
        <f t="shared" si="2"/>
        <v>8966.4344000000001</v>
      </c>
      <c r="P61" s="47" t="e">
        <f>IF(B61&lt;&gt;0,VLOOKUP(B61,#REF!,2,FALSE),"")</f>
        <v>#REF!</v>
      </c>
      <c r="R61" s="34">
        <f t="shared" ref="R61:R92" si="23">Q61-F61</f>
        <v>-17.93</v>
      </c>
      <c r="AE61" s="523">
        <f t="shared" si="14"/>
        <v>17.93</v>
      </c>
      <c r="AF61" s="523">
        <f>'PLANILHA ORÇA - CORREGEDORIA'!BA95</f>
        <v>491.9</v>
      </c>
      <c r="AG61" s="562">
        <f t="shared" si="16"/>
        <v>623.78</v>
      </c>
      <c r="AH61" s="562">
        <f t="shared" si="17"/>
        <v>11184.38</v>
      </c>
      <c r="AI61" s="473"/>
      <c r="AJ61" s="473"/>
      <c r="AK61" s="473"/>
      <c r="AL61" s="788"/>
    </row>
    <row r="62" spans="1:38" s="28" customFormat="1" ht="18.75" customHeight="1">
      <c r="A62" s="25"/>
      <c r="B62" s="24"/>
      <c r="C62" s="23"/>
      <c r="D62" s="25"/>
      <c r="E62" s="25"/>
      <c r="F62" s="26"/>
      <c r="G62" s="26"/>
      <c r="H62" s="26"/>
      <c r="I62" s="155"/>
      <c r="J62" s="67" t="str">
        <f>IF(B62&lt;&gt;0,VLOOKUP(B62,#REF!,4,FALSE),"")</f>
        <v/>
      </c>
      <c r="K62" s="385" t="s">
        <v>1892</v>
      </c>
      <c r="L62" s="67"/>
      <c r="M62" s="67">
        <f t="shared" si="1"/>
        <v>0</v>
      </c>
      <c r="N62" s="67"/>
      <c r="O62" s="67">
        <f t="shared" si="2"/>
        <v>0</v>
      </c>
      <c r="P62" s="67" t="str">
        <f>IF(B62&lt;&gt;0,VLOOKUP(B62,#REF!,2,FALSE),"")</f>
        <v/>
      </c>
      <c r="Q62" s="370"/>
      <c r="R62" s="221">
        <f t="shared" si="23"/>
        <v>0</v>
      </c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552"/>
      <c r="AF62" s="552"/>
      <c r="AG62" s="552"/>
      <c r="AH62" s="552"/>
      <c r="AI62" s="552"/>
      <c r="AJ62" s="552"/>
      <c r="AK62" s="552"/>
      <c r="AL62" s="787"/>
    </row>
    <row r="63" spans="1:38" ht="21.75" customHeight="1">
      <c r="A63" s="77" t="s">
        <v>707</v>
      </c>
      <c r="B63" s="139"/>
      <c r="C63" s="340" t="s">
        <v>51</v>
      </c>
      <c r="D63" s="341"/>
      <c r="E63" s="341"/>
      <c r="F63" s="341"/>
      <c r="G63" s="26"/>
      <c r="H63" s="156"/>
      <c r="I63" s="834">
        <f>ROUND(SUM(I64:I77),2)</f>
        <v>341722.6</v>
      </c>
      <c r="J63" s="557" t="str">
        <f>IF(B63&lt;&gt;0,VLOOKUP(B63,#REF!,4,FALSE),"")</f>
        <v/>
      </c>
      <c r="K63" s="558" t="s">
        <v>1892</v>
      </c>
      <c r="L63" s="557"/>
      <c r="M63" s="557">
        <f t="shared" si="1"/>
        <v>0</v>
      </c>
      <c r="N63" s="557"/>
      <c r="O63" s="557">
        <f t="shared" si="2"/>
        <v>0</v>
      </c>
      <c r="P63" s="557" t="str">
        <f>IF(B63&lt;&gt;0,VLOOKUP(B63,#REF!,2,FALSE),"")</f>
        <v/>
      </c>
      <c r="Q63" s="239">
        <v>2087.2800000000002</v>
      </c>
      <c r="R63" s="556">
        <f t="shared" si="23"/>
        <v>2087.2800000000002</v>
      </c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481"/>
      <c r="AF63" s="481"/>
      <c r="AG63" s="481"/>
      <c r="AH63" s="834">
        <f>ROUND(SUM(AH64:AH77),2)</f>
        <v>163129.51999999999</v>
      </c>
      <c r="AI63" s="481"/>
      <c r="AJ63" s="481"/>
      <c r="AK63" s="834">
        <f>ROUND(SUM(AK64:AK77),2)</f>
        <v>255514.02</v>
      </c>
    </row>
    <row r="64" spans="1:38" s="34" customFormat="1" ht="90">
      <c r="A64" s="472" t="s">
        <v>708</v>
      </c>
      <c r="B64" s="475">
        <v>87508</v>
      </c>
      <c r="C64" s="471" t="s">
        <v>1543</v>
      </c>
      <c r="D64" s="472" t="s">
        <v>12</v>
      </c>
      <c r="E64" s="472" t="s">
        <v>26</v>
      </c>
      <c r="F64" s="473">
        <v>2087.2800000000002</v>
      </c>
      <c r="G64" s="473">
        <f t="shared" si="3"/>
        <v>60.987499999999997</v>
      </c>
      <c r="H64" s="473">
        <f t="shared" ref="H64:H77" si="24">ROUND(G64*(1+$J$13),2)</f>
        <v>77.34</v>
      </c>
      <c r="I64" s="573">
        <f t="shared" ref="I64:I77" si="25">ROUND(H64*F64,2)</f>
        <v>161430.24</v>
      </c>
      <c r="J64" s="576" t="e">
        <f>IF(B64&lt;&gt;0,VLOOKUP(B64,#REF!,4,FALSE),"")</f>
        <v>#REF!</v>
      </c>
      <c r="K64" s="575" t="s">
        <v>3182</v>
      </c>
      <c r="L64" s="576">
        <f t="shared" si="5"/>
        <v>-10.762500000000003</v>
      </c>
      <c r="M64" s="576">
        <f t="shared" si="1"/>
        <v>127297.989</v>
      </c>
      <c r="N64" s="576"/>
      <c r="O64" s="576">
        <f t="shared" si="2"/>
        <v>161430.23520000002</v>
      </c>
      <c r="P64" s="576" t="e">
        <f>IF(B64&lt;&gt;0,VLOOKUP(B64,#REF!,2,FALSE),"")</f>
        <v>#REF!</v>
      </c>
      <c r="Q64" s="577">
        <v>575.76</v>
      </c>
      <c r="R64" s="577">
        <f t="shared" si="23"/>
        <v>-1511.5200000000002</v>
      </c>
      <c r="S64" s="577"/>
      <c r="T64" s="577"/>
      <c r="U64" s="577"/>
      <c r="V64" s="577"/>
      <c r="W64" s="577"/>
      <c r="X64" s="577"/>
      <c r="Y64" s="577"/>
      <c r="Z64" s="577"/>
      <c r="AA64" s="577"/>
      <c r="AB64" s="577"/>
      <c r="AC64" s="577"/>
      <c r="AD64" s="577"/>
      <c r="AE64" s="523">
        <f>F64*0.75</f>
        <v>1565.46</v>
      </c>
      <c r="AF64" s="523">
        <f t="shared" ref="AF64:AF65" si="26">G64</f>
        <v>60.987499999999997</v>
      </c>
      <c r="AG64" s="562">
        <f t="shared" ref="AG64:AG65" si="27">ROUND(AF64*(1+$J$13),2)</f>
        <v>77.34</v>
      </c>
      <c r="AH64" s="562">
        <f>ROUND(AG64*AE64,2)</f>
        <v>121072.68</v>
      </c>
      <c r="AI64" s="562">
        <f>AL64</f>
        <v>76.849999999999994</v>
      </c>
      <c r="AJ64" s="562">
        <f>ROUND(AI64*(1+$J$13),2)</f>
        <v>97.45</v>
      </c>
      <c r="AK64" s="562">
        <f>ROUND(AJ64*(F64-AE64),2)</f>
        <v>50851.360000000001</v>
      </c>
      <c r="AL64" s="788">
        <f>'PLANILHA ORÇA - CORREGEDORIA'!BG98</f>
        <v>76.849999999999994</v>
      </c>
    </row>
    <row r="65" spans="1:38" s="27" customFormat="1" ht="33.75" customHeight="1">
      <c r="A65" s="25" t="s">
        <v>709</v>
      </c>
      <c r="B65" s="24">
        <v>93202</v>
      </c>
      <c r="C65" s="23" t="s">
        <v>1544</v>
      </c>
      <c r="D65" s="25" t="s">
        <v>12</v>
      </c>
      <c r="E65" s="25" t="s">
        <v>52</v>
      </c>
      <c r="F65" s="26">
        <v>575.76</v>
      </c>
      <c r="G65" s="26">
        <f t="shared" si="3"/>
        <v>17.713999999999999</v>
      </c>
      <c r="H65" s="26">
        <f t="shared" si="24"/>
        <v>22.46</v>
      </c>
      <c r="I65" s="26">
        <f t="shared" si="25"/>
        <v>12931.57</v>
      </c>
      <c r="J65" s="65" t="e">
        <f>IF(B65&lt;&gt;0,VLOOKUP(B65,#REF!,4,FALSE),"")</f>
        <v>#REF!</v>
      </c>
      <c r="K65" s="362" t="s">
        <v>3140</v>
      </c>
      <c r="L65" s="65">
        <f t="shared" si="5"/>
        <v>-3.1260000000000012</v>
      </c>
      <c r="M65" s="65">
        <f t="shared" si="1"/>
        <v>10199.012639999999</v>
      </c>
      <c r="N65" s="65"/>
      <c r="O65" s="65">
        <f t="shared" si="2"/>
        <v>12931.569600000001</v>
      </c>
      <c r="P65" s="65" t="e">
        <f>IF(B65&lt;&gt;0,VLOOKUP(B65,#REF!,2,FALSE),"")</f>
        <v>#REF!</v>
      </c>
      <c r="Q65" s="27">
        <v>124.32</v>
      </c>
      <c r="R65" s="62">
        <f t="shared" si="23"/>
        <v>-451.44</v>
      </c>
      <c r="AE65" s="163">
        <f>F65*0.75</f>
        <v>431.82</v>
      </c>
      <c r="AF65" s="163">
        <f t="shared" si="26"/>
        <v>17.713999999999999</v>
      </c>
      <c r="AG65" s="158">
        <f t="shared" si="27"/>
        <v>22.46</v>
      </c>
      <c r="AH65" s="158">
        <f>ROUND(AG65*AE65,2)</f>
        <v>9698.68</v>
      </c>
      <c r="AI65" s="159">
        <f t="shared" ref="AI65" si="28">ROUND(G65*$AM$11,2)</f>
        <v>19.73</v>
      </c>
      <c r="AJ65" s="159">
        <f t="shared" ref="AJ65" si="29">ROUND(AI65*(1+$J$13),2)</f>
        <v>25.02</v>
      </c>
      <c r="AK65" s="158">
        <f t="shared" ref="AK65" si="30">ROUND(AJ65*(F65-AE65),2)</f>
        <v>3601.38</v>
      </c>
      <c r="AL65" s="790"/>
    </row>
    <row r="66" spans="1:38" s="27" customFormat="1" ht="75">
      <c r="A66" s="250" t="s">
        <v>3554</v>
      </c>
      <c r="B66" s="24">
        <v>96363</v>
      </c>
      <c r="C66" s="470" t="s">
        <v>3743</v>
      </c>
      <c r="D66" s="25" t="s">
        <v>12</v>
      </c>
      <c r="E66" s="25" t="s">
        <v>26</v>
      </c>
      <c r="F66" s="26">
        <v>124.32</v>
      </c>
      <c r="G66" s="26">
        <f t="shared" si="3"/>
        <v>86.674499999999995</v>
      </c>
      <c r="H66" s="26">
        <f t="shared" si="24"/>
        <v>109.91</v>
      </c>
      <c r="I66" s="26">
        <f t="shared" si="25"/>
        <v>13664.01</v>
      </c>
      <c r="J66" s="65" t="e">
        <f>IF(B66&lt;&gt;0,VLOOKUP(B66,#REF!,4,FALSE),"")</f>
        <v>#REF!</v>
      </c>
      <c r="K66" s="362" t="s">
        <v>3310</v>
      </c>
      <c r="L66" s="65">
        <f t="shared" si="5"/>
        <v>-15.295500000000004</v>
      </c>
      <c r="M66" s="65">
        <f t="shared" si="1"/>
        <v>10775.373839999998</v>
      </c>
      <c r="N66" s="65"/>
      <c r="O66" s="65">
        <f t="shared" si="2"/>
        <v>13664.011199999999</v>
      </c>
      <c r="P66" s="65" t="e">
        <f>IF(B66&lt;&gt;0,VLOOKUP(B66,#REF!,2,FALSE),"")</f>
        <v>#REF!</v>
      </c>
      <c r="Q66" s="27">
        <v>850.18</v>
      </c>
      <c r="R66" s="62">
        <f t="shared" si="23"/>
        <v>725.8599999999999</v>
      </c>
      <c r="AE66" s="481"/>
      <c r="AF66" s="481"/>
      <c r="AG66" s="481"/>
      <c r="AH66" s="481"/>
      <c r="AI66" s="871">
        <f>ROUND(G66*$AM$11,2)</f>
        <v>96.56</v>
      </c>
      <c r="AJ66" s="158">
        <f>ROUND(AI66*(1+$J$13),2)</f>
        <v>122.45</v>
      </c>
      <c r="AK66" s="158">
        <f>ROUND(AJ66*F66,2)</f>
        <v>15222.98</v>
      </c>
      <c r="AL66" s="790"/>
    </row>
    <row r="67" spans="1:38" s="34" customFormat="1" ht="75">
      <c r="A67" s="515" t="s">
        <v>3555</v>
      </c>
      <c r="B67" s="475">
        <v>96359</v>
      </c>
      <c r="C67" s="471" t="s">
        <v>3773</v>
      </c>
      <c r="D67" s="472" t="s">
        <v>12</v>
      </c>
      <c r="E67" s="472" t="s">
        <v>26</v>
      </c>
      <c r="F67" s="473">
        <v>850.18</v>
      </c>
      <c r="G67" s="473">
        <f t="shared" si="3"/>
        <v>72.658000000000001</v>
      </c>
      <c r="H67" s="473">
        <f t="shared" si="24"/>
        <v>92.14</v>
      </c>
      <c r="I67" s="473">
        <f t="shared" si="25"/>
        <v>78335.59</v>
      </c>
      <c r="J67" s="47" t="e">
        <f>IF(B67&lt;&gt;0,VLOOKUP(B67,#REF!,4,FALSE),"")</f>
        <v>#REF!</v>
      </c>
      <c r="K67" s="378" t="s">
        <v>3304</v>
      </c>
      <c r="L67" s="47">
        <f t="shared" si="5"/>
        <v>-12.822000000000003</v>
      </c>
      <c r="M67" s="47">
        <f t="shared" si="1"/>
        <v>61772.37844</v>
      </c>
      <c r="N67" s="47"/>
      <c r="O67" s="47">
        <f t="shared" si="2"/>
        <v>78335.585200000001</v>
      </c>
      <c r="P67" s="47" t="e">
        <f>IF(B67&lt;&gt;0,VLOOKUP(B67,#REF!,2,FALSE),"")</f>
        <v>#REF!</v>
      </c>
      <c r="Q67" s="34">
        <v>55.005999999999993</v>
      </c>
      <c r="R67" s="34">
        <f t="shared" si="23"/>
        <v>-795.17399999999998</v>
      </c>
      <c r="AE67" s="502"/>
      <c r="AF67" s="502"/>
      <c r="AG67" s="502"/>
      <c r="AH67" s="502"/>
      <c r="AI67" s="872">
        <f>AL67</f>
        <v>127.94</v>
      </c>
      <c r="AJ67" s="473">
        <f>ROUND(AI67*(1+$J$13),2)</f>
        <v>162.24</v>
      </c>
      <c r="AK67" s="473">
        <f>ROUND(AJ67*F67,2)</f>
        <v>137933.20000000001</v>
      </c>
      <c r="AL67" s="788">
        <f>'PLANILHA ORÇA - CORREGEDORIA'!BG101</f>
        <v>127.94</v>
      </c>
    </row>
    <row r="68" spans="1:38" ht="30">
      <c r="A68" s="25" t="s">
        <v>711</v>
      </c>
      <c r="B68" s="24">
        <v>93188</v>
      </c>
      <c r="C68" s="23" t="s">
        <v>1545</v>
      </c>
      <c r="D68" s="25" t="s">
        <v>12</v>
      </c>
      <c r="E68" s="25" t="s">
        <v>52</v>
      </c>
      <c r="F68" s="26">
        <v>55.005999999999993</v>
      </c>
      <c r="G68" s="26">
        <f t="shared" si="3"/>
        <v>55.173499999999997</v>
      </c>
      <c r="H68" s="26">
        <f t="shared" si="24"/>
        <v>69.97</v>
      </c>
      <c r="I68" s="26">
        <f t="shared" si="25"/>
        <v>3848.77</v>
      </c>
      <c r="J68" s="65" t="e">
        <f>IF(B68&lt;&gt;0,VLOOKUP(B68,#REF!,4,FALSE),"")</f>
        <v>#REF!</v>
      </c>
      <c r="K68" s="362" t="s">
        <v>3173</v>
      </c>
      <c r="L68" s="65">
        <f t="shared" si="5"/>
        <v>-9.7364999999999995</v>
      </c>
      <c r="M68" s="65">
        <f t="shared" si="1"/>
        <v>3034.8735409999995</v>
      </c>
      <c r="N68" s="65"/>
      <c r="O68" s="65">
        <f t="shared" si="2"/>
        <v>3848.7698199999995</v>
      </c>
      <c r="P68" s="65" t="e">
        <f>IF(B68&lt;&gt;0,VLOOKUP(B68,#REF!,2,FALSE),"")</f>
        <v>#REF!</v>
      </c>
      <c r="Q68" s="2">
        <v>29.175999999999998</v>
      </c>
      <c r="R68" s="62">
        <f t="shared" si="23"/>
        <v>-25.829999999999995</v>
      </c>
      <c r="AE68" s="163">
        <f>F68*0.8</f>
        <v>44.004799999999996</v>
      </c>
      <c r="AF68" s="163">
        <f t="shared" ref="AF68" si="31">G68</f>
        <v>55.173499999999997</v>
      </c>
      <c r="AG68" s="158">
        <f t="shared" ref="AG68" si="32">ROUND(AF68*(1+$J$13),2)</f>
        <v>69.97</v>
      </c>
      <c r="AH68" s="158">
        <f t="shared" ref="AH68:AH73" si="33">ROUND(AG68*AE68,2)</f>
        <v>3079.02</v>
      </c>
      <c r="AI68" s="873">
        <f>ROUND(G68*$AM$11,2)</f>
        <v>61.46</v>
      </c>
      <c r="AJ68" s="26">
        <f>ROUND(AI68*(1+$J$13),2)</f>
        <v>77.94</v>
      </c>
      <c r="AK68" s="158">
        <f t="shared" ref="AK68:AK73" si="34">ROUND(AJ68*(F68-AE68),2)</f>
        <v>857.43</v>
      </c>
    </row>
    <row r="69" spans="1:38" ht="30">
      <c r="A69" s="25" t="s">
        <v>712</v>
      </c>
      <c r="B69" s="24">
        <v>93189</v>
      </c>
      <c r="C69" s="23" t="s">
        <v>1546</v>
      </c>
      <c r="D69" s="25" t="s">
        <v>12</v>
      </c>
      <c r="E69" s="25" t="s">
        <v>52</v>
      </c>
      <c r="F69" s="26">
        <v>29.175999999999998</v>
      </c>
      <c r="G69" s="26">
        <f t="shared" si="3"/>
        <v>70.133499999999998</v>
      </c>
      <c r="H69" s="26">
        <f t="shared" si="24"/>
        <v>88.94</v>
      </c>
      <c r="I69" s="26">
        <f t="shared" si="25"/>
        <v>2594.91</v>
      </c>
      <c r="J69" s="65" t="e">
        <f>IF(B69&lt;&gt;0,VLOOKUP(B69,#REF!,4,FALSE),"")</f>
        <v>#REF!</v>
      </c>
      <c r="K69" s="362" t="s">
        <v>3221</v>
      </c>
      <c r="L69" s="65">
        <f t="shared" si="5"/>
        <v>-12.376500000000007</v>
      </c>
      <c r="M69" s="65">
        <f t="shared" si="1"/>
        <v>2046.2149959999999</v>
      </c>
      <c r="N69" s="65"/>
      <c r="O69" s="65">
        <f t="shared" si="2"/>
        <v>2594.9134399999998</v>
      </c>
      <c r="P69" s="65" t="e">
        <f>IF(B69&lt;&gt;0,VLOOKUP(B69,#REF!,2,FALSE),"")</f>
        <v>#REF!</v>
      </c>
      <c r="Q69" s="2">
        <v>39.039000000000001</v>
      </c>
      <c r="R69" s="62">
        <f t="shared" si="23"/>
        <v>9.8630000000000031</v>
      </c>
      <c r="AE69" s="163">
        <f t="shared" ref="AE69:AE73" si="35">F69*0.8</f>
        <v>23.340800000000002</v>
      </c>
      <c r="AF69" s="163">
        <f t="shared" ref="AF69:AF73" si="36">G69</f>
        <v>70.133499999999998</v>
      </c>
      <c r="AG69" s="158">
        <f t="shared" ref="AG69:AG73" si="37">ROUND(AF69*(1+$J$13),2)</f>
        <v>88.94</v>
      </c>
      <c r="AH69" s="158">
        <f t="shared" si="33"/>
        <v>2075.9299999999998</v>
      </c>
      <c r="AI69" s="873">
        <f t="shared" ref="AI69:AI76" si="38">ROUND(G69*$AM$11,2)</f>
        <v>78.13</v>
      </c>
      <c r="AJ69" s="26">
        <f t="shared" ref="AJ69:AJ76" si="39">ROUND(AI69*(1+$J$13),2)</f>
        <v>99.08</v>
      </c>
      <c r="AK69" s="158">
        <f t="shared" si="34"/>
        <v>578.15</v>
      </c>
    </row>
    <row r="70" spans="1:38" ht="30">
      <c r="A70" s="25" t="s">
        <v>713</v>
      </c>
      <c r="B70" s="24">
        <v>93186</v>
      </c>
      <c r="C70" s="23" t="s">
        <v>1547</v>
      </c>
      <c r="D70" s="25" t="s">
        <v>12</v>
      </c>
      <c r="E70" s="25" t="s">
        <v>52</v>
      </c>
      <c r="F70" s="26">
        <v>39.039000000000001</v>
      </c>
      <c r="G70" s="26">
        <f t="shared" si="3"/>
        <v>59.729499999999994</v>
      </c>
      <c r="H70" s="26">
        <f t="shared" si="24"/>
        <v>75.739999999999995</v>
      </c>
      <c r="I70" s="26">
        <f t="shared" si="25"/>
        <v>2956.81</v>
      </c>
      <c r="J70" s="65" t="e">
        <f>IF(B70&lt;&gt;0,VLOOKUP(B70,#REF!,4,FALSE),"")</f>
        <v>#REF!</v>
      </c>
      <c r="K70" s="362" t="s">
        <v>3139</v>
      </c>
      <c r="L70" s="65">
        <f t="shared" si="5"/>
        <v>-10.540500000000002</v>
      </c>
      <c r="M70" s="65">
        <f t="shared" si="1"/>
        <v>2331.7799504999998</v>
      </c>
      <c r="N70" s="65"/>
      <c r="O70" s="65">
        <f t="shared" si="2"/>
        <v>2956.8138599999997</v>
      </c>
      <c r="P70" s="65" t="e">
        <f>IF(B70&lt;&gt;0,VLOOKUP(B70,#REF!,2,FALSE),"")</f>
        <v>#REF!</v>
      </c>
      <c r="Q70" s="2">
        <v>37.17</v>
      </c>
      <c r="R70" s="62">
        <f t="shared" si="23"/>
        <v>-1.8689999999999998</v>
      </c>
      <c r="AE70" s="163">
        <f t="shared" si="35"/>
        <v>31.231200000000001</v>
      </c>
      <c r="AF70" s="163">
        <f t="shared" si="36"/>
        <v>59.729499999999994</v>
      </c>
      <c r="AG70" s="158">
        <f t="shared" si="37"/>
        <v>75.739999999999995</v>
      </c>
      <c r="AH70" s="158">
        <f t="shared" si="33"/>
        <v>2365.4499999999998</v>
      </c>
      <c r="AI70" s="873">
        <f t="shared" si="38"/>
        <v>66.540000000000006</v>
      </c>
      <c r="AJ70" s="26">
        <f t="shared" si="39"/>
        <v>84.38</v>
      </c>
      <c r="AK70" s="158">
        <f t="shared" si="34"/>
        <v>658.82</v>
      </c>
    </row>
    <row r="71" spans="1:38" ht="45">
      <c r="A71" s="25" t="s">
        <v>714</v>
      </c>
      <c r="B71" s="24">
        <v>93196</v>
      </c>
      <c r="C71" s="23" t="s">
        <v>1548</v>
      </c>
      <c r="D71" s="25" t="s">
        <v>12</v>
      </c>
      <c r="E71" s="25" t="s">
        <v>52</v>
      </c>
      <c r="F71" s="26">
        <v>37.17</v>
      </c>
      <c r="G71" s="26">
        <f t="shared" si="3"/>
        <v>57.808500000000002</v>
      </c>
      <c r="H71" s="26">
        <f t="shared" si="24"/>
        <v>73.31</v>
      </c>
      <c r="I71" s="26">
        <f t="shared" si="25"/>
        <v>2724.93</v>
      </c>
      <c r="J71" s="65" t="e">
        <f>IF(B71&lt;&gt;0,VLOOKUP(B71,#REF!,4,FALSE),"")</f>
        <v>#REF!</v>
      </c>
      <c r="K71" s="362" t="s">
        <v>3222</v>
      </c>
      <c r="L71" s="65">
        <f t="shared" si="5"/>
        <v>-10.201500000000003</v>
      </c>
      <c r="M71" s="65">
        <f t="shared" si="1"/>
        <v>2148.7419450000002</v>
      </c>
      <c r="N71" s="65"/>
      <c r="O71" s="65">
        <f t="shared" si="2"/>
        <v>2724.9327000000003</v>
      </c>
      <c r="P71" s="65" t="e">
        <f>IF(B71&lt;&gt;0,VLOOKUP(B71,#REF!,2,FALSE),"")</f>
        <v>#REF!</v>
      </c>
      <c r="Q71" s="2">
        <v>184.09299999999999</v>
      </c>
      <c r="R71" s="62">
        <f t="shared" si="23"/>
        <v>146.923</v>
      </c>
      <c r="AE71" s="163">
        <f t="shared" si="35"/>
        <v>29.736000000000004</v>
      </c>
      <c r="AF71" s="163">
        <f t="shared" si="36"/>
        <v>57.808500000000002</v>
      </c>
      <c r="AG71" s="158">
        <f t="shared" si="37"/>
        <v>73.31</v>
      </c>
      <c r="AH71" s="158">
        <f t="shared" si="33"/>
        <v>2179.9499999999998</v>
      </c>
      <c r="AI71" s="873">
        <f t="shared" si="38"/>
        <v>64.400000000000006</v>
      </c>
      <c r="AJ71" s="26">
        <f t="shared" si="39"/>
        <v>81.67</v>
      </c>
      <c r="AK71" s="158">
        <f t="shared" si="34"/>
        <v>607.13</v>
      </c>
    </row>
    <row r="72" spans="1:38" s="62" customFormat="1" ht="30">
      <c r="A72" s="25" t="s">
        <v>715</v>
      </c>
      <c r="B72" s="24">
        <v>93187</v>
      </c>
      <c r="C72" s="23" t="s">
        <v>1549</v>
      </c>
      <c r="D72" s="25" t="s">
        <v>12</v>
      </c>
      <c r="E72" s="25" t="s">
        <v>52</v>
      </c>
      <c r="F72" s="26">
        <v>184.09299999999999</v>
      </c>
      <c r="G72" s="26">
        <f t="shared" si="3"/>
        <v>69.478999999999999</v>
      </c>
      <c r="H72" s="26">
        <f t="shared" si="24"/>
        <v>88.11</v>
      </c>
      <c r="I72" s="26">
        <f t="shared" si="25"/>
        <v>16220.43</v>
      </c>
      <c r="J72" s="65" t="e">
        <f>IF(B72&lt;&gt;0,VLOOKUP(B72,#REF!,4,FALSE),"")</f>
        <v>#REF!</v>
      </c>
      <c r="K72" s="362" t="s">
        <v>3167</v>
      </c>
      <c r="L72" s="65">
        <f t="shared" si="5"/>
        <v>-12.260999999999996</v>
      </c>
      <c r="M72" s="65">
        <f t="shared" si="1"/>
        <v>12790.597546999999</v>
      </c>
      <c r="N72" s="65"/>
      <c r="O72" s="65">
        <f t="shared" si="2"/>
        <v>16220.434229999999</v>
      </c>
      <c r="P72" s="65" t="e">
        <f>IF(B72&lt;&gt;0,VLOOKUP(B72,#REF!,2,FALSE),"")</f>
        <v>#REF!</v>
      </c>
      <c r="Q72" s="62">
        <v>147.36750000000001</v>
      </c>
      <c r="R72" s="62">
        <f t="shared" si="23"/>
        <v>-36.725499999999982</v>
      </c>
      <c r="AE72" s="163">
        <f t="shared" si="35"/>
        <v>147.27439999999999</v>
      </c>
      <c r="AF72" s="163">
        <f t="shared" si="36"/>
        <v>69.478999999999999</v>
      </c>
      <c r="AG72" s="158">
        <f t="shared" si="37"/>
        <v>88.11</v>
      </c>
      <c r="AH72" s="158">
        <f t="shared" si="33"/>
        <v>12976.35</v>
      </c>
      <c r="AI72" s="873">
        <f t="shared" si="38"/>
        <v>77.400000000000006</v>
      </c>
      <c r="AJ72" s="26">
        <f t="shared" si="39"/>
        <v>98.15</v>
      </c>
      <c r="AK72" s="158">
        <f t="shared" si="34"/>
        <v>3613.75</v>
      </c>
      <c r="AL72" s="224"/>
    </row>
    <row r="73" spans="1:38" s="62" customFormat="1" ht="45">
      <c r="A73" s="25" t="s">
        <v>716</v>
      </c>
      <c r="B73" s="24">
        <v>93197</v>
      </c>
      <c r="C73" s="23" t="s">
        <v>1550</v>
      </c>
      <c r="D73" s="25" t="s">
        <v>12</v>
      </c>
      <c r="E73" s="25" t="s">
        <v>52</v>
      </c>
      <c r="F73" s="26">
        <v>147.36750000000001</v>
      </c>
      <c r="G73" s="26">
        <f t="shared" si="3"/>
        <v>64.761499999999998</v>
      </c>
      <c r="H73" s="26">
        <f t="shared" si="24"/>
        <v>82.12</v>
      </c>
      <c r="I73" s="26">
        <f t="shared" si="25"/>
        <v>12101.82</v>
      </c>
      <c r="J73" s="65" t="e">
        <f>IF(B73&lt;&gt;0,VLOOKUP(B73,#REF!,4,FALSE),"")</f>
        <v>#REF!</v>
      </c>
      <c r="K73" s="362" t="s">
        <v>3223</v>
      </c>
      <c r="L73" s="65">
        <f t="shared" si="5"/>
        <v>-11.4285</v>
      </c>
      <c r="M73" s="65">
        <f t="shared" si="1"/>
        <v>9543.7403512500005</v>
      </c>
      <c r="N73" s="65"/>
      <c r="O73" s="65">
        <f t="shared" si="2"/>
        <v>12101.819100000001</v>
      </c>
      <c r="P73" s="65" t="e">
        <f>IF(B73&lt;&gt;0,VLOOKUP(B73,#REF!,2,FALSE),"")</f>
        <v>#REF!</v>
      </c>
      <c r="Q73" s="62">
        <v>238.90299999999999</v>
      </c>
      <c r="R73" s="62">
        <f t="shared" si="23"/>
        <v>91.535499999999985</v>
      </c>
      <c r="AE73" s="163">
        <f t="shared" si="35"/>
        <v>117.89400000000001</v>
      </c>
      <c r="AF73" s="163">
        <f t="shared" si="36"/>
        <v>64.761499999999998</v>
      </c>
      <c r="AG73" s="158">
        <f t="shared" si="37"/>
        <v>82.12</v>
      </c>
      <c r="AH73" s="158">
        <f t="shared" si="33"/>
        <v>9681.4599999999991</v>
      </c>
      <c r="AI73" s="873">
        <f t="shared" si="38"/>
        <v>72.14</v>
      </c>
      <c r="AJ73" s="26">
        <f t="shared" si="39"/>
        <v>91.48</v>
      </c>
      <c r="AK73" s="158">
        <f t="shared" si="34"/>
        <v>2696.24</v>
      </c>
      <c r="AL73" s="224"/>
    </row>
    <row r="74" spans="1:38" s="62" customFormat="1" ht="30">
      <c r="A74" s="25" t="s">
        <v>717</v>
      </c>
      <c r="B74" s="24" t="s">
        <v>2053</v>
      </c>
      <c r="C74" s="23" t="s">
        <v>53</v>
      </c>
      <c r="D74" s="25" t="s">
        <v>1915</v>
      </c>
      <c r="E74" s="25" t="s">
        <v>52</v>
      </c>
      <c r="F74" s="26">
        <v>238.90299999999999</v>
      </c>
      <c r="G74" s="26">
        <f t="shared" si="3"/>
        <v>33.073499999999996</v>
      </c>
      <c r="H74" s="26">
        <f t="shared" si="24"/>
        <v>41.94</v>
      </c>
      <c r="I74" s="26">
        <f t="shared" si="25"/>
        <v>10019.59</v>
      </c>
      <c r="J74" s="64">
        <f>'COMPOSIÇÃO DE CUSTOS'!G88</f>
        <v>33.08</v>
      </c>
      <c r="K74" s="362">
        <v>38.909999999999997</v>
      </c>
      <c r="L74" s="65">
        <f t="shared" si="5"/>
        <v>-5.8365000000000009</v>
      </c>
      <c r="M74" s="65">
        <f t="shared" si="1"/>
        <v>7901.3583704999983</v>
      </c>
      <c r="N74" s="65"/>
      <c r="O74" s="65">
        <f t="shared" si="2"/>
        <v>10019.59182</v>
      </c>
      <c r="P74" s="65" t="e">
        <f>IF(B74&lt;&gt;0,VLOOKUP(B74,#REF!,2,FALSE),"")</f>
        <v>#REF!</v>
      </c>
      <c r="Q74" s="62">
        <v>17.399999999999999</v>
      </c>
      <c r="R74" s="62">
        <f t="shared" si="23"/>
        <v>-221.50299999999999</v>
      </c>
      <c r="AE74" s="481"/>
      <c r="AF74" s="481"/>
      <c r="AG74" s="481"/>
      <c r="AH74" s="481"/>
      <c r="AI74" s="873">
        <f t="shared" si="38"/>
        <v>36.840000000000003</v>
      </c>
      <c r="AJ74" s="26">
        <f t="shared" si="39"/>
        <v>46.72</v>
      </c>
      <c r="AK74" s="26">
        <f t="shared" ref="AK74:AK76" si="40">ROUND(AJ74*F74,2)</f>
        <v>11161.55</v>
      </c>
      <c r="AL74" s="224"/>
    </row>
    <row r="75" spans="1:38" s="62" customFormat="1" ht="45">
      <c r="A75" s="25" t="s">
        <v>718</v>
      </c>
      <c r="B75" s="24" t="s">
        <v>2040</v>
      </c>
      <c r="C75" s="23" t="s">
        <v>54</v>
      </c>
      <c r="D75" s="25" t="s">
        <v>1915</v>
      </c>
      <c r="E75" s="25" t="s">
        <v>26</v>
      </c>
      <c r="F75" s="26">
        <v>17.399999999999999</v>
      </c>
      <c r="G75" s="26">
        <f t="shared" si="3"/>
        <v>96.789500000000004</v>
      </c>
      <c r="H75" s="26">
        <f t="shared" si="24"/>
        <v>122.74</v>
      </c>
      <c r="I75" s="26">
        <f t="shared" si="25"/>
        <v>2135.6799999999998</v>
      </c>
      <c r="J75" s="64">
        <f>'COMPOSIÇÃO DE CUSTOS'!G2188</f>
        <v>96.79</v>
      </c>
      <c r="K75" s="362">
        <v>113.87</v>
      </c>
      <c r="L75" s="65">
        <f t="shared" si="5"/>
        <v>-17.080500000000001</v>
      </c>
      <c r="M75" s="65">
        <f t="shared" si="1"/>
        <v>1684.1372999999999</v>
      </c>
      <c r="N75" s="65"/>
      <c r="O75" s="65">
        <f t="shared" si="2"/>
        <v>2135.6759999999999</v>
      </c>
      <c r="P75" s="65" t="e">
        <f>IF(B75&lt;&gt;0,VLOOKUP(B75,#REF!,2,FALSE),"")</f>
        <v>#REF!</v>
      </c>
      <c r="Q75" s="62">
        <v>0.26249999999999996</v>
      </c>
      <c r="R75" s="62">
        <f t="shared" si="23"/>
        <v>-17.137499999999999</v>
      </c>
      <c r="AE75" s="481"/>
      <c r="AF75" s="481"/>
      <c r="AG75" s="481"/>
      <c r="AH75" s="481"/>
      <c r="AI75" s="873">
        <f t="shared" si="38"/>
        <v>107.82</v>
      </c>
      <c r="AJ75" s="26">
        <f t="shared" si="39"/>
        <v>136.72999999999999</v>
      </c>
      <c r="AK75" s="26">
        <f t="shared" si="40"/>
        <v>2379.1</v>
      </c>
      <c r="AL75" s="224"/>
    </row>
    <row r="76" spans="1:38" ht="84" customHeight="1">
      <c r="A76" s="25" t="s">
        <v>719</v>
      </c>
      <c r="B76" s="24">
        <v>72175</v>
      </c>
      <c r="C76" s="23" t="s">
        <v>55</v>
      </c>
      <c r="D76" s="25" t="s">
        <v>1915</v>
      </c>
      <c r="E76" s="25" t="s">
        <v>26</v>
      </c>
      <c r="F76" s="26">
        <v>0.26249999999999996</v>
      </c>
      <c r="G76" s="26">
        <f t="shared" si="3"/>
        <v>483.27600000000007</v>
      </c>
      <c r="H76" s="26">
        <f t="shared" si="24"/>
        <v>612.84</v>
      </c>
      <c r="I76" s="26">
        <f t="shared" si="25"/>
        <v>160.87</v>
      </c>
      <c r="J76" s="64">
        <f>'COMPOSIÇÃO DE CUSTOS'!G99</f>
        <v>483.28000000000003</v>
      </c>
      <c r="K76" s="362">
        <v>568.56000000000006</v>
      </c>
      <c r="L76" s="65">
        <f t="shared" si="5"/>
        <v>-85.283999999999992</v>
      </c>
      <c r="M76" s="65">
        <f t="shared" si="1"/>
        <v>126.85995</v>
      </c>
      <c r="N76" s="65"/>
      <c r="O76" s="65">
        <f t="shared" si="2"/>
        <v>160.87049999999999</v>
      </c>
      <c r="P76" s="65" t="e">
        <f>IF(B76&lt;&gt;0,VLOOKUP(B76,#REF!,2,FALSE),"")</f>
        <v>#REF!</v>
      </c>
      <c r="Q76" s="2">
        <v>78</v>
      </c>
      <c r="R76" s="62">
        <f t="shared" si="23"/>
        <v>77.737499999999997</v>
      </c>
      <c r="AE76" s="481"/>
      <c r="AF76" s="481"/>
      <c r="AG76" s="481"/>
      <c r="AH76" s="481"/>
      <c r="AI76" s="873">
        <f t="shared" si="38"/>
        <v>538.37</v>
      </c>
      <c r="AJ76" s="26">
        <f t="shared" si="39"/>
        <v>682.71</v>
      </c>
      <c r="AK76" s="26">
        <f t="shared" si="40"/>
        <v>179.21</v>
      </c>
    </row>
    <row r="77" spans="1:38" s="34" customFormat="1" ht="15" customHeight="1">
      <c r="A77" s="472" t="s">
        <v>2689</v>
      </c>
      <c r="B77" s="475" t="s">
        <v>2690</v>
      </c>
      <c r="C77" s="471" t="s">
        <v>2691</v>
      </c>
      <c r="D77" s="472" t="s">
        <v>1915</v>
      </c>
      <c r="E77" s="472" t="s">
        <v>26</v>
      </c>
      <c r="F77" s="473">
        <v>78</v>
      </c>
      <c r="G77" s="473">
        <f t="shared" si="3"/>
        <v>228.46299999999997</v>
      </c>
      <c r="H77" s="473">
        <f t="shared" si="24"/>
        <v>289.70999999999998</v>
      </c>
      <c r="I77" s="473">
        <f t="shared" si="25"/>
        <v>22597.38</v>
      </c>
      <c r="J77" s="474">
        <f>'COMPOSIÇÃO DE CUSTOS'!G2346</f>
        <v>228.47</v>
      </c>
      <c r="K77" s="378">
        <v>268.77999999999997</v>
      </c>
      <c r="L77" s="47">
        <f t="shared" si="5"/>
        <v>-40.317000000000007</v>
      </c>
      <c r="M77" s="47">
        <f t="shared" si="1"/>
        <v>17820.113999999998</v>
      </c>
      <c r="N77" s="47"/>
      <c r="O77" s="47">
        <f t="shared" si="2"/>
        <v>22597.379999999997</v>
      </c>
      <c r="P77" s="47" t="e">
        <f>IF(B77&lt;&gt;0,VLOOKUP(B77,#REF!,2,FALSE),"")</f>
        <v>#REF!</v>
      </c>
      <c r="R77" s="34">
        <f t="shared" si="23"/>
        <v>-78</v>
      </c>
      <c r="AE77" s="502"/>
      <c r="AF77" s="502"/>
      <c r="AG77" s="502"/>
      <c r="AH77" s="502"/>
      <c r="AI77" s="872">
        <f>AL77</f>
        <v>254.51</v>
      </c>
      <c r="AJ77" s="473">
        <f>ROUND(AI77*(1+$J$13),2)</f>
        <v>322.74</v>
      </c>
      <c r="AK77" s="473">
        <f>ROUND(AJ77*F77,2)</f>
        <v>25173.72</v>
      </c>
      <c r="AL77" s="788">
        <f>ROUND(G77*AM11,2)</f>
        <v>254.51</v>
      </c>
    </row>
    <row r="78" spans="1:38" ht="26.25" customHeight="1">
      <c r="A78" s="25"/>
      <c r="B78" s="24"/>
      <c r="C78" s="23"/>
      <c r="D78" s="25"/>
      <c r="E78" s="25"/>
      <c r="F78" s="26"/>
      <c r="G78" s="26"/>
      <c r="H78" s="26"/>
      <c r="I78" s="26"/>
      <c r="J78" s="65" t="str">
        <f>IF(B78&lt;&gt;0,VLOOKUP(B78,#REF!,4,FALSE),"")</f>
        <v/>
      </c>
      <c r="K78" s="362" t="s">
        <v>1892</v>
      </c>
      <c r="L78" s="65"/>
      <c r="M78" s="65">
        <f t="shared" si="1"/>
        <v>0</v>
      </c>
      <c r="N78" s="65"/>
      <c r="O78" s="65">
        <f t="shared" si="2"/>
        <v>0</v>
      </c>
      <c r="P78" s="65" t="str">
        <f>IF(B78&lt;&gt;0,VLOOKUP(B78,#REF!,2,FALSE),"")</f>
        <v/>
      </c>
      <c r="R78" s="62">
        <f t="shared" si="23"/>
        <v>0</v>
      </c>
      <c r="AE78" s="27"/>
      <c r="AF78" s="27"/>
      <c r="AG78" s="27"/>
    </row>
    <row r="79" spans="1:38" ht="20.25" customHeight="1">
      <c r="A79" s="77" t="s">
        <v>720</v>
      </c>
      <c r="B79" s="139"/>
      <c r="C79" s="340" t="s">
        <v>56</v>
      </c>
      <c r="D79" s="341"/>
      <c r="E79" s="341"/>
      <c r="F79" s="341"/>
      <c r="G79" s="26"/>
      <c r="H79" s="341"/>
      <c r="I79" s="96">
        <f>ROUND(SUM(I82:I132),2)</f>
        <v>684924.06</v>
      </c>
      <c r="J79" s="65" t="str">
        <f>IF(B79&lt;&gt;0,VLOOKUP(B79,#REF!,4,FALSE),"")</f>
        <v/>
      </c>
      <c r="K79" s="362" t="s">
        <v>1892</v>
      </c>
      <c r="L79" s="65"/>
      <c r="M79" s="65">
        <f t="shared" si="1"/>
        <v>0</v>
      </c>
      <c r="N79" s="65"/>
      <c r="O79" s="65">
        <f t="shared" si="2"/>
        <v>0</v>
      </c>
      <c r="P79" s="65" t="str">
        <f>IF(B79&lt;&gt;0,VLOOKUP(B79,#REF!,2,FALSE),"")</f>
        <v/>
      </c>
      <c r="R79" s="62">
        <f t="shared" si="23"/>
        <v>0</v>
      </c>
      <c r="AE79" s="481"/>
      <c r="AF79" s="481"/>
      <c r="AG79" s="481"/>
      <c r="AH79" s="834">
        <f>ROUND(SUM(AH82:AH132),2)</f>
        <v>625385.43999999994</v>
      </c>
      <c r="AI79" s="481"/>
      <c r="AJ79" s="481"/>
      <c r="AK79" s="834">
        <f>ROUND(SUM(AK82:AK132),2)</f>
        <v>262221.40999999997</v>
      </c>
    </row>
    <row r="80" spans="1:38" s="62" customFormat="1" ht="17.25" customHeight="1">
      <c r="A80" s="77" t="s">
        <v>721</v>
      </c>
      <c r="B80" s="139"/>
      <c r="C80" s="340" t="s">
        <v>57</v>
      </c>
      <c r="D80" s="341"/>
      <c r="E80" s="341"/>
      <c r="F80" s="341"/>
      <c r="G80" s="26"/>
      <c r="H80" s="341"/>
      <c r="I80" s="96"/>
      <c r="J80" s="65" t="str">
        <f>IF(B80&lt;&gt;0,VLOOKUP(B80,#REF!,4,FALSE),"")</f>
        <v/>
      </c>
      <c r="K80" s="362" t="s">
        <v>1892</v>
      </c>
      <c r="L80" s="65"/>
      <c r="M80" s="65">
        <f t="shared" si="1"/>
        <v>0</v>
      </c>
      <c r="N80" s="65"/>
      <c r="O80" s="65">
        <f t="shared" si="2"/>
        <v>0</v>
      </c>
      <c r="P80" s="65" t="str">
        <f>IF(B80&lt;&gt;0,VLOOKUP(B80,#REF!,2,FALSE),"")</f>
        <v/>
      </c>
      <c r="R80" s="62">
        <f t="shared" si="23"/>
        <v>0</v>
      </c>
      <c r="AE80" s="481"/>
      <c r="AF80" s="481"/>
      <c r="AG80" s="481"/>
      <c r="AH80" s="481"/>
      <c r="AI80" s="481"/>
      <c r="AJ80" s="481"/>
      <c r="AK80" s="481"/>
      <c r="AL80" s="224"/>
    </row>
    <row r="81" spans="1:38" ht="16.5" customHeight="1">
      <c r="A81" s="77" t="s">
        <v>722</v>
      </c>
      <c r="B81" s="139"/>
      <c r="C81" s="340" t="s">
        <v>58</v>
      </c>
      <c r="D81" s="341"/>
      <c r="E81" s="341"/>
      <c r="F81" s="341"/>
      <c r="G81" s="26"/>
      <c r="H81" s="341"/>
      <c r="I81" s="96"/>
      <c r="J81" s="65" t="str">
        <f>IF(B81&lt;&gt;0,VLOOKUP(B81,#REF!,4,FALSE),"")</f>
        <v/>
      </c>
      <c r="K81" s="362" t="s">
        <v>1892</v>
      </c>
      <c r="L81" s="65"/>
      <c r="M81" s="65">
        <f t="shared" si="1"/>
        <v>0</v>
      </c>
      <c r="N81" s="65"/>
      <c r="O81" s="65">
        <f t="shared" si="2"/>
        <v>0</v>
      </c>
      <c r="P81" s="65" t="str">
        <f>IF(B81&lt;&gt;0,VLOOKUP(B81,#REF!,2,FALSE),"")</f>
        <v/>
      </c>
      <c r="Q81" s="2">
        <v>543.9</v>
      </c>
      <c r="R81" s="62">
        <f t="shared" si="23"/>
        <v>543.9</v>
      </c>
      <c r="AE81" s="481"/>
      <c r="AF81" s="481"/>
      <c r="AG81" s="481"/>
      <c r="AH81" s="481"/>
      <c r="AI81" s="481"/>
      <c r="AJ81" s="481"/>
      <c r="AK81" s="481"/>
    </row>
    <row r="82" spans="1:38" s="34" customFormat="1" ht="75">
      <c r="A82" s="472" t="s">
        <v>723</v>
      </c>
      <c r="B82" s="475">
        <v>92408</v>
      </c>
      <c r="C82" s="471" t="s">
        <v>1551</v>
      </c>
      <c r="D82" s="472" t="s">
        <v>1915</v>
      </c>
      <c r="E82" s="472" t="s">
        <v>26</v>
      </c>
      <c r="F82" s="473">
        <v>264.22000000000003</v>
      </c>
      <c r="G82" s="473">
        <f t="shared" si="3"/>
        <v>202.05349999999999</v>
      </c>
      <c r="H82" s="473">
        <f t="shared" ref="H82:H91" si="41">ROUND(G82*(1+$J$13),2)</f>
        <v>256.22000000000003</v>
      </c>
      <c r="I82" s="473">
        <f t="shared" ref="I82:I91" si="42">ROUND(H82*F82,2)</f>
        <v>67698.45</v>
      </c>
      <c r="J82" s="474">
        <f>'COMPOSIÇÃO DE CUSTOS'!G108</f>
        <v>202.05</v>
      </c>
      <c r="K82" s="378">
        <v>237.70999999999998</v>
      </c>
      <c r="L82" s="47">
        <f t="shared" si="5"/>
        <v>-35.656499999999994</v>
      </c>
      <c r="M82" s="47">
        <f t="shared" si="1"/>
        <v>53386.575770000003</v>
      </c>
      <c r="N82" s="47"/>
      <c r="O82" s="47">
        <f t="shared" si="2"/>
        <v>67698.448400000008</v>
      </c>
      <c r="P82" s="47" t="e">
        <f>IF(B82&lt;&gt;0,VLOOKUP(B82,#REF!,2,FALSE),"")</f>
        <v>#REF!</v>
      </c>
      <c r="Q82" s="34">
        <v>572</v>
      </c>
      <c r="R82" s="34">
        <f t="shared" si="23"/>
        <v>307.77999999999997</v>
      </c>
      <c r="AE82" s="523">
        <f>F82*0.9</f>
        <v>237.79800000000003</v>
      </c>
      <c r="AF82" s="523">
        <f>'PLANILHA ORÇA - CORREGEDORIA'!BA115</f>
        <v>198.69000000000003</v>
      </c>
      <c r="AG82" s="562">
        <f t="shared" ref="AG82:AG119" si="43">ROUND(AF82*(1+$J$13),2)</f>
        <v>251.96</v>
      </c>
      <c r="AH82" s="562">
        <f t="shared" ref="AH82:AH83" si="44">ROUND(AG82*F82,2)</f>
        <v>66572.87</v>
      </c>
      <c r="AI82" s="562">
        <f>AL82</f>
        <v>300.26</v>
      </c>
      <c r="AJ82" s="562">
        <f>ROUND(AI82*(1+$J$13),2)</f>
        <v>380.76</v>
      </c>
      <c r="AK82" s="562">
        <f>ROUND(AJ82*(F82-AE82),2)</f>
        <v>10060.44</v>
      </c>
      <c r="AL82" s="788">
        <f>'PLANILHA ORÇA - CORREGEDORIA'!BG115</f>
        <v>300.26</v>
      </c>
    </row>
    <row r="83" spans="1:38" s="283" customFormat="1" ht="75">
      <c r="A83" s="25" t="s">
        <v>724</v>
      </c>
      <c r="B83" s="24">
        <v>92759</v>
      </c>
      <c r="C83" s="23" t="s">
        <v>1536</v>
      </c>
      <c r="D83" s="25" t="s">
        <v>12</v>
      </c>
      <c r="E83" s="25" t="s">
        <v>45</v>
      </c>
      <c r="F83" s="26">
        <v>442</v>
      </c>
      <c r="G83" s="26">
        <f t="shared" si="3"/>
        <v>13.5915</v>
      </c>
      <c r="H83" s="26">
        <f t="shared" si="41"/>
        <v>17.239999999999998</v>
      </c>
      <c r="I83" s="26">
        <f t="shared" si="42"/>
        <v>7620.08</v>
      </c>
      <c r="J83" s="285" t="e">
        <f>IF(B83&lt;&gt;0,VLOOKUP(B83,#REF!,4,FALSE),"")</f>
        <v>#REF!</v>
      </c>
      <c r="K83" s="363" t="s">
        <v>1854</v>
      </c>
      <c r="L83" s="65">
        <f t="shared" si="5"/>
        <v>-2.3985000000000003</v>
      </c>
      <c r="M83" s="65">
        <f t="shared" si="1"/>
        <v>6007.4430000000002</v>
      </c>
      <c r="N83" s="65"/>
      <c r="O83" s="65">
        <f t="shared" si="2"/>
        <v>7620.079999999999</v>
      </c>
      <c r="P83" s="285" t="e">
        <f>IF(B83&lt;&gt;0,VLOOKUP(B83,#REF!,2,FALSE),"")</f>
        <v>#REF!</v>
      </c>
      <c r="Q83" s="283">
        <v>535</v>
      </c>
      <c r="R83" s="283">
        <f t="shared" si="23"/>
        <v>93</v>
      </c>
      <c r="AE83" s="163">
        <f t="shared" ref="AE83:AE91" si="45">F83*0.9</f>
        <v>397.8</v>
      </c>
      <c r="AF83" s="827">
        <f t="shared" ref="AF83" si="46">G83</f>
        <v>13.5915</v>
      </c>
      <c r="AG83" s="411">
        <f t="shared" si="43"/>
        <v>17.239999999999998</v>
      </c>
      <c r="AH83" s="411">
        <f t="shared" si="44"/>
        <v>7620.08</v>
      </c>
      <c r="AI83" s="159">
        <f t="shared" ref="AI83" si="47">ROUND(G83*$AM$11,2)</f>
        <v>15.14</v>
      </c>
      <c r="AJ83" s="159">
        <f t="shared" ref="AJ83" si="48">ROUND(AI83*(1+$J$13),2)</f>
        <v>19.2</v>
      </c>
      <c r="AK83" s="158">
        <f t="shared" ref="AK83:AK129" si="49">ROUND(AJ83*(F83-AE83),2)</f>
        <v>848.64</v>
      </c>
      <c r="AL83" s="789"/>
    </row>
    <row r="84" spans="1:38" s="34" customFormat="1" ht="75">
      <c r="A84" s="472" t="s">
        <v>725</v>
      </c>
      <c r="B84" s="475">
        <v>92760</v>
      </c>
      <c r="C84" s="471" t="s">
        <v>1537</v>
      </c>
      <c r="D84" s="472" t="s">
        <v>12</v>
      </c>
      <c r="E84" s="472" t="s">
        <v>45</v>
      </c>
      <c r="F84" s="473">
        <v>282</v>
      </c>
      <c r="G84" s="473">
        <f t="shared" si="3"/>
        <v>13.5915</v>
      </c>
      <c r="H84" s="473">
        <f t="shared" si="41"/>
        <v>17.239999999999998</v>
      </c>
      <c r="I84" s="473">
        <f t="shared" si="42"/>
        <v>4861.68</v>
      </c>
      <c r="J84" s="47" t="e">
        <f>IF(B84&lt;&gt;0,VLOOKUP(B84,#REF!,4,FALSE),"")</f>
        <v>#REF!</v>
      </c>
      <c r="K84" s="378" t="s">
        <v>1854</v>
      </c>
      <c r="L84" s="47">
        <f t="shared" si="5"/>
        <v>-2.3985000000000003</v>
      </c>
      <c r="M84" s="47">
        <f t="shared" si="1"/>
        <v>3832.8029999999999</v>
      </c>
      <c r="N84" s="47"/>
      <c r="O84" s="47">
        <f t="shared" si="2"/>
        <v>4861.6799999999994</v>
      </c>
      <c r="P84" s="47" t="e">
        <f>IF(B84&lt;&gt;0,VLOOKUP(B84,#REF!,2,FALSE),"")</f>
        <v>#REF!</v>
      </c>
      <c r="Q84" s="34">
        <v>171</v>
      </c>
      <c r="R84" s="34">
        <f t="shared" si="23"/>
        <v>-111</v>
      </c>
      <c r="AE84" s="523">
        <f t="shared" si="45"/>
        <v>253.8</v>
      </c>
      <c r="AF84" s="523">
        <f>'PLANILHA ORÇA - CORREGEDORIA'!BA117</f>
        <v>14.78</v>
      </c>
      <c r="AG84" s="562">
        <f t="shared" si="43"/>
        <v>18.739999999999998</v>
      </c>
      <c r="AH84" s="562">
        <f t="shared" ref="AH84:AH119" si="50">ROUND(AG84*F84,2)</f>
        <v>5284.68</v>
      </c>
      <c r="AI84" s="473">
        <f>AL84</f>
        <v>13.069999999999999</v>
      </c>
      <c r="AJ84" s="473">
        <f>ROUND(AI84*(1+$J$13),2)</f>
        <v>16.57</v>
      </c>
      <c r="AK84" s="562">
        <f t="shared" si="49"/>
        <v>467.27</v>
      </c>
      <c r="AL84" s="788">
        <f>'PLANILHA ORÇA - CORREGEDORIA'!BG117</f>
        <v>13.069999999999999</v>
      </c>
    </row>
    <row r="85" spans="1:38" s="283" customFormat="1" ht="75">
      <c r="A85" s="25" t="s">
        <v>726</v>
      </c>
      <c r="B85" s="24">
        <v>92761</v>
      </c>
      <c r="C85" s="23" t="s">
        <v>1538</v>
      </c>
      <c r="D85" s="25" t="s">
        <v>12</v>
      </c>
      <c r="E85" s="25" t="s">
        <v>45</v>
      </c>
      <c r="F85" s="26">
        <v>111</v>
      </c>
      <c r="G85" s="26">
        <f t="shared" si="3"/>
        <v>13.276999999999999</v>
      </c>
      <c r="H85" s="26">
        <f t="shared" si="41"/>
        <v>16.84</v>
      </c>
      <c r="I85" s="26">
        <f t="shared" si="42"/>
        <v>1869.24</v>
      </c>
      <c r="J85" s="285" t="e">
        <f>IF(B85&lt;&gt;0,VLOOKUP(B85,#REF!,4,FALSE),"")</f>
        <v>#REF!</v>
      </c>
      <c r="K85" s="363" t="s">
        <v>3217</v>
      </c>
      <c r="L85" s="65">
        <f t="shared" si="5"/>
        <v>-2.343</v>
      </c>
      <c r="M85" s="65">
        <f t="shared" si="1"/>
        <v>1473.7469999999998</v>
      </c>
      <c r="N85" s="65"/>
      <c r="O85" s="65">
        <f t="shared" si="2"/>
        <v>1869.24</v>
      </c>
      <c r="P85" s="285" t="e">
        <f>IF(B85&lt;&gt;0,VLOOKUP(B85,#REF!,2,FALSE),"")</f>
        <v>#REF!</v>
      </c>
      <c r="Q85" s="283">
        <v>1442.7070000000001</v>
      </c>
      <c r="R85" s="283">
        <f t="shared" si="23"/>
        <v>1331.7070000000001</v>
      </c>
      <c r="AE85" s="163">
        <f t="shared" si="45"/>
        <v>99.9</v>
      </c>
      <c r="AF85" s="163">
        <f t="shared" ref="AF85:AF119" si="51">G85</f>
        <v>13.276999999999999</v>
      </c>
      <c r="AG85" s="158">
        <f t="shared" si="43"/>
        <v>16.84</v>
      </c>
      <c r="AH85" s="158">
        <f t="shared" si="50"/>
        <v>1869.24</v>
      </c>
      <c r="AI85" s="26">
        <f t="shared" ref="AI85" si="52">ROUND(G85*$AM$11,2)</f>
        <v>14.79</v>
      </c>
      <c r="AJ85" s="26">
        <f t="shared" ref="AJ85" si="53">ROUND(AI85*(1+$J$13),2)</f>
        <v>18.760000000000002</v>
      </c>
      <c r="AK85" s="158">
        <f t="shared" si="49"/>
        <v>208.24</v>
      </c>
      <c r="AL85" s="789"/>
    </row>
    <row r="86" spans="1:38" s="34" customFormat="1" ht="75">
      <c r="A86" s="472" t="s">
        <v>727</v>
      </c>
      <c r="B86" s="475">
        <v>92762</v>
      </c>
      <c r="C86" s="471" t="s">
        <v>1539</v>
      </c>
      <c r="D86" s="472" t="s">
        <v>12</v>
      </c>
      <c r="E86" s="472" t="s">
        <v>45</v>
      </c>
      <c r="F86" s="473">
        <v>1040</v>
      </c>
      <c r="G86" s="473">
        <f t="shared" ref="G86:G147" si="54">K86-(K86*$L$14)</f>
        <v>12.1295</v>
      </c>
      <c r="H86" s="473">
        <f t="shared" si="41"/>
        <v>15.38</v>
      </c>
      <c r="I86" s="473">
        <f t="shared" si="42"/>
        <v>15995.2</v>
      </c>
      <c r="J86" s="47" t="e">
        <f>IF(B86&lt;&gt;0,VLOOKUP(B86,#REF!,4,FALSE),"")</f>
        <v>#REF!</v>
      </c>
      <c r="K86" s="378" t="s">
        <v>3154</v>
      </c>
      <c r="L86" s="47">
        <f t="shared" ref="L86:L147" si="55">G86-K86</f>
        <v>-2.1404999999999994</v>
      </c>
      <c r="M86" s="47">
        <f t="shared" ref="M86:M149" si="56">F86*G86</f>
        <v>12614.68</v>
      </c>
      <c r="N86" s="47"/>
      <c r="O86" s="47">
        <f t="shared" ref="O86:O149" si="57">F86*H86</f>
        <v>15995.2</v>
      </c>
      <c r="P86" s="47" t="e">
        <f>IF(B86&lt;&gt;0,VLOOKUP(B86,#REF!,2,FALSE),"")</f>
        <v>#REF!</v>
      </c>
      <c r="Q86" s="34">
        <v>706</v>
      </c>
      <c r="R86" s="34">
        <f t="shared" si="23"/>
        <v>-334</v>
      </c>
      <c r="AE86" s="523">
        <f t="shared" si="45"/>
        <v>936</v>
      </c>
      <c r="AF86" s="523">
        <f>'PLANILHA ORÇA - CORREGEDORIA'!BA119</f>
        <v>14.259999999999998</v>
      </c>
      <c r="AG86" s="562">
        <f t="shared" si="43"/>
        <v>18.079999999999998</v>
      </c>
      <c r="AH86" s="562">
        <f t="shared" si="50"/>
        <v>18803.2</v>
      </c>
      <c r="AI86" s="473">
        <f>AL86</f>
        <v>11.49</v>
      </c>
      <c r="AJ86" s="473">
        <f>ROUND(AI86*(1+$J$13),2)</f>
        <v>14.57</v>
      </c>
      <c r="AK86" s="562">
        <f t="shared" si="49"/>
        <v>1515.28</v>
      </c>
      <c r="AL86" s="788">
        <f>'PLANILHA ORÇA - CORREGEDORIA'!BG119</f>
        <v>11.49</v>
      </c>
    </row>
    <row r="87" spans="1:38" s="34" customFormat="1" ht="75">
      <c r="A87" s="472" t="s">
        <v>728</v>
      </c>
      <c r="B87" s="475">
        <v>92763</v>
      </c>
      <c r="C87" s="471" t="s">
        <v>1540</v>
      </c>
      <c r="D87" s="472" t="s">
        <v>12</v>
      </c>
      <c r="E87" s="472" t="s">
        <v>45</v>
      </c>
      <c r="F87" s="473">
        <v>397</v>
      </c>
      <c r="G87" s="473">
        <f t="shared" si="54"/>
        <v>10.361499999999999</v>
      </c>
      <c r="H87" s="473">
        <f t="shared" si="41"/>
        <v>13.14</v>
      </c>
      <c r="I87" s="473">
        <f t="shared" si="42"/>
        <v>5216.58</v>
      </c>
      <c r="J87" s="47" t="e">
        <f>IF(B87&lt;&gt;0,VLOOKUP(B87,#REF!,4,FALSE),"")</f>
        <v>#REF!</v>
      </c>
      <c r="K87" s="378" t="s">
        <v>3134</v>
      </c>
      <c r="L87" s="47">
        <f t="shared" si="55"/>
        <v>-1.8285</v>
      </c>
      <c r="M87" s="47">
        <f t="shared" si="56"/>
        <v>4113.5154999999995</v>
      </c>
      <c r="N87" s="47"/>
      <c r="O87" s="47">
        <f t="shared" si="57"/>
        <v>5216.58</v>
      </c>
      <c r="P87" s="47" t="e">
        <f>IF(B87&lt;&gt;0,VLOOKUP(B87,#REF!,2,FALSE),"")</f>
        <v>#REF!</v>
      </c>
      <c r="Q87" s="34">
        <v>762</v>
      </c>
      <c r="R87" s="34">
        <f t="shared" si="23"/>
        <v>365</v>
      </c>
      <c r="AE87" s="523">
        <f t="shared" si="45"/>
        <v>357.3</v>
      </c>
      <c r="AF87" s="523">
        <f>'PLANILHA ORÇA - CORREGEDORIA'!BA120</f>
        <v>13.25121</v>
      </c>
      <c r="AG87" s="562">
        <f t="shared" si="43"/>
        <v>16.8</v>
      </c>
      <c r="AH87" s="562">
        <f t="shared" si="50"/>
        <v>6669.6</v>
      </c>
      <c r="AI87" s="473">
        <f>AL87</f>
        <v>10.50122</v>
      </c>
      <c r="AJ87" s="473">
        <f>ROUND(AI87*(1+$J$13),2)</f>
        <v>13.32</v>
      </c>
      <c r="AK87" s="562">
        <f t="shared" si="49"/>
        <v>528.79999999999995</v>
      </c>
      <c r="AL87" s="788">
        <f>'PLANILHA ORÇA - CORREGEDORIA'!BG120</f>
        <v>10.50122</v>
      </c>
    </row>
    <row r="88" spans="1:38" s="34" customFormat="1" ht="75">
      <c r="A88" s="472" t="s">
        <v>729</v>
      </c>
      <c r="B88" s="475">
        <v>92764</v>
      </c>
      <c r="C88" s="471" t="s">
        <v>1541</v>
      </c>
      <c r="D88" s="472" t="s">
        <v>12</v>
      </c>
      <c r="E88" s="472" t="s">
        <v>45</v>
      </c>
      <c r="F88" s="473">
        <v>490</v>
      </c>
      <c r="G88" s="473">
        <f t="shared" si="54"/>
        <v>10.064</v>
      </c>
      <c r="H88" s="473">
        <f t="shared" si="41"/>
        <v>12.76</v>
      </c>
      <c r="I88" s="473">
        <f t="shared" si="42"/>
        <v>6252.4</v>
      </c>
      <c r="J88" s="47" t="e">
        <f>IF(B88&lt;&gt;0,VLOOKUP(B88,#REF!,4,FALSE),"")</f>
        <v>#REF!</v>
      </c>
      <c r="K88" s="378" t="s">
        <v>3044</v>
      </c>
      <c r="L88" s="47">
        <f t="shared" si="55"/>
        <v>-1.7759999999999998</v>
      </c>
      <c r="M88" s="47">
        <f t="shared" si="56"/>
        <v>4931.3599999999997</v>
      </c>
      <c r="N88" s="47"/>
      <c r="O88" s="47">
        <f t="shared" si="57"/>
        <v>6252.4</v>
      </c>
      <c r="P88" s="47" t="e">
        <f>IF(B88&lt;&gt;0,VLOOKUP(B88,#REF!,2,FALSE),"")</f>
        <v>#REF!</v>
      </c>
      <c r="Q88" s="34">
        <v>737</v>
      </c>
      <c r="R88" s="34">
        <f t="shared" si="23"/>
        <v>247</v>
      </c>
      <c r="AE88" s="523">
        <f t="shared" si="45"/>
        <v>441</v>
      </c>
      <c r="AF88" s="523">
        <f>'PLANILHA ORÇA - CORREGEDORIA'!BA121</f>
        <v>13.06</v>
      </c>
      <c r="AG88" s="562">
        <f t="shared" si="43"/>
        <v>16.559999999999999</v>
      </c>
      <c r="AH88" s="562">
        <f t="shared" si="50"/>
        <v>8114.4</v>
      </c>
      <c r="AI88" s="473">
        <f>AL88</f>
        <v>10.28</v>
      </c>
      <c r="AJ88" s="473">
        <f>ROUND(AI88*(1+$J$13),2)</f>
        <v>13.04</v>
      </c>
      <c r="AK88" s="562">
        <f t="shared" si="49"/>
        <v>638.96</v>
      </c>
      <c r="AL88" s="788">
        <f>'PLANILHA ORÇA - CORREGEDORIA'!BG121</f>
        <v>10.28</v>
      </c>
    </row>
    <row r="89" spans="1:38" s="34" customFormat="1" ht="75">
      <c r="A89" s="472" t="s">
        <v>730</v>
      </c>
      <c r="B89" s="475">
        <v>92765</v>
      </c>
      <c r="C89" s="471" t="s">
        <v>1552</v>
      </c>
      <c r="D89" s="472" t="s">
        <v>12</v>
      </c>
      <c r="E89" s="472" t="s">
        <v>45</v>
      </c>
      <c r="F89" s="473">
        <v>537</v>
      </c>
      <c r="G89" s="473">
        <f t="shared" si="54"/>
        <v>11.542999999999999</v>
      </c>
      <c r="H89" s="473">
        <f t="shared" si="41"/>
        <v>14.64</v>
      </c>
      <c r="I89" s="473">
        <f t="shared" si="42"/>
        <v>7861.68</v>
      </c>
      <c r="J89" s="47" t="e">
        <f>IF(B89&lt;&gt;0,VLOOKUP(B89,#REF!,4,FALSE),"")</f>
        <v>#REF!</v>
      </c>
      <c r="K89" s="378" t="s">
        <v>1872</v>
      </c>
      <c r="L89" s="47">
        <f t="shared" si="55"/>
        <v>-2.0370000000000008</v>
      </c>
      <c r="M89" s="47">
        <f t="shared" si="56"/>
        <v>6198.5909999999994</v>
      </c>
      <c r="N89" s="47"/>
      <c r="O89" s="47">
        <f t="shared" si="57"/>
        <v>7861.68</v>
      </c>
      <c r="P89" s="47" t="e">
        <f>IF(B89&lt;&gt;0,VLOOKUP(B89,#REF!,2,FALSE),"")</f>
        <v>#REF!</v>
      </c>
      <c r="Q89" s="34">
        <v>1604</v>
      </c>
      <c r="R89" s="34">
        <f t="shared" si="23"/>
        <v>1067</v>
      </c>
      <c r="AE89" s="523">
        <f t="shared" si="45"/>
        <v>483.3</v>
      </c>
      <c r="AF89" s="523">
        <f>'PLANILHA ORÇA - CORREGEDORIA'!BA122</f>
        <v>13.18</v>
      </c>
      <c r="AG89" s="562">
        <f t="shared" si="43"/>
        <v>16.71</v>
      </c>
      <c r="AH89" s="562">
        <f t="shared" si="50"/>
        <v>8973.27</v>
      </c>
      <c r="AI89" s="473">
        <f>AL89</f>
        <v>10.6</v>
      </c>
      <c r="AJ89" s="473">
        <f>ROUND(AI89*(1+$J$13),2)</f>
        <v>13.44</v>
      </c>
      <c r="AK89" s="562">
        <f t="shared" si="49"/>
        <v>721.73</v>
      </c>
      <c r="AL89" s="788">
        <f>'PLANILHA ORÇA - CORREGEDORIA'!BG122</f>
        <v>10.6</v>
      </c>
    </row>
    <row r="90" spans="1:38" s="283" customFormat="1" ht="69.75" customHeight="1">
      <c r="A90" s="25" t="s">
        <v>731</v>
      </c>
      <c r="B90" s="24">
        <v>92766</v>
      </c>
      <c r="C90" s="23" t="s">
        <v>1553</v>
      </c>
      <c r="D90" s="25" t="s">
        <v>12</v>
      </c>
      <c r="E90" s="25" t="s">
        <v>45</v>
      </c>
      <c r="F90" s="26">
        <v>1304</v>
      </c>
      <c r="G90" s="26">
        <f t="shared" si="54"/>
        <v>11.39</v>
      </c>
      <c r="H90" s="26">
        <f t="shared" si="41"/>
        <v>14.44</v>
      </c>
      <c r="I90" s="26">
        <f t="shared" si="42"/>
        <v>18829.759999999998</v>
      </c>
      <c r="J90" s="285" t="e">
        <f>IF(B90&lt;&gt;0,VLOOKUP(B90,#REF!,4,FALSE),"")</f>
        <v>#REF!</v>
      </c>
      <c r="K90" s="363" t="s">
        <v>3192</v>
      </c>
      <c r="L90" s="65">
        <f t="shared" si="55"/>
        <v>-2.0099999999999998</v>
      </c>
      <c r="M90" s="65">
        <f t="shared" si="56"/>
        <v>14852.560000000001</v>
      </c>
      <c r="N90" s="65"/>
      <c r="O90" s="65">
        <f t="shared" si="57"/>
        <v>18829.759999999998</v>
      </c>
      <c r="P90" s="285" t="e">
        <f>IF(B90&lt;&gt;0,VLOOKUP(B90,#REF!,2,FALSE),"")</f>
        <v>#REF!</v>
      </c>
      <c r="Q90" s="283">
        <v>58.03</v>
      </c>
      <c r="R90" s="283">
        <f t="shared" si="23"/>
        <v>-1245.97</v>
      </c>
      <c r="AE90" s="163">
        <f t="shared" si="45"/>
        <v>1173.6000000000001</v>
      </c>
      <c r="AF90" s="163">
        <f t="shared" si="51"/>
        <v>11.39</v>
      </c>
      <c r="AG90" s="158">
        <f t="shared" si="43"/>
        <v>14.44</v>
      </c>
      <c r="AH90" s="158">
        <f t="shared" si="50"/>
        <v>18829.759999999998</v>
      </c>
      <c r="AI90" s="26">
        <f t="shared" ref="AI90:AI91" si="58">ROUND(G90*$AM$11,2)</f>
        <v>12.69</v>
      </c>
      <c r="AJ90" s="26">
        <f t="shared" ref="AJ90:AJ91" si="59">ROUND(AI90*(1+$J$13),2)</f>
        <v>16.09</v>
      </c>
      <c r="AK90" s="158">
        <f t="shared" si="49"/>
        <v>2098.14</v>
      </c>
      <c r="AL90" s="789"/>
    </row>
    <row r="91" spans="1:38" s="283" customFormat="1" ht="60">
      <c r="A91" s="25" t="s">
        <v>732</v>
      </c>
      <c r="B91" s="24">
        <v>92720</v>
      </c>
      <c r="C91" s="23" t="s">
        <v>1554</v>
      </c>
      <c r="D91" s="25" t="s">
        <v>1915</v>
      </c>
      <c r="E91" s="25" t="s">
        <v>35</v>
      </c>
      <c r="F91" s="26">
        <v>29.09</v>
      </c>
      <c r="G91" s="26">
        <f t="shared" si="54"/>
        <v>396.94150000000002</v>
      </c>
      <c r="H91" s="26">
        <f t="shared" si="41"/>
        <v>503.36</v>
      </c>
      <c r="I91" s="26">
        <f t="shared" si="42"/>
        <v>14642.74</v>
      </c>
      <c r="J91" s="284">
        <f>'COMPOSIÇÃO DE CUSTOS'!G119</f>
        <v>396.95</v>
      </c>
      <c r="K91" s="363">
        <v>466.99</v>
      </c>
      <c r="L91" s="65">
        <f t="shared" si="55"/>
        <v>-70.04849999999999</v>
      </c>
      <c r="M91" s="65">
        <f t="shared" si="56"/>
        <v>11547.028235</v>
      </c>
      <c r="N91" s="65"/>
      <c r="O91" s="65">
        <f t="shared" si="57"/>
        <v>14642.742400000001</v>
      </c>
      <c r="P91" s="285"/>
      <c r="R91" s="283">
        <f t="shared" si="23"/>
        <v>-29.09</v>
      </c>
      <c r="AE91" s="163">
        <f t="shared" si="45"/>
        <v>26.181000000000001</v>
      </c>
      <c r="AF91" s="163">
        <f t="shared" si="51"/>
        <v>396.94150000000002</v>
      </c>
      <c r="AG91" s="158">
        <f t="shared" si="43"/>
        <v>503.36</v>
      </c>
      <c r="AH91" s="158">
        <f t="shared" si="50"/>
        <v>14642.74</v>
      </c>
      <c r="AI91" s="26">
        <f t="shared" si="58"/>
        <v>442.2</v>
      </c>
      <c r="AJ91" s="26">
        <f t="shared" si="59"/>
        <v>560.75</v>
      </c>
      <c r="AK91" s="158">
        <f t="shared" si="49"/>
        <v>1631.22</v>
      </c>
      <c r="AL91" s="789"/>
    </row>
    <row r="92" spans="1:38" ht="23.25" customHeight="1">
      <c r="A92" s="77" t="s">
        <v>733</v>
      </c>
      <c r="B92" s="139"/>
      <c r="C92" s="340" t="s">
        <v>59</v>
      </c>
      <c r="D92" s="341"/>
      <c r="E92" s="341"/>
      <c r="F92" s="341"/>
      <c r="G92" s="26"/>
      <c r="H92" s="341"/>
      <c r="I92" s="96"/>
      <c r="J92" s="65" t="str">
        <f>IF(B92&lt;&gt;0,VLOOKUP(B92,#REF!,4,FALSE),"")</f>
        <v/>
      </c>
      <c r="K92" s="362" t="s">
        <v>1892</v>
      </c>
      <c r="L92" s="65"/>
      <c r="M92" s="65"/>
      <c r="N92" s="65"/>
      <c r="O92" s="65">
        <f t="shared" si="57"/>
        <v>0</v>
      </c>
      <c r="P92" s="65" t="str">
        <f>IF(B92&lt;&gt;0,VLOOKUP(B92,#REF!,2,FALSE),"")</f>
        <v/>
      </c>
      <c r="Q92" s="2">
        <v>655.73</v>
      </c>
      <c r="R92" s="62">
        <f t="shared" si="23"/>
        <v>655.73</v>
      </c>
      <c r="AE92" s="163"/>
      <c r="AF92" s="163"/>
      <c r="AG92" s="158"/>
      <c r="AH92" s="158"/>
      <c r="AK92" s="158"/>
    </row>
    <row r="93" spans="1:38" s="34" customFormat="1" ht="60">
      <c r="A93" s="472" t="s">
        <v>734</v>
      </c>
      <c r="B93" s="475">
        <v>92452</v>
      </c>
      <c r="C93" s="471" t="s">
        <v>2692</v>
      </c>
      <c r="D93" s="472" t="s">
        <v>12</v>
      </c>
      <c r="E93" s="472" t="s">
        <v>26</v>
      </c>
      <c r="F93" s="473">
        <v>645.29999999999995</v>
      </c>
      <c r="G93" s="473">
        <f t="shared" si="54"/>
        <v>86.716999999999999</v>
      </c>
      <c r="H93" s="473">
        <f t="shared" ref="H93:H102" si="60">ROUND(G93*(1+$J$13),2)</f>
        <v>109.97</v>
      </c>
      <c r="I93" s="473">
        <f t="shared" ref="I93:I102" si="61">ROUND(H93*F93,2)</f>
        <v>70963.64</v>
      </c>
      <c r="J93" s="47" t="e">
        <f>IF(B93&lt;&gt;0,VLOOKUP(B93,#REF!,4,FALSE),"")</f>
        <v>#REF!</v>
      </c>
      <c r="K93" s="378" t="s">
        <v>3216</v>
      </c>
      <c r="L93" s="47">
        <f t="shared" si="55"/>
        <v>-15.302999999999997</v>
      </c>
      <c r="M93" s="47">
        <f t="shared" si="56"/>
        <v>55958.480099999993</v>
      </c>
      <c r="N93" s="47"/>
      <c r="O93" s="47">
        <f t="shared" si="57"/>
        <v>70963.640999999989</v>
      </c>
      <c r="P93" s="47" t="e">
        <f>IF(B93&lt;&gt;0,VLOOKUP(B93,#REF!,2,FALSE),"")</f>
        <v>#REF!</v>
      </c>
      <c r="Q93" s="34">
        <v>342.29999999999995</v>
      </c>
      <c r="R93" s="34">
        <f t="shared" ref="R93:R124" si="62">Q93-F93</f>
        <v>-303</v>
      </c>
      <c r="AE93" s="523">
        <f>F93*0.7</f>
        <v>451.70999999999992</v>
      </c>
      <c r="AF93" s="523">
        <f t="shared" si="51"/>
        <v>86.716999999999999</v>
      </c>
      <c r="AG93" s="562">
        <f t="shared" si="43"/>
        <v>109.97</v>
      </c>
      <c r="AH93" s="562">
        <f t="shared" si="50"/>
        <v>70963.64</v>
      </c>
      <c r="AI93" s="473">
        <f>AL93</f>
        <v>124.60000000000001</v>
      </c>
      <c r="AJ93" s="473">
        <f>ROUND(AI93*(1+$J$13),2)</f>
        <v>158.01</v>
      </c>
      <c r="AK93" s="562">
        <f t="shared" si="49"/>
        <v>30589.16</v>
      </c>
      <c r="AL93" s="788">
        <f>'PLANILHA ORÇA - CORREGEDORIA'!BG126</f>
        <v>124.60000000000001</v>
      </c>
    </row>
    <row r="94" spans="1:38" s="283" customFormat="1" ht="75">
      <c r="A94" s="25" t="s">
        <v>735</v>
      </c>
      <c r="B94" s="24">
        <v>92759</v>
      </c>
      <c r="C94" s="23" t="s">
        <v>1536</v>
      </c>
      <c r="D94" s="25" t="s">
        <v>12</v>
      </c>
      <c r="E94" s="25" t="s">
        <v>45</v>
      </c>
      <c r="F94" s="26">
        <v>121</v>
      </c>
      <c r="G94" s="26">
        <f t="shared" si="54"/>
        <v>13.5915</v>
      </c>
      <c r="H94" s="26">
        <f t="shared" si="60"/>
        <v>17.239999999999998</v>
      </c>
      <c r="I94" s="26">
        <f t="shared" si="61"/>
        <v>2086.04</v>
      </c>
      <c r="J94" s="285" t="e">
        <f>IF(B94&lt;&gt;0,VLOOKUP(B94,#REF!,4,FALSE),"")</f>
        <v>#REF!</v>
      </c>
      <c r="K94" s="363" t="s">
        <v>1854</v>
      </c>
      <c r="L94" s="65">
        <f t="shared" si="55"/>
        <v>-2.3985000000000003</v>
      </c>
      <c r="M94" s="65">
        <f t="shared" si="56"/>
        <v>1644.5715</v>
      </c>
      <c r="N94" s="65"/>
      <c r="O94" s="65">
        <f t="shared" si="57"/>
        <v>2086.04</v>
      </c>
      <c r="P94" s="285" t="e">
        <f>IF(B94&lt;&gt;0,VLOOKUP(B94,#REF!,2,FALSE),"")</f>
        <v>#REF!</v>
      </c>
      <c r="Q94" s="283">
        <v>3613.7499999999995</v>
      </c>
      <c r="R94" s="283">
        <f t="shared" si="62"/>
        <v>3492.7499999999995</v>
      </c>
      <c r="AE94" s="163">
        <f t="shared" ref="AE94:AE102" si="63">F94*0.7</f>
        <v>84.699999999999989</v>
      </c>
      <c r="AF94" s="163">
        <f t="shared" si="51"/>
        <v>13.5915</v>
      </c>
      <c r="AG94" s="158">
        <f t="shared" si="43"/>
        <v>17.239999999999998</v>
      </c>
      <c r="AH94" s="158">
        <f t="shared" si="50"/>
        <v>2086.04</v>
      </c>
      <c r="AI94" s="26">
        <f t="shared" ref="AI94" si="64">ROUND(G94*$AM$11,2)</f>
        <v>15.14</v>
      </c>
      <c r="AJ94" s="26">
        <f t="shared" ref="AJ94" si="65">ROUND(AI94*(1+$J$13),2)</f>
        <v>19.2</v>
      </c>
      <c r="AK94" s="158">
        <f t="shared" si="49"/>
        <v>696.96</v>
      </c>
      <c r="AL94" s="789"/>
    </row>
    <row r="95" spans="1:38" s="34" customFormat="1" ht="75">
      <c r="A95" s="472" t="s">
        <v>736</v>
      </c>
      <c r="B95" s="475">
        <v>92760</v>
      </c>
      <c r="C95" s="471" t="s">
        <v>1537</v>
      </c>
      <c r="D95" s="472" t="s">
        <v>12</v>
      </c>
      <c r="E95" s="472" t="s">
        <v>45</v>
      </c>
      <c r="F95" s="473">
        <v>1628</v>
      </c>
      <c r="G95" s="473">
        <f t="shared" si="54"/>
        <v>13.5915</v>
      </c>
      <c r="H95" s="473">
        <f t="shared" si="60"/>
        <v>17.239999999999998</v>
      </c>
      <c r="I95" s="473">
        <f t="shared" si="61"/>
        <v>28066.720000000001</v>
      </c>
      <c r="J95" s="47" t="e">
        <f>IF(B95&lt;&gt;0,VLOOKUP(B95,#REF!,4,FALSE),"")</f>
        <v>#REF!</v>
      </c>
      <c r="K95" s="378" t="s">
        <v>1854</v>
      </c>
      <c r="L95" s="47">
        <f t="shared" si="55"/>
        <v>-2.3985000000000003</v>
      </c>
      <c r="M95" s="47">
        <f t="shared" si="56"/>
        <v>22126.962</v>
      </c>
      <c r="N95" s="47"/>
      <c r="O95" s="47">
        <f t="shared" si="57"/>
        <v>28066.719999999998</v>
      </c>
      <c r="P95" s="47" t="e">
        <f>IF(B95&lt;&gt;0,VLOOKUP(B95,#REF!,2,FALSE),"")</f>
        <v>#REF!</v>
      </c>
      <c r="Q95" s="34">
        <v>710.15</v>
      </c>
      <c r="R95" s="34">
        <f t="shared" si="62"/>
        <v>-917.85</v>
      </c>
      <c r="AE95" s="523">
        <f t="shared" si="63"/>
        <v>1139.5999999999999</v>
      </c>
      <c r="AF95" s="523">
        <f t="shared" si="51"/>
        <v>13.5915</v>
      </c>
      <c r="AG95" s="562">
        <f t="shared" si="43"/>
        <v>17.239999999999998</v>
      </c>
      <c r="AH95" s="562">
        <f t="shared" si="50"/>
        <v>28066.720000000001</v>
      </c>
      <c r="AI95" s="473">
        <f>AL95</f>
        <v>13.069999999999999</v>
      </c>
      <c r="AJ95" s="473">
        <f>ROUND(AI95*(1+$J$13),2)</f>
        <v>16.57</v>
      </c>
      <c r="AK95" s="562">
        <f t="shared" si="49"/>
        <v>8092.79</v>
      </c>
      <c r="AL95" s="788">
        <f>'PLANILHA ORÇA - CORREGEDORIA'!BG128</f>
        <v>13.069999999999999</v>
      </c>
    </row>
    <row r="96" spans="1:38" s="283" customFormat="1" ht="75">
      <c r="A96" s="25" t="s">
        <v>737</v>
      </c>
      <c r="B96" s="24">
        <v>92761</v>
      </c>
      <c r="C96" s="23" t="s">
        <v>1538</v>
      </c>
      <c r="D96" s="25" t="s">
        <v>12</v>
      </c>
      <c r="E96" s="25" t="s">
        <v>45</v>
      </c>
      <c r="F96" s="26">
        <v>687</v>
      </c>
      <c r="G96" s="26">
        <f t="shared" si="54"/>
        <v>13.276999999999999</v>
      </c>
      <c r="H96" s="26">
        <f t="shared" si="60"/>
        <v>16.84</v>
      </c>
      <c r="I96" s="26">
        <f t="shared" si="61"/>
        <v>11569.08</v>
      </c>
      <c r="J96" s="285" t="e">
        <f>IF(B96&lt;&gt;0,VLOOKUP(B96,#REF!,4,FALSE),"")</f>
        <v>#REF!</v>
      </c>
      <c r="K96" s="363" t="s">
        <v>3217</v>
      </c>
      <c r="L96" s="65">
        <f t="shared" si="55"/>
        <v>-2.343</v>
      </c>
      <c r="M96" s="65">
        <f t="shared" si="56"/>
        <v>9121.2989999999991</v>
      </c>
      <c r="N96" s="65"/>
      <c r="O96" s="65">
        <f t="shared" si="57"/>
        <v>11569.08</v>
      </c>
      <c r="P96" s="285" t="e">
        <f>IF(B96&lt;&gt;0,VLOOKUP(B96,#REF!,2,FALSE),"")</f>
        <v>#REF!</v>
      </c>
      <c r="Q96" s="283">
        <v>2052.75</v>
      </c>
      <c r="R96" s="283">
        <f t="shared" si="62"/>
        <v>1365.75</v>
      </c>
      <c r="AE96" s="163">
        <f t="shared" si="63"/>
        <v>480.9</v>
      </c>
      <c r="AF96" s="163">
        <f t="shared" si="51"/>
        <v>13.276999999999999</v>
      </c>
      <c r="AG96" s="158">
        <f t="shared" si="43"/>
        <v>16.84</v>
      </c>
      <c r="AH96" s="158">
        <f t="shared" si="50"/>
        <v>11569.08</v>
      </c>
      <c r="AI96" s="26">
        <f t="shared" ref="AI96" si="66">ROUND(G96*$AM$11,2)</f>
        <v>14.79</v>
      </c>
      <c r="AJ96" s="26">
        <f t="shared" ref="AJ96" si="67">ROUND(AI96*(1+$J$13),2)</f>
        <v>18.760000000000002</v>
      </c>
      <c r="AK96" s="158">
        <f t="shared" si="49"/>
        <v>3866.44</v>
      </c>
      <c r="AL96" s="789"/>
    </row>
    <row r="97" spans="1:38" s="34" customFormat="1" ht="75">
      <c r="A97" s="472" t="s">
        <v>738</v>
      </c>
      <c r="B97" s="475">
        <v>92762</v>
      </c>
      <c r="C97" s="471" t="s">
        <v>1539</v>
      </c>
      <c r="D97" s="472" t="s">
        <v>12</v>
      </c>
      <c r="E97" s="472" t="s">
        <v>45</v>
      </c>
      <c r="F97" s="473">
        <v>995</v>
      </c>
      <c r="G97" s="473">
        <f t="shared" si="54"/>
        <v>12.1295</v>
      </c>
      <c r="H97" s="473">
        <f t="shared" si="60"/>
        <v>15.38</v>
      </c>
      <c r="I97" s="473">
        <f t="shared" si="61"/>
        <v>15303.1</v>
      </c>
      <c r="J97" s="47" t="e">
        <f>IF(B97&lt;&gt;0,VLOOKUP(B97,#REF!,4,FALSE),"")</f>
        <v>#REF!</v>
      </c>
      <c r="K97" s="378" t="s">
        <v>3154</v>
      </c>
      <c r="L97" s="47">
        <f t="shared" si="55"/>
        <v>-2.1404999999999994</v>
      </c>
      <c r="M97" s="47">
        <f t="shared" si="56"/>
        <v>12068.852500000001</v>
      </c>
      <c r="N97" s="47"/>
      <c r="O97" s="47">
        <f t="shared" si="57"/>
        <v>15303.1</v>
      </c>
      <c r="P97" s="47" t="e">
        <f>IF(B97&lt;&gt;0,VLOOKUP(B97,#REF!,2,FALSE),"")</f>
        <v>#REF!</v>
      </c>
      <c r="Q97" s="34">
        <v>2603.6499999999996</v>
      </c>
      <c r="R97" s="34">
        <f t="shared" si="62"/>
        <v>1608.6499999999996</v>
      </c>
      <c r="AE97" s="523">
        <f t="shared" si="63"/>
        <v>696.5</v>
      </c>
      <c r="AF97" s="523">
        <f t="shared" si="51"/>
        <v>12.1295</v>
      </c>
      <c r="AG97" s="562">
        <f t="shared" si="43"/>
        <v>15.38</v>
      </c>
      <c r="AH97" s="562">
        <f t="shared" si="50"/>
        <v>15303.1</v>
      </c>
      <c r="AI97" s="473">
        <f>AL97</f>
        <v>11.49</v>
      </c>
      <c r="AJ97" s="473">
        <f>ROUND(AI97*(1+$J$13),2)</f>
        <v>14.57</v>
      </c>
      <c r="AK97" s="562">
        <f t="shared" si="49"/>
        <v>4349.1499999999996</v>
      </c>
      <c r="AL97" s="788">
        <f>'PLANILHA ORÇA - CORREGEDORIA'!BG130</f>
        <v>11.49</v>
      </c>
    </row>
    <row r="98" spans="1:38" s="34" customFormat="1" ht="75">
      <c r="A98" s="472" t="s">
        <v>739</v>
      </c>
      <c r="B98" s="475">
        <v>92763</v>
      </c>
      <c r="C98" s="471" t="s">
        <v>1540</v>
      </c>
      <c r="D98" s="472" t="s">
        <v>12</v>
      </c>
      <c r="E98" s="472" t="s">
        <v>45</v>
      </c>
      <c r="F98" s="473">
        <v>1245</v>
      </c>
      <c r="G98" s="473">
        <f t="shared" si="54"/>
        <v>10.361499999999999</v>
      </c>
      <c r="H98" s="473">
        <f t="shared" si="60"/>
        <v>13.14</v>
      </c>
      <c r="I98" s="473">
        <f t="shared" si="61"/>
        <v>16359.3</v>
      </c>
      <c r="J98" s="47" t="e">
        <f>IF(B98&lt;&gt;0,VLOOKUP(B98,#REF!,4,FALSE),"")</f>
        <v>#REF!</v>
      </c>
      <c r="K98" s="378" t="s">
        <v>3134</v>
      </c>
      <c r="L98" s="47">
        <f t="shared" si="55"/>
        <v>-1.8285</v>
      </c>
      <c r="M98" s="47">
        <f t="shared" si="56"/>
        <v>12900.067499999999</v>
      </c>
      <c r="N98" s="47"/>
      <c r="O98" s="47">
        <f t="shared" si="57"/>
        <v>16359.300000000001</v>
      </c>
      <c r="P98" s="47" t="e">
        <f>IF(B98&lt;&gt;0,VLOOKUP(B98,#REF!,2,FALSE),"")</f>
        <v>#REF!</v>
      </c>
      <c r="Q98" s="34">
        <v>2191.35</v>
      </c>
      <c r="R98" s="34">
        <f t="shared" si="62"/>
        <v>946.34999999999991</v>
      </c>
      <c r="AE98" s="523">
        <f t="shared" si="63"/>
        <v>871.5</v>
      </c>
      <c r="AF98" s="523">
        <f t="shared" si="51"/>
        <v>10.361499999999999</v>
      </c>
      <c r="AG98" s="562">
        <f t="shared" si="43"/>
        <v>13.14</v>
      </c>
      <c r="AH98" s="562">
        <f t="shared" si="50"/>
        <v>16359.3</v>
      </c>
      <c r="AI98" s="473">
        <f>AL98</f>
        <v>10.50122</v>
      </c>
      <c r="AJ98" s="473">
        <f>ROUND(AI98*(1+$J$13),2)</f>
        <v>13.32</v>
      </c>
      <c r="AK98" s="562">
        <f t="shared" si="49"/>
        <v>4975.0200000000004</v>
      </c>
      <c r="AL98" s="788">
        <f>'PLANILHA ORÇA - CORREGEDORIA'!BG131</f>
        <v>10.50122</v>
      </c>
    </row>
    <row r="99" spans="1:38" s="34" customFormat="1" ht="75">
      <c r="A99" s="472" t="s">
        <v>740</v>
      </c>
      <c r="B99" s="475">
        <v>92764</v>
      </c>
      <c r="C99" s="471" t="s">
        <v>1541</v>
      </c>
      <c r="D99" s="472" t="s">
        <v>12</v>
      </c>
      <c r="E99" s="472" t="s">
        <v>45</v>
      </c>
      <c r="F99" s="473">
        <v>933</v>
      </c>
      <c r="G99" s="473">
        <f t="shared" si="54"/>
        <v>10.064</v>
      </c>
      <c r="H99" s="473">
        <f t="shared" si="60"/>
        <v>12.76</v>
      </c>
      <c r="I99" s="473">
        <f t="shared" si="61"/>
        <v>11905.08</v>
      </c>
      <c r="J99" s="47" t="e">
        <f>IF(B99&lt;&gt;0,VLOOKUP(B99,#REF!,4,FALSE),"")</f>
        <v>#REF!</v>
      </c>
      <c r="K99" s="378" t="s">
        <v>3044</v>
      </c>
      <c r="L99" s="47">
        <f t="shared" si="55"/>
        <v>-1.7759999999999998</v>
      </c>
      <c r="M99" s="47">
        <f t="shared" si="56"/>
        <v>9389.7119999999995</v>
      </c>
      <c r="N99" s="47"/>
      <c r="O99" s="47">
        <f t="shared" si="57"/>
        <v>11905.08</v>
      </c>
      <c r="P99" s="47" t="e">
        <f>IF(B99&lt;&gt;0,VLOOKUP(B99,#REF!,2,FALSE),"")</f>
        <v>#REF!</v>
      </c>
      <c r="Q99" s="34">
        <v>2706.5499999999997</v>
      </c>
      <c r="R99" s="34">
        <f t="shared" si="62"/>
        <v>1773.5499999999997</v>
      </c>
      <c r="AE99" s="523">
        <f t="shared" si="63"/>
        <v>653.09999999999991</v>
      </c>
      <c r="AF99" s="523">
        <f t="shared" si="51"/>
        <v>10.064</v>
      </c>
      <c r="AG99" s="562">
        <f t="shared" si="43"/>
        <v>12.76</v>
      </c>
      <c r="AH99" s="562">
        <f t="shared" si="50"/>
        <v>11905.08</v>
      </c>
      <c r="AI99" s="473">
        <f>AL99</f>
        <v>10.28</v>
      </c>
      <c r="AJ99" s="473">
        <f>ROUND(AI99*(1+$J$13),2)</f>
        <v>13.04</v>
      </c>
      <c r="AK99" s="562">
        <f t="shared" si="49"/>
        <v>3649.9</v>
      </c>
      <c r="AL99" s="788">
        <f>'PLANILHA ORÇA - CORREGEDORIA'!BG132</f>
        <v>10.28</v>
      </c>
    </row>
    <row r="100" spans="1:38" s="34" customFormat="1" ht="75">
      <c r="A100" s="472" t="s">
        <v>741</v>
      </c>
      <c r="B100" s="475">
        <v>92765</v>
      </c>
      <c r="C100" s="471" t="s">
        <v>1552</v>
      </c>
      <c r="D100" s="472" t="s">
        <v>12</v>
      </c>
      <c r="E100" s="472" t="s">
        <v>45</v>
      </c>
      <c r="F100" s="473">
        <v>1163</v>
      </c>
      <c r="G100" s="473">
        <f t="shared" si="54"/>
        <v>11.542999999999999</v>
      </c>
      <c r="H100" s="473">
        <f t="shared" si="60"/>
        <v>14.64</v>
      </c>
      <c r="I100" s="473">
        <f t="shared" si="61"/>
        <v>17026.32</v>
      </c>
      <c r="J100" s="47" t="e">
        <f>IF(B100&lt;&gt;0,VLOOKUP(B100,#REF!,4,FALSE),"")</f>
        <v>#REF!</v>
      </c>
      <c r="K100" s="378" t="s">
        <v>1872</v>
      </c>
      <c r="L100" s="47">
        <f t="shared" si="55"/>
        <v>-2.0370000000000008</v>
      </c>
      <c r="M100" s="47">
        <f t="shared" si="56"/>
        <v>13424.509</v>
      </c>
      <c r="N100" s="47"/>
      <c r="O100" s="47">
        <f t="shared" si="57"/>
        <v>17026.32</v>
      </c>
      <c r="P100" s="47" t="e">
        <f>IF(B100&lt;&gt;0,VLOOKUP(B100,#REF!,2,FALSE),"")</f>
        <v>#REF!</v>
      </c>
      <c r="Q100" s="34">
        <v>2127.2999999999997</v>
      </c>
      <c r="R100" s="34">
        <f t="shared" si="62"/>
        <v>964.29999999999973</v>
      </c>
      <c r="AE100" s="523">
        <f t="shared" si="63"/>
        <v>814.09999999999991</v>
      </c>
      <c r="AF100" s="523">
        <f t="shared" si="51"/>
        <v>11.542999999999999</v>
      </c>
      <c r="AG100" s="562">
        <f t="shared" si="43"/>
        <v>14.64</v>
      </c>
      <c r="AH100" s="562">
        <f t="shared" si="50"/>
        <v>17026.32</v>
      </c>
      <c r="AI100" s="473">
        <f>AL100</f>
        <v>10.6</v>
      </c>
      <c r="AJ100" s="473">
        <f>ROUND(AI100*(1+$J$13),2)</f>
        <v>13.44</v>
      </c>
      <c r="AK100" s="562">
        <f t="shared" si="49"/>
        <v>4689.22</v>
      </c>
      <c r="AL100" s="788">
        <f>'PLANILHA ORÇA - CORREGEDORIA'!BG133</f>
        <v>10.6</v>
      </c>
    </row>
    <row r="101" spans="1:38" s="283" customFormat="1" ht="65.25" customHeight="1">
      <c r="A101" s="25" t="s">
        <v>742</v>
      </c>
      <c r="B101" s="24">
        <v>92766</v>
      </c>
      <c r="C101" s="23" t="s">
        <v>1553</v>
      </c>
      <c r="D101" s="25" t="s">
        <v>12</v>
      </c>
      <c r="E101" s="25" t="s">
        <v>45</v>
      </c>
      <c r="F101" s="26">
        <v>2030</v>
      </c>
      <c r="G101" s="26">
        <f t="shared" si="54"/>
        <v>11.39</v>
      </c>
      <c r="H101" s="26">
        <f t="shared" si="60"/>
        <v>14.44</v>
      </c>
      <c r="I101" s="26">
        <f t="shared" si="61"/>
        <v>29313.200000000001</v>
      </c>
      <c r="J101" s="285" t="e">
        <f>IF(B101&lt;&gt;0,VLOOKUP(B101,#REF!,4,FALSE),"")</f>
        <v>#REF!</v>
      </c>
      <c r="K101" s="363" t="s">
        <v>3192</v>
      </c>
      <c r="L101" s="65">
        <f t="shared" si="55"/>
        <v>-2.0099999999999998</v>
      </c>
      <c r="M101" s="65">
        <f t="shared" si="56"/>
        <v>23121.7</v>
      </c>
      <c r="N101" s="65"/>
      <c r="O101" s="65">
        <f t="shared" si="57"/>
        <v>29313.200000000001</v>
      </c>
      <c r="P101" s="285" t="e">
        <f>IF(B101&lt;&gt;0,VLOOKUP(B101,#REF!,2,FALSE),"")</f>
        <v>#REF!</v>
      </c>
      <c r="Q101" s="283">
        <v>131.376</v>
      </c>
      <c r="R101" s="283">
        <f t="shared" si="62"/>
        <v>-1898.624</v>
      </c>
      <c r="AE101" s="163">
        <f t="shared" si="63"/>
        <v>1421</v>
      </c>
      <c r="AF101" s="163">
        <f t="shared" si="51"/>
        <v>11.39</v>
      </c>
      <c r="AG101" s="158">
        <f t="shared" si="43"/>
        <v>14.44</v>
      </c>
      <c r="AH101" s="158">
        <f t="shared" si="50"/>
        <v>29313.200000000001</v>
      </c>
      <c r="AI101" s="26">
        <f t="shared" ref="AI101" si="68">ROUND(G101*$AM$11,2)</f>
        <v>12.69</v>
      </c>
      <c r="AJ101" s="26">
        <f t="shared" ref="AJ101" si="69">ROUND(AI101*(1+$J$13),2)</f>
        <v>16.09</v>
      </c>
      <c r="AK101" s="158">
        <f t="shared" si="49"/>
        <v>9798.81</v>
      </c>
      <c r="AL101" s="789"/>
    </row>
    <row r="102" spans="1:38" s="34" customFormat="1" ht="75">
      <c r="A102" s="472" t="s">
        <v>743</v>
      </c>
      <c r="B102" s="475">
        <v>92725</v>
      </c>
      <c r="C102" s="471" t="s">
        <v>1542</v>
      </c>
      <c r="D102" s="472" t="s">
        <v>1915</v>
      </c>
      <c r="E102" s="472" t="s">
        <v>35</v>
      </c>
      <c r="F102" s="473">
        <v>67.87</v>
      </c>
      <c r="G102" s="473">
        <f t="shared" si="54"/>
        <v>394.35749999999996</v>
      </c>
      <c r="H102" s="473">
        <f t="shared" si="60"/>
        <v>500.08</v>
      </c>
      <c r="I102" s="473">
        <f t="shared" si="61"/>
        <v>33940.43</v>
      </c>
      <c r="J102" s="474">
        <f>'COMPOSIÇÃO DE CUSTOS'!G130</f>
        <v>394.36</v>
      </c>
      <c r="K102" s="378">
        <v>463.95</v>
      </c>
      <c r="L102" s="47">
        <f t="shared" si="55"/>
        <v>-69.59250000000003</v>
      </c>
      <c r="M102" s="47">
        <f t="shared" si="56"/>
        <v>26765.043524999997</v>
      </c>
      <c r="N102" s="47"/>
      <c r="O102" s="47">
        <f t="shared" si="57"/>
        <v>33940.429600000003</v>
      </c>
      <c r="P102" s="47"/>
      <c r="R102" s="34">
        <f t="shared" si="62"/>
        <v>-67.87</v>
      </c>
      <c r="AE102" s="523">
        <f t="shared" si="63"/>
        <v>47.509</v>
      </c>
      <c r="AF102" s="523">
        <f t="shared" si="51"/>
        <v>394.35749999999996</v>
      </c>
      <c r="AG102" s="562">
        <f t="shared" si="43"/>
        <v>500.08</v>
      </c>
      <c r="AH102" s="562">
        <f t="shared" si="50"/>
        <v>33940.43</v>
      </c>
      <c r="AI102" s="473">
        <f>AL102</f>
        <v>600.08000000000004</v>
      </c>
      <c r="AJ102" s="473">
        <f>ROUND(AI102*(1+$J$13),2)</f>
        <v>760.96</v>
      </c>
      <c r="AK102" s="562">
        <f t="shared" si="49"/>
        <v>15493.91</v>
      </c>
      <c r="AL102" s="788">
        <f>'PLANILHA ORÇA - CORREGEDORIA'!BG135</f>
        <v>600.08000000000004</v>
      </c>
    </row>
    <row r="103" spans="1:38">
      <c r="A103" s="77" t="s">
        <v>744</v>
      </c>
      <c r="B103" s="139"/>
      <c r="C103" s="340" t="s">
        <v>60</v>
      </c>
      <c r="D103" s="341"/>
      <c r="E103" s="341"/>
      <c r="F103" s="341"/>
      <c r="G103" s="26"/>
      <c r="H103" s="341"/>
      <c r="I103" s="96"/>
      <c r="J103" s="65" t="str">
        <f>IF(B103&lt;&gt;0,VLOOKUP(B103,#REF!,4,FALSE),"")</f>
        <v/>
      </c>
      <c r="K103" s="362" t="s">
        <v>1892</v>
      </c>
      <c r="L103" s="65"/>
      <c r="M103" s="65"/>
      <c r="N103" s="65"/>
      <c r="O103" s="65">
        <f t="shared" si="57"/>
        <v>0</v>
      </c>
      <c r="P103" s="65" t="str">
        <f>IF(B103&lt;&gt;0,VLOOKUP(B103,#REF!,2,FALSE),"")</f>
        <v/>
      </c>
      <c r="Q103" s="2">
        <v>1336.03</v>
      </c>
      <c r="R103" s="62">
        <f t="shared" si="62"/>
        <v>1336.03</v>
      </c>
      <c r="AE103" s="163"/>
      <c r="AF103" s="163"/>
      <c r="AG103" s="158"/>
      <c r="AH103" s="158"/>
      <c r="AK103" s="158"/>
    </row>
    <row r="104" spans="1:38" s="34" customFormat="1" ht="90">
      <c r="A104" s="472" t="s">
        <v>745</v>
      </c>
      <c r="B104" s="475">
        <v>92489</v>
      </c>
      <c r="C104" s="471" t="s">
        <v>1834</v>
      </c>
      <c r="D104" s="472" t="s">
        <v>1915</v>
      </c>
      <c r="E104" s="472" t="s">
        <v>26</v>
      </c>
      <c r="F104" s="473">
        <v>998.31</v>
      </c>
      <c r="G104" s="473">
        <f t="shared" si="54"/>
        <v>28.823499999999996</v>
      </c>
      <c r="H104" s="473">
        <f t="shared" ref="H104:H113" si="70">ROUND(G104*(1+$J$13),2)</f>
        <v>36.549999999999997</v>
      </c>
      <c r="I104" s="473">
        <f t="shared" ref="I104:I113" si="71">ROUND(H104*F104,2)</f>
        <v>36488.230000000003</v>
      </c>
      <c r="J104" s="474">
        <f>'COMPOSIÇÃO DE CUSTOS'!G141</f>
        <v>28.84</v>
      </c>
      <c r="K104" s="378">
        <v>33.909999999999997</v>
      </c>
      <c r="L104" s="47">
        <f t="shared" si="55"/>
        <v>-5.0865000000000009</v>
      </c>
      <c r="M104" s="47">
        <f t="shared" si="56"/>
        <v>28774.788284999995</v>
      </c>
      <c r="N104" s="47"/>
      <c r="O104" s="47">
        <f t="shared" si="57"/>
        <v>36488.230499999998</v>
      </c>
      <c r="P104" s="47" t="e">
        <f>IF(B104&lt;&gt;0,VLOOKUP(B104,#REF!,2,FALSE),"")</f>
        <v>#REF!</v>
      </c>
      <c r="Q104" s="34">
        <v>242.47299999999998</v>
      </c>
      <c r="R104" s="34">
        <f t="shared" si="62"/>
        <v>-755.83699999999999</v>
      </c>
      <c r="AE104" s="523">
        <f t="shared" ref="AE104:AE119" si="72">F104*0.7</f>
        <v>698.81699999999989</v>
      </c>
      <c r="AF104" s="523">
        <f t="shared" si="51"/>
        <v>28.823499999999996</v>
      </c>
      <c r="AG104" s="562">
        <f t="shared" si="43"/>
        <v>36.549999999999997</v>
      </c>
      <c r="AH104" s="562">
        <f t="shared" si="50"/>
        <v>36488.230000000003</v>
      </c>
      <c r="AI104" s="473">
        <f>AL104</f>
        <v>41.72</v>
      </c>
      <c r="AJ104" s="473">
        <f>ROUND(AI104*(1+$J$13),2)</f>
        <v>52.91</v>
      </c>
      <c r="AK104" s="562">
        <f t="shared" si="49"/>
        <v>15846.17</v>
      </c>
      <c r="AL104" s="788">
        <f>'PLANILHA ORÇA - CORREGEDORIA'!BG137</f>
        <v>41.72</v>
      </c>
    </row>
    <row r="105" spans="1:38" s="34" customFormat="1" ht="60">
      <c r="A105" s="472" t="s">
        <v>746</v>
      </c>
      <c r="B105" s="475">
        <v>92481</v>
      </c>
      <c r="C105" s="471" t="s">
        <v>1535</v>
      </c>
      <c r="D105" s="472" t="s">
        <v>1915</v>
      </c>
      <c r="E105" s="472" t="s">
        <v>26</v>
      </c>
      <c r="F105" s="473">
        <v>29.22</v>
      </c>
      <c r="G105" s="473">
        <f t="shared" si="54"/>
        <v>197.89699999999999</v>
      </c>
      <c r="H105" s="473">
        <f t="shared" si="70"/>
        <v>250.95</v>
      </c>
      <c r="I105" s="473">
        <f t="shared" si="71"/>
        <v>7332.76</v>
      </c>
      <c r="J105" s="474">
        <f>'COMPOSIÇÃO DE CUSTOS'!G152</f>
        <v>197.9</v>
      </c>
      <c r="K105" s="378">
        <v>232.82</v>
      </c>
      <c r="L105" s="47">
        <f t="shared" si="55"/>
        <v>-34.923000000000002</v>
      </c>
      <c r="M105" s="47">
        <f t="shared" si="56"/>
        <v>5782.5503399999998</v>
      </c>
      <c r="N105" s="47"/>
      <c r="O105" s="47">
        <f t="shared" si="57"/>
        <v>7332.7589999999991</v>
      </c>
      <c r="P105" s="47" t="e">
        <f>IF(B105&lt;&gt;0,VLOOKUP(B105,#REF!,2,FALSE),"")</f>
        <v>#REF!</v>
      </c>
      <c r="Q105" s="34">
        <v>241.85</v>
      </c>
      <c r="R105" s="34">
        <f t="shared" si="62"/>
        <v>212.63</v>
      </c>
      <c r="AE105" s="523">
        <f t="shared" si="72"/>
        <v>20.453999999999997</v>
      </c>
      <c r="AF105" s="523">
        <f t="shared" si="51"/>
        <v>197.89699999999999</v>
      </c>
      <c r="AG105" s="562">
        <f t="shared" si="43"/>
        <v>250.95</v>
      </c>
      <c r="AH105" s="562">
        <f t="shared" si="50"/>
        <v>7332.76</v>
      </c>
      <c r="AI105" s="473">
        <f>AL105</f>
        <v>284.67</v>
      </c>
      <c r="AJ105" s="473">
        <f>ROUND(AI105*(1+$J$13),2)</f>
        <v>360.99</v>
      </c>
      <c r="AK105" s="562">
        <f t="shared" si="49"/>
        <v>3164.44</v>
      </c>
      <c r="AL105" s="788">
        <f>'PLANILHA ORÇA - CORREGEDORIA'!BG138</f>
        <v>284.67</v>
      </c>
    </row>
    <row r="106" spans="1:38" s="283" customFormat="1" ht="60">
      <c r="A106" s="25" t="s">
        <v>3398</v>
      </c>
      <c r="B106" s="24">
        <v>92769</v>
      </c>
      <c r="C106" s="23" t="s">
        <v>1556</v>
      </c>
      <c r="D106" s="25" t="s">
        <v>12</v>
      </c>
      <c r="E106" s="25" t="s">
        <v>45</v>
      </c>
      <c r="F106" s="26">
        <v>59</v>
      </c>
      <c r="G106" s="26">
        <f t="shared" si="54"/>
        <v>12.954000000000001</v>
      </c>
      <c r="H106" s="26">
        <f t="shared" si="70"/>
        <v>16.43</v>
      </c>
      <c r="I106" s="26">
        <f t="shared" si="71"/>
        <v>969.37</v>
      </c>
      <c r="J106" s="285" t="e">
        <f>IF(B106&lt;&gt;0,VLOOKUP(B106,#REF!,4,FALSE),"")</f>
        <v>#REF!</v>
      </c>
      <c r="K106" s="363" t="s">
        <v>3149</v>
      </c>
      <c r="L106" s="65">
        <f t="shared" si="55"/>
        <v>-2.2859999999999996</v>
      </c>
      <c r="M106" s="65">
        <f t="shared" si="56"/>
        <v>764.28600000000006</v>
      </c>
      <c r="N106" s="65"/>
      <c r="O106" s="65">
        <f t="shared" si="57"/>
        <v>969.37</v>
      </c>
      <c r="P106" s="285" t="e">
        <f>IF(B106&lt;&gt;0,VLOOKUP(B106,#REF!,2,FALSE),"")</f>
        <v>#REF!</v>
      </c>
      <c r="Q106" s="283">
        <v>485.79999999999995</v>
      </c>
      <c r="R106" s="283">
        <f t="shared" si="62"/>
        <v>426.79999999999995</v>
      </c>
      <c r="AE106" s="163">
        <f t="shared" si="72"/>
        <v>41.3</v>
      </c>
      <c r="AF106" s="163">
        <f t="shared" si="51"/>
        <v>12.954000000000001</v>
      </c>
      <c r="AG106" s="158">
        <f t="shared" si="43"/>
        <v>16.43</v>
      </c>
      <c r="AH106" s="158">
        <f t="shared" si="50"/>
        <v>969.37</v>
      </c>
      <c r="AI106" s="26">
        <f t="shared" ref="AI106:AI109" si="73">ROUND(G106*$AM$11,2)</f>
        <v>14.43</v>
      </c>
      <c r="AJ106" s="26">
        <f t="shared" ref="AJ106:AJ109" si="74">ROUND(AI106*(1+$J$13),2)</f>
        <v>18.3</v>
      </c>
      <c r="AK106" s="158">
        <f t="shared" si="49"/>
        <v>323.91000000000003</v>
      </c>
      <c r="AL106" s="789"/>
    </row>
    <row r="107" spans="1:38" s="283" customFormat="1" ht="60">
      <c r="A107" s="25" t="s">
        <v>3399</v>
      </c>
      <c r="B107" s="24">
        <v>92770</v>
      </c>
      <c r="C107" s="23" t="s">
        <v>1557</v>
      </c>
      <c r="D107" s="25" t="s">
        <v>12</v>
      </c>
      <c r="E107" s="25" t="s">
        <v>45</v>
      </c>
      <c r="F107" s="26">
        <v>191</v>
      </c>
      <c r="G107" s="26">
        <f t="shared" si="54"/>
        <v>12.783999999999999</v>
      </c>
      <c r="H107" s="26">
        <f t="shared" si="70"/>
        <v>16.21</v>
      </c>
      <c r="I107" s="26">
        <f t="shared" si="71"/>
        <v>3096.11</v>
      </c>
      <c r="J107" s="285" t="e">
        <f>IF(B107&lt;&gt;0,VLOOKUP(B107,#REF!,4,FALSE),"")</f>
        <v>#REF!</v>
      </c>
      <c r="K107" s="363" t="s">
        <v>1838</v>
      </c>
      <c r="L107" s="65">
        <f t="shared" si="55"/>
        <v>-2.2560000000000002</v>
      </c>
      <c r="M107" s="65">
        <f t="shared" si="56"/>
        <v>2441.7439999999997</v>
      </c>
      <c r="N107" s="65"/>
      <c r="O107" s="65">
        <f t="shared" si="57"/>
        <v>3096.11</v>
      </c>
      <c r="P107" s="285" t="e">
        <f>IF(B107&lt;&gt;0,VLOOKUP(B107,#REF!,2,FALSE),"")</f>
        <v>#REF!</v>
      </c>
      <c r="Q107" s="283">
        <v>1363.6</v>
      </c>
      <c r="R107" s="283">
        <f t="shared" si="62"/>
        <v>1172.5999999999999</v>
      </c>
      <c r="AE107" s="163">
        <f t="shared" si="72"/>
        <v>133.69999999999999</v>
      </c>
      <c r="AF107" s="163">
        <f t="shared" si="51"/>
        <v>12.783999999999999</v>
      </c>
      <c r="AG107" s="158">
        <f t="shared" si="43"/>
        <v>16.21</v>
      </c>
      <c r="AH107" s="158">
        <f t="shared" si="50"/>
        <v>3096.11</v>
      </c>
      <c r="AI107" s="26">
        <f t="shared" si="73"/>
        <v>14.24</v>
      </c>
      <c r="AJ107" s="26">
        <f t="shared" si="74"/>
        <v>18.059999999999999</v>
      </c>
      <c r="AK107" s="158">
        <f t="shared" si="49"/>
        <v>1034.8399999999999</v>
      </c>
      <c r="AL107" s="789"/>
    </row>
    <row r="108" spans="1:38" s="283" customFormat="1" ht="60">
      <c r="A108" s="25" t="s">
        <v>3400</v>
      </c>
      <c r="B108" s="24">
        <v>92771</v>
      </c>
      <c r="C108" s="23" t="s">
        <v>1558</v>
      </c>
      <c r="D108" s="25" t="s">
        <v>12</v>
      </c>
      <c r="E108" s="25" t="s">
        <v>45</v>
      </c>
      <c r="F108" s="26">
        <v>690</v>
      </c>
      <c r="G108" s="26">
        <f t="shared" si="54"/>
        <v>11.721499999999999</v>
      </c>
      <c r="H108" s="26">
        <f t="shared" si="70"/>
        <v>14.86</v>
      </c>
      <c r="I108" s="26">
        <f t="shared" si="71"/>
        <v>10253.4</v>
      </c>
      <c r="J108" s="285" t="e">
        <f>IF(B108&lt;&gt;0,VLOOKUP(B108,#REF!,4,FALSE),"")</f>
        <v>#REF!</v>
      </c>
      <c r="K108" s="363" t="s">
        <v>3038</v>
      </c>
      <c r="L108" s="65">
        <f t="shared" si="55"/>
        <v>-2.0685000000000002</v>
      </c>
      <c r="M108" s="65">
        <f t="shared" si="56"/>
        <v>8087.8349999999991</v>
      </c>
      <c r="N108" s="65"/>
      <c r="O108" s="65">
        <f t="shared" si="57"/>
        <v>10253.4</v>
      </c>
      <c r="P108" s="285" t="e">
        <f>IF(B108&lt;&gt;0,VLOOKUP(B108,#REF!,2,FALSE),"")</f>
        <v>#REF!</v>
      </c>
      <c r="Q108" s="283">
        <v>2806.2999999999997</v>
      </c>
      <c r="R108" s="283">
        <f t="shared" si="62"/>
        <v>2116.2999999999997</v>
      </c>
      <c r="AE108" s="163">
        <f t="shared" si="72"/>
        <v>482.99999999999994</v>
      </c>
      <c r="AF108" s="163">
        <f t="shared" si="51"/>
        <v>11.721499999999999</v>
      </c>
      <c r="AG108" s="158">
        <f t="shared" si="43"/>
        <v>14.86</v>
      </c>
      <c r="AH108" s="158">
        <f t="shared" si="50"/>
        <v>10253.4</v>
      </c>
      <c r="AI108" s="26">
        <f t="shared" si="73"/>
        <v>13.06</v>
      </c>
      <c r="AJ108" s="26">
        <f t="shared" si="74"/>
        <v>16.559999999999999</v>
      </c>
      <c r="AK108" s="158">
        <f t="shared" si="49"/>
        <v>3427.92</v>
      </c>
      <c r="AL108" s="789"/>
    </row>
    <row r="109" spans="1:38" s="283" customFormat="1" ht="60">
      <c r="A109" s="25" t="s">
        <v>3401</v>
      </c>
      <c r="B109" s="24">
        <v>92772</v>
      </c>
      <c r="C109" s="23" t="s">
        <v>1559</v>
      </c>
      <c r="D109" s="25" t="s">
        <v>12</v>
      </c>
      <c r="E109" s="25" t="s">
        <v>45</v>
      </c>
      <c r="F109" s="26">
        <v>1704</v>
      </c>
      <c r="G109" s="26">
        <f t="shared" si="54"/>
        <v>10.047000000000001</v>
      </c>
      <c r="H109" s="26">
        <f t="shared" si="70"/>
        <v>12.74</v>
      </c>
      <c r="I109" s="26">
        <f t="shared" si="71"/>
        <v>21708.959999999999</v>
      </c>
      <c r="J109" s="285" t="e">
        <f>IF(B109&lt;&gt;0,VLOOKUP(B109,#REF!,4,FALSE),"")</f>
        <v>#REF!</v>
      </c>
      <c r="K109" s="363" t="s">
        <v>3124</v>
      </c>
      <c r="L109" s="65">
        <f t="shared" si="55"/>
        <v>-1.7729999999999997</v>
      </c>
      <c r="M109" s="65">
        <f t="shared" si="56"/>
        <v>17120.088</v>
      </c>
      <c r="N109" s="65"/>
      <c r="O109" s="65">
        <f t="shared" si="57"/>
        <v>21708.959999999999</v>
      </c>
      <c r="P109" s="285" t="e">
        <f>IF(B109&lt;&gt;0,VLOOKUP(B109,#REF!,2,FALSE),"")</f>
        <v>#REF!</v>
      </c>
      <c r="Q109" s="283">
        <v>3844.3999999999996</v>
      </c>
      <c r="R109" s="283">
        <f t="shared" si="62"/>
        <v>2140.3999999999996</v>
      </c>
      <c r="AE109" s="163">
        <f t="shared" si="72"/>
        <v>1192.8</v>
      </c>
      <c r="AF109" s="163">
        <f t="shared" si="51"/>
        <v>10.047000000000001</v>
      </c>
      <c r="AG109" s="158">
        <f t="shared" si="43"/>
        <v>12.74</v>
      </c>
      <c r="AH109" s="158">
        <f t="shared" si="50"/>
        <v>21708.959999999999</v>
      </c>
      <c r="AI109" s="26">
        <f t="shared" si="73"/>
        <v>11.19</v>
      </c>
      <c r="AJ109" s="26">
        <f t="shared" si="74"/>
        <v>14.19</v>
      </c>
      <c r="AK109" s="158">
        <f t="shared" si="49"/>
        <v>7253.93</v>
      </c>
      <c r="AL109" s="789"/>
    </row>
    <row r="110" spans="1:38" s="34" customFormat="1" ht="60">
      <c r="A110" s="472" t="s">
        <v>3402</v>
      </c>
      <c r="B110" s="475">
        <v>92773</v>
      </c>
      <c r="C110" s="471" t="s">
        <v>1560</v>
      </c>
      <c r="D110" s="472" t="s">
        <v>12</v>
      </c>
      <c r="E110" s="472" t="s">
        <v>45</v>
      </c>
      <c r="F110" s="473">
        <v>2791</v>
      </c>
      <c r="G110" s="473">
        <f t="shared" si="54"/>
        <v>9.8345000000000002</v>
      </c>
      <c r="H110" s="473">
        <f t="shared" si="70"/>
        <v>12.47</v>
      </c>
      <c r="I110" s="473">
        <f t="shared" si="71"/>
        <v>34803.769999999997</v>
      </c>
      <c r="J110" s="47" t="e">
        <f>IF(B110&lt;&gt;0,VLOOKUP(B110,#REF!,4,FALSE),"")</f>
        <v>#REF!</v>
      </c>
      <c r="K110" s="378" t="s">
        <v>3120</v>
      </c>
      <c r="L110" s="47">
        <f t="shared" si="55"/>
        <v>-1.7355</v>
      </c>
      <c r="M110" s="47">
        <f t="shared" si="56"/>
        <v>27448.089500000002</v>
      </c>
      <c r="N110" s="47"/>
      <c r="O110" s="47">
        <f t="shared" si="57"/>
        <v>34803.770000000004</v>
      </c>
      <c r="P110" s="47" t="e">
        <f>IF(B110&lt;&gt;0,VLOOKUP(B110,#REF!,2,FALSE),"")</f>
        <v>#REF!</v>
      </c>
      <c r="Q110" s="34">
        <v>8981</v>
      </c>
      <c r="R110" s="34">
        <f t="shared" si="62"/>
        <v>6190</v>
      </c>
      <c r="AE110" s="523">
        <f t="shared" si="72"/>
        <v>1953.6999999999998</v>
      </c>
      <c r="AF110" s="523">
        <f t="shared" si="51"/>
        <v>9.8345000000000002</v>
      </c>
      <c r="AG110" s="562">
        <f t="shared" si="43"/>
        <v>12.47</v>
      </c>
      <c r="AH110" s="562">
        <f t="shared" si="50"/>
        <v>34803.769999999997</v>
      </c>
      <c r="AI110" s="473">
        <f>AL110</f>
        <v>9.9899999999999984</v>
      </c>
      <c r="AJ110" s="473">
        <f>ROUND(AI110*(1+$J$13),2)</f>
        <v>12.67</v>
      </c>
      <c r="AK110" s="562">
        <f t="shared" si="49"/>
        <v>10608.59</v>
      </c>
      <c r="AL110" s="788">
        <f>'PLANILHA ORÇA - CORREGEDORIA'!BG143</f>
        <v>9.9899999999999984</v>
      </c>
    </row>
    <row r="111" spans="1:38" s="34" customFormat="1" ht="60">
      <c r="A111" s="472" t="s">
        <v>3403</v>
      </c>
      <c r="B111" s="475">
        <v>92774</v>
      </c>
      <c r="C111" s="471" t="s">
        <v>1561</v>
      </c>
      <c r="D111" s="472" t="s">
        <v>12</v>
      </c>
      <c r="E111" s="472" t="s">
        <v>45</v>
      </c>
      <c r="F111" s="473">
        <v>593</v>
      </c>
      <c r="G111" s="473">
        <f t="shared" si="54"/>
        <v>11.39</v>
      </c>
      <c r="H111" s="473">
        <f t="shared" si="70"/>
        <v>14.44</v>
      </c>
      <c r="I111" s="473">
        <f t="shared" si="71"/>
        <v>8562.92</v>
      </c>
      <c r="J111" s="47" t="e">
        <f>IF(B111&lt;&gt;0,VLOOKUP(B111,#REF!,4,FALSE),"")</f>
        <v>#REF!</v>
      </c>
      <c r="K111" s="378" t="s">
        <v>3192</v>
      </c>
      <c r="L111" s="47">
        <f t="shared" si="55"/>
        <v>-2.0099999999999998</v>
      </c>
      <c r="M111" s="47">
        <f t="shared" si="56"/>
        <v>6754.27</v>
      </c>
      <c r="N111" s="47"/>
      <c r="O111" s="47">
        <f t="shared" si="57"/>
        <v>8562.92</v>
      </c>
      <c r="P111" s="47" t="e">
        <f>IF(B111&lt;&gt;0,VLOOKUP(B111,#REF!,2,FALSE),"")</f>
        <v>#REF!</v>
      </c>
      <c r="Q111" s="34">
        <v>1336.0339999999999</v>
      </c>
      <c r="R111" s="34">
        <f t="shared" si="62"/>
        <v>743.03399999999988</v>
      </c>
      <c r="AE111" s="523">
        <f t="shared" si="72"/>
        <v>415.09999999999997</v>
      </c>
      <c r="AF111" s="523">
        <f t="shared" si="51"/>
        <v>11.39</v>
      </c>
      <c r="AG111" s="562">
        <f t="shared" si="43"/>
        <v>14.44</v>
      </c>
      <c r="AH111" s="562">
        <f t="shared" si="50"/>
        <v>8562.92</v>
      </c>
      <c r="AI111" s="473">
        <f>AL111</f>
        <v>10.39</v>
      </c>
      <c r="AJ111" s="473">
        <f>ROUND(AI111*(1+$J$13),2)</f>
        <v>13.18</v>
      </c>
      <c r="AK111" s="562">
        <f t="shared" si="49"/>
        <v>2344.7199999999998</v>
      </c>
      <c r="AL111" s="788">
        <f>'PLANILHA ORÇA - CORREGEDORIA'!BG144</f>
        <v>10.39</v>
      </c>
    </row>
    <row r="112" spans="1:38" s="34" customFormat="1" ht="60">
      <c r="A112" s="472" t="s">
        <v>3404</v>
      </c>
      <c r="B112" s="475">
        <v>85662</v>
      </c>
      <c r="C112" s="471" t="s">
        <v>61</v>
      </c>
      <c r="D112" s="472" t="s">
        <v>1915</v>
      </c>
      <c r="E112" s="472" t="s">
        <v>26</v>
      </c>
      <c r="F112" s="473">
        <v>998.31</v>
      </c>
      <c r="G112" s="473">
        <f t="shared" si="54"/>
        <v>15.512499999999999</v>
      </c>
      <c r="H112" s="473">
        <f t="shared" si="70"/>
        <v>19.670000000000002</v>
      </c>
      <c r="I112" s="473">
        <f t="shared" si="71"/>
        <v>19636.759999999998</v>
      </c>
      <c r="J112" s="474">
        <f>'COMPOSIÇÃO DE CUSTOS'!G160</f>
        <v>15.53</v>
      </c>
      <c r="K112" s="378">
        <v>18.25</v>
      </c>
      <c r="L112" s="47">
        <f t="shared" si="55"/>
        <v>-2.7375000000000007</v>
      </c>
      <c r="M112" s="47">
        <f t="shared" si="56"/>
        <v>15486.283874999999</v>
      </c>
      <c r="N112" s="47"/>
      <c r="O112" s="47">
        <f t="shared" si="57"/>
        <v>19636.757700000002</v>
      </c>
      <c r="P112" s="47" t="e">
        <f>IF(B112&lt;&gt;0,VLOOKUP(B112,#REF!,2,FALSE),"")</f>
        <v>#REF!</v>
      </c>
      <c r="Q112" s="34">
        <v>224.88199999999998</v>
      </c>
      <c r="R112" s="34">
        <f t="shared" si="62"/>
        <v>-773.428</v>
      </c>
      <c r="AE112" s="523">
        <f t="shared" si="72"/>
        <v>698.81699999999989</v>
      </c>
      <c r="AF112" s="523">
        <f t="shared" si="51"/>
        <v>15.512499999999999</v>
      </c>
      <c r="AG112" s="562">
        <f t="shared" si="43"/>
        <v>19.670000000000002</v>
      </c>
      <c r="AH112" s="562">
        <f t="shared" si="50"/>
        <v>19636.759999999998</v>
      </c>
      <c r="AI112" s="473">
        <f>AL112</f>
        <v>15.94</v>
      </c>
      <c r="AJ112" s="473">
        <f>ROUND(AI112*(1+$J$13),2)</f>
        <v>20.21</v>
      </c>
      <c r="AK112" s="562">
        <f t="shared" si="49"/>
        <v>6052.75</v>
      </c>
      <c r="AL112" s="788">
        <f>'PLANILHA ORÇA - CORREGEDORIA'!BG145</f>
        <v>15.94</v>
      </c>
    </row>
    <row r="113" spans="1:38" s="34" customFormat="1" ht="75">
      <c r="A113" s="472" t="s">
        <v>3405</v>
      </c>
      <c r="B113" s="475">
        <v>92725</v>
      </c>
      <c r="C113" s="471" t="s">
        <v>1542</v>
      </c>
      <c r="D113" s="472" t="s">
        <v>1915</v>
      </c>
      <c r="E113" s="472" t="s">
        <v>35</v>
      </c>
      <c r="F113" s="473">
        <v>131.63999999999999</v>
      </c>
      <c r="G113" s="473">
        <f t="shared" si="54"/>
        <v>394.35749999999996</v>
      </c>
      <c r="H113" s="473">
        <f t="shared" si="70"/>
        <v>500.08</v>
      </c>
      <c r="I113" s="473">
        <f t="shared" si="71"/>
        <v>65830.53</v>
      </c>
      <c r="J113" s="474">
        <f>'COMPOSIÇÃO DE CUSTOS'!G130</f>
        <v>394.36</v>
      </c>
      <c r="K113" s="378">
        <v>463.95</v>
      </c>
      <c r="L113" s="47">
        <f t="shared" si="55"/>
        <v>-69.59250000000003</v>
      </c>
      <c r="M113" s="47">
        <f t="shared" si="56"/>
        <v>51913.22129999999</v>
      </c>
      <c r="N113" s="47"/>
      <c r="O113" s="47">
        <f t="shared" si="57"/>
        <v>65830.531199999998</v>
      </c>
      <c r="P113" s="47"/>
      <c r="R113" s="34">
        <f t="shared" si="62"/>
        <v>-131.63999999999999</v>
      </c>
      <c r="AE113" s="523">
        <f t="shared" si="72"/>
        <v>92.147999999999982</v>
      </c>
      <c r="AF113" s="523">
        <f t="shared" si="51"/>
        <v>394.35749999999996</v>
      </c>
      <c r="AG113" s="562">
        <f t="shared" si="43"/>
        <v>500.08</v>
      </c>
      <c r="AH113" s="562">
        <f t="shared" si="50"/>
        <v>65830.53</v>
      </c>
      <c r="AI113" s="473">
        <f>AL113</f>
        <v>600.08000000000004</v>
      </c>
      <c r="AJ113" s="473">
        <f>ROUND(AI113*(1+$J$13),2)</f>
        <v>760.96</v>
      </c>
      <c r="AK113" s="562">
        <f t="shared" si="49"/>
        <v>30051.83</v>
      </c>
      <c r="AL113" s="788">
        <f>'PLANILHA ORÇA - CORREGEDORIA'!BG146</f>
        <v>600.08000000000004</v>
      </c>
    </row>
    <row r="114" spans="1:38">
      <c r="A114" s="77" t="s">
        <v>747</v>
      </c>
      <c r="B114" s="139"/>
      <c r="C114" s="340" t="s">
        <v>62</v>
      </c>
      <c r="D114" s="341"/>
      <c r="E114" s="341"/>
      <c r="F114" s="341"/>
      <c r="G114" s="26"/>
      <c r="H114" s="341"/>
      <c r="I114" s="96"/>
      <c r="J114" s="65" t="str">
        <f>IF(B114&lt;&gt;0,VLOOKUP(B114,#REF!,4,FALSE),"")</f>
        <v/>
      </c>
      <c r="K114" s="362" t="s">
        <v>1892</v>
      </c>
      <c r="L114" s="65"/>
      <c r="M114" s="65"/>
      <c r="N114" s="65"/>
      <c r="O114" s="65">
        <f t="shared" si="57"/>
        <v>0</v>
      </c>
      <c r="P114" s="65" t="str">
        <f>IF(B114&lt;&gt;0,VLOOKUP(B114,#REF!,2,FALSE),"")</f>
        <v/>
      </c>
      <c r="Q114" s="2">
        <v>63.048999999999992</v>
      </c>
      <c r="R114" s="62">
        <f t="shared" si="62"/>
        <v>63.048999999999992</v>
      </c>
      <c r="AE114" s="163"/>
      <c r="AF114" s="163"/>
      <c r="AG114" s="158"/>
      <c r="AH114" s="158"/>
      <c r="AK114" s="158"/>
    </row>
    <row r="115" spans="1:38" s="283" customFormat="1" ht="45">
      <c r="A115" s="25" t="s">
        <v>748</v>
      </c>
      <c r="B115" s="24">
        <v>95938</v>
      </c>
      <c r="C115" s="23" t="s">
        <v>2693</v>
      </c>
      <c r="D115" s="25" t="s">
        <v>1915</v>
      </c>
      <c r="E115" s="25" t="s">
        <v>26</v>
      </c>
      <c r="F115" s="26">
        <v>48.06</v>
      </c>
      <c r="G115" s="26">
        <f t="shared" si="54"/>
        <v>226.35500000000002</v>
      </c>
      <c r="H115" s="26">
        <f>ROUND(G115*(1+$J$13),2)</f>
        <v>287.04000000000002</v>
      </c>
      <c r="I115" s="26">
        <f t="shared" ref="I115:I119" si="75">ROUND(H115*F115,2)</f>
        <v>13795.14</v>
      </c>
      <c r="J115" s="284">
        <f>'COMPOSIÇÃO DE CUSTOS'!G171</f>
        <v>226.37</v>
      </c>
      <c r="K115" s="363">
        <v>266.3</v>
      </c>
      <c r="L115" s="65">
        <f t="shared" si="55"/>
        <v>-39.944999999999993</v>
      </c>
      <c r="M115" s="65">
        <f t="shared" si="56"/>
        <v>10878.621300000001</v>
      </c>
      <c r="N115" s="65"/>
      <c r="O115" s="65">
        <f t="shared" si="57"/>
        <v>13795.142400000002</v>
      </c>
      <c r="P115" s="285" t="e">
        <f>IF(B115&lt;&gt;0,VLOOKUP(B115,#REF!,2,FALSE),"")</f>
        <v>#REF!</v>
      </c>
      <c r="Q115" s="283">
        <v>64.75</v>
      </c>
      <c r="R115" s="283">
        <f t="shared" si="62"/>
        <v>16.689999999999998</v>
      </c>
      <c r="AE115" s="163">
        <f t="shared" si="72"/>
        <v>33.641999999999996</v>
      </c>
      <c r="AF115" s="163">
        <f t="shared" si="51"/>
        <v>226.35500000000002</v>
      </c>
      <c r="AG115" s="158">
        <f t="shared" si="43"/>
        <v>287.04000000000002</v>
      </c>
      <c r="AH115" s="158">
        <f t="shared" si="50"/>
        <v>13795.14</v>
      </c>
      <c r="AI115" s="26">
        <f>ROUND(G115*$AM$11,2)</f>
        <v>252.16</v>
      </c>
      <c r="AJ115" s="26">
        <f t="shared" ref="AJ115:AJ118" si="76">ROUND(AI115*(1+$J$13),2)</f>
        <v>319.76</v>
      </c>
      <c r="AK115" s="158">
        <f t="shared" si="49"/>
        <v>4610.3</v>
      </c>
      <c r="AL115" s="789"/>
    </row>
    <row r="116" spans="1:38" s="283" customFormat="1" ht="60">
      <c r="A116" s="25" t="s">
        <v>749</v>
      </c>
      <c r="B116" s="24">
        <v>95944</v>
      </c>
      <c r="C116" s="23" t="s">
        <v>1562</v>
      </c>
      <c r="D116" s="25" t="s">
        <v>12</v>
      </c>
      <c r="E116" s="25" t="s">
        <v>45</v>
      </c>
      <c r="F116" s="26">
        <v>87</v>
      </c>
      <c r="G116" s="26">
        <f t="shared" si="54"/>
        <v>16.787500000000001</v>
      </c>
      <c r="H116" s="26">
        <f>ROUND(G116*(1+$J$13),2)</f>
        <v>21.29</v>
      </c>
      <c r="I116" s="26">
        <f t="shared" si="75"/>
        <v>1852.23</v>
      </c>
      <c r="J116" s="285" t="e">
        <f>IF(B116&lt;&gt;0,VLOOKUP(B116,#REF!,4,FALSE),"")</f>
        <v>#REF!</v>
      </c>
      <c r="K116" s="363" t="s">
        <v>2647</v>
      </c>
      <c r="L116" s="65">
        <f t="shared" si="55"/>
        <v>-2.9624999999999986</v>
      </c>
      <c r="M116" s="65">
        <f t="shared" si="56"/>
        <v>1460.5125</v>
      </c>
      <c r="N116" s="65"/>
      <c r="O116" s="65">
        <f t="shared" si="57"/>
        <v>1852.23</v>
      </c>
      <c r="P116" s="285" t="e">
        <f>IF(B116&lt;&gt;0,VLOOKUP(B116,#REF!,2,FALSE),"")</f>
        <v>#REF!</v>
      </c>
      <c r="Q116" s="283">
        <v>242.89999999999998</v>
      </c>
      <c r="R116" s="283">
        <f t="shared" si="62"/>
        <v>155.89999999999998</v>
      </c>
      <c r="AE116" s="163">
        <f t="shared" si="72"/>
        <v>60.9</v>
      </c>
      <c r="AF116" s="163">
        <f t="shared" si="51"/>
        <v>16.787500000000001</v>
      </c>
      <c r="AG116" s="158">
        <f t="shared" si="43"/>
        <v>21.29</v>
      </c>
      <c r="AH116" s="158">
        <f t="shared" si="50"/>
        <v>1852.23</v>
      </c>
      <c r="AI116" s="26">
        <f t="shared" ref="AI116:AI118" si="77">ROUND(G116*$AM$11,2)</f>
        <v>18.7</v>
      </c>
      <c r="AJ116" s="26">
        <f t="shared" si="76"/>
        <v>23.71</v>
      </c>
      <c r="AK116" s="158">
        <f t="shared" si="49"/>
        <v>618.83000000000004</v>
      </c>
      <c r="AL116" s="789"/>
    </row>
    <row r="117" spans="1:38" s="283" customFormat="1" ht="60">
      <c r="A117" s="25" t="s">
        <v>750</v>
      </c>
      <c r="B117" s="24">
        <v>95945</v>
      </c>
      <c r="C117" s="23" t="s">
        <v>1563</v>
      </c>
      <c r="D117" s="25" t="s">
        <v>12</v>
      </c>
      <c r="E117" s="25" t="s">
        <v>45</v>
      </c>
      <c r="F117" s="26">
        <v>165</v>
      </c>
      <c r="G117" s="26">
        <f t="shared" si="54"/>
        <v>14.908999999999999</v>
      </c>
      <c r="H117" s="26">
        <f>ROUND(G117*(1+$J$13),2)</f>
        <v>18.91</v>
      </c>
      <c r="I117" s="26">
        <f t="shared" si="75"/>
        <v>3120.15</v>
      </c>
      <c r="J117" s="285" t="e">
        <f>IF(B117&lt;&gt;0,VLOOKUP(B117,#REF!,4,FALSE),"")</f>
        <v>#REF!</v>
      </c>
      <c r="K117" s="363" t="s">
        <v>3170</v>
      </c>
      <c r="L117" s="65">
        <f t="shared" si="55"/>
        <v>-2.6310000000000002</v>
      </c>
      <c r="M117" s="65">
        <f t="shared" si="56"/>
        <v>2459.9849999999997</v>
      </c>
      <c r="N117" s="65"/>
      <c r="O117" s="65">
        <f t="shared" si="57"/>
        <v>3120.15</v>
      </c>
      <c r="P117" s="285" t="e">
        <f>IF(B117&lt;&gt;0,VLOOKUP(B117,#REF!,2,FALSE),"")</f>
        <v>#REF!</v>
      </c>
      <c r="Q117" s="283">
        <v>388.5</v>
      </c>
      <c r="R117" s="283">
        <f t="shared" si="62"/>
        <v>223.5</v>
      </c>
      <c r="AE117" s="163">
        <f t="shared" si="72"/>
        <v>115.49999999999999</v>
      </c>
      <c r="AF117" s="163">
        <f t="shared" si="51"/>
        <v>14.908999999999999</v>
      </c>
      <c r="AG117" s="158">
        <f t="shared" si="43"/>
        <v>18.91</v>
      </c>
      <c r="AH117" s="158">
        <f t="shared" si="50"/>
        <v>3120.15</v>
      </c>
      <c r="AI117" s="26">
        <f t="shared" si="77"/>
        <v>16.61</v>
      </c>
      <c r="AJ117" s="26">
        <f t="shared" si="76"/>
        <v>21.06</v>
      </c>
      <c r="AK117" s="158">
        <f t="shared" si="49"/>
        <v>1042.47</v>
      </c>
      <c r="AL117" s="789"/>
    </row>
    <row r="118" spans="1:38" s="283" customFormat="1" ht="60">
      <c r="A118" s="25" t="s">
        <v>751</v>
      </c>
      <c r="B118" s="24">
        <v>95946</v>
      </c>
      <c r="C118" s="23" t="s">
        <v>1564</v>
      </c>
      <c r="D118" s="25" t="s">
        <v>12</v>
      </c>
      <c r="E118" s="25" t="s">
        <v>45</v>
      </c>
      <c r="F118" s="26">
        <v>49</v>
      </c>
      <c r="G118" s="26">
        <f t="shared" si="54"/>
        <v>12.7415</v>
      </c>
      <c r="H118" s="26">
        <f>ROUND(G118*(1+$J$13),2)</f>
        <v>16.16</v>
      </c>
      <c r="I118" s="26">
        <f t="shared" si="75"/>
        <v>791.84</v>
      </c>
      <c r="J118" s="285" t="e">
        <f>IF(B118&lt;&gt;0,VLOOKUP(B118,#REF!,4,FALSE),"")</f>
        <v>#REF!</v>
      </c>
      <c r="K118" s="363" t="s">
        <v>3104</v>
      </c>
      <c r="L118" s="65">
        <f t="shared" si="55"/>
        <v>-2.2484999999999999</v>
      </c>
      <c r="M118" s="65">
        <f t="shared" si="56"/>
        <v>624.33349999999996</v>
      </c>
      <c r="N118" s="65"/>
      <c r="O118" s="65">
        <f t="shared" si="57"/>
        <v>791.84</v>
      </c>
      <c r="P118" s="285" t="e">
        <f>IF(B118&lt;&gt;0,VLOOKUP(B118,#REF!,2,FALSE),"")</f>
        <v>#REF!</v>
      </c>
      <c r="Q118" s="283">
        <v>636.29999999999995</v>
      </c>
      <c r="R118" s="283">
        <f t="shared" si="62"/>
        <v>587.29999999999995</v>
      </c>
      <c r="AE118" s="163">
        <f t="shared" si="72"/>
        <v>34.299999999999997</v>
      </c>
      <c r="AF118" s="163">
        <f t="shared" si="51"/>
        <v>12.7415</v>
      </c>
      <c r="AG118" s="158">
        <f t="shared" si="43"/>
        <v>16.16</v>
      </c>
      <c r="AH118" s="158">
        <f t="shared" si="50"/>
        <v>791.84</v>
      </c>
      <c r="AI118" s="26">
        <f t="shared" si="77"/>
        <v>14.19</v>
      </c>
      <c r="AJ118" s="26">
        <f t="shared" si="76"/>
        <v>17.989999999999998</v>
      </c>
      <c r="AK118" s="158">
        <f t="shared" si="49"/>
        <v>264.45</v>
      </c>
      <c r="AL118" s="789"/>
    </row>
    <row r="119" spans="1:38" s="34" customFormat="1" ht="75">
      <c r="A119" s="472" t="s">
        <v>3415</v>
      </c>
      <c r="B119" s="475">
        <v>92725</v>
      </c>
      <c r="C119" s="471" t="s">
        <v>1542</v>
      </c>
      <c r="D119" s="472" t="s">
        <v>1915</v>
      </c>
      <c r="E119" s="472" t="s">
        <v>35</v>
      </c>
      <c r="F119" s="473">
        <v>6.46</v>
      </c>
      <c r="G119" s="473">
        <f t="shared" si="54"/>
        <v>394.35749999999996</v>
      </c>
      <c r="H119" s="473">
        <f>ROUND(G119*(1+$J$13),2)</f>
        <v>500.08</v>
      </c>
      <c r="I119" s="473">
        <f t="shared" si="75"/>
        <v>3230.52</v>
      </c>
      <c r="J119" s="474">
        <f>'COMPOSIÇÃO DE CUSTOS'!G130</f>
        <v>394.36</v>
      </c>
      <c r="K119" s="378">
        <v>463.95</v>
      </c>
      <c r="L119" s="47">
        <f t="shared" si="55"/>
        <v>-69.59250000000003</v>
      </c>
      <c r="M119" s="47">
        <f t="shared" si="56"/>
        <v>2547.5494499999995</v>
      </c>
      <c r="N119" s="47"/>
      <c r="O119" s="47">
        <f t="shared" si="57"/>
        <v>3230.5167999999999</v>
      </c>
      <c r="P119" s="47"/>
      <c r="R119" s="34">
        <f t="shared" si="62"/>
        <v>-6.46</v>
      </c>
      <c r="AE119" s="523">
        <f t="shared" si="72"/>
        <v>4.5219999999999994</v>
      </c>
      <c r="AF119" s="523">
        <f t="shared" si="51"/>
        <v>394.35749999999996</v>
      </c>
      <c r="AG119" s="562">
        <f t="shared" si="43"/>
        <v>500.08</v>
      </c>
      <c r="AH119" s="562">
        <f t="shared" si="50"/>
        <v>3230.52</v>
      </c>
      <c r="AI119" s="473">
        <f>AL119</f>
        <v>600.08000000000004</v>
      </c>
      <c r="AJ119" s="473">
        <f>ROUND(AI119*(1+$J$13),2)</f>
        <v>760.96</v>
      </c>
      <c r="AK119" s="562">
        <f t="shared" si="49"/>
        <v>1474.74</v>
      </c>
      <c r="AL119" s="788">
        <f>'PLANILHA ORÇA - CORREGEDORIA'!BG152</f>
        <v>600.08000000000004</v>
      </c>
    </row>
    <row r="120" spans="1:38" s="62" customFormat="1">
      <c r="A120" s="77" t="s">
        <v>752</v>
      </c>
      <c r="B120" s="139"/>
      <c r="C120" s="340" t="s">
        <v>63</v>
      </c>
      <c r="D120" s="341"/>
      <c r="E120" s="341"/>
      <c r="F120" s="341"/>
      <c r="G120" s="26"/>
      <c r="H120" s="341"/>
      <c r="I120" s="96"/>
      <c r="J120" s="65" t="str">
        <f>IF(B120&lt;&gt;0,VLOOKUP(B120,#REF!,4,FALSE),"")</f>
        <v/>
      </c>
      <c r="K120" s="362" t="s">
        <v>1892</v>
      </c>
      <c r="L120" s="65"/>
      <c r="M120" s="65">
        <f t="shared" si="56"/>
        <v>0</v>
      </c>
      <c r="N120" s="65"/>
      <c r="O120" s="65">
        <f t="shared" si="57"/>
        <v>0</v>
      </c>
      <c r="P120" s="65" t="str">
        <f>IF(B120&lt;&gt;0,VLOOKUP(B120,#REF!,2,FALSE),"")</f>
        <v/>
      </c>
      <c r="Q120" s="62">
        <v>93.575999999999993</v>
      </c>
      <c r="R120" s="62">
        <f t="shared" si="62"/>
        <v>93.575999999999993</v>
      </c>
      <c r="AD120" s="221"/>
      <c r="AE120" s="481"/>
      <c r="AF120" s="481"/>
      <c r="AG120" s="481"/>
      <c r="AH120" s="481"/>
      <c r="AI120" s="552"/>
      <c r="AJ120" s="27"/>
      <c r="AK120" s="158"/>
      <c r="AL120" s="224"/>
    </row>
    <row r="121" spans="1:38" s="34" customFormat="1" ht="60">
      <c r="A121" s="472" t="s">
        <v>753</v>
      </c>
      <c r="B121" s="475">
        <v>92452</v>
      </c>
      <c r="C121" s="471" t="s">
        <v>1555</v>
      </c>
      <c r="D121" s="472" t="s">
        <v>12</v>
      </c>
      <c r="E121" s="472" t="s">
        <v>26</v>
      </c>
      <c r="F121" s="473">
        <v>144.93</v>
      </c>
      <c r="G121" s="473">
        <f t="shared" si="54"/>
        <v>86.716999999999999</v>
      </c>
      <c r="H121" s="473">
        <f t="shared" ref="H121:H129" si="78">ROUND(G121*(1+$J$13),2)</f>
        <v>109.97</v>
      </c>
      <c r="I121" s="473">
        <f t="shared" ref="I121:I129" si="79">ROUND(H121*F121,2)</f>
        <v>15937.95</v>
      </c>
      <c r="J121" s="47" t="e">
        <f>IF(B121&lt;&gt;0,VLOOKUP(B121,#REF!,4,FALSE),"")</f>
        <v>#REF!</v>
      </c>
      <c r="K121" s="378" t="s">
        <v>3216</v>
      </c>
      <c r="L121" s="47">
        <f t="shared" si="55"/>
        <v>-15.302999999999997</v>
      </c>
      <c r="M121" s="47">
        <f t="shared" si="56"/>
        <v>12567.89481</v>
      </c>
      <c r="N121" s="47"/>
      <c r="O121" s="47">
        <f t="shared" si="57"/>
        <v>15937.9521</v>
      </c>
      <c r="P121" s="47" t="e">
        <f>IF(B121&lt;&gt;0,VLOOKUP(B121,#REF!,2,FALSE),"")</f>
        <v>#REF!</v>
      </c>
      <c r="Q121" s="34">
        <v>49.6755</v>
      </c>
      <c r="R121" s="34">
        <f t="shared" si="62"/>
        <v>-95.254500000000007</v>
      </c>
      <c r="AD121" s="577"/>
      <c r="AE121" s="502"/>
      <c r="AF121" s="502"/>
      <c r="AG121" s="502"/>
      <c r="AH121" s="502"/>
      <c r="AI121" s="872">
        <f>AL121</f>
        <v>124.60000000000001</v>
      </c>
      <c r="AJ121" s="473">
        <f>ROUND(AI121*(1+$J$13),2)</f>
        <v>158.01</v>
      </c>
      <c r="AK121" s="562">
        <f t="shared" si="49"/>
        <v>22900.39</v>
      </c>
      <c r="AL121" s="788">
        <f>'PLANILHA ORÇA - CORREGEDORIA'!BG154</f>
        <v>124.60000000000001</v>
      </c>
    </row>
    <row r="122" spans="1:38" s="34" customFormat="1" ht="60">
      <c r="A122" s="472" t="s">
        <v>754</v>
      </c>
      <c r="B122" s="475">
        <v>92481</v>
      </c>
      <c r="C122" s="471" t="s">
        <v>1535</v>
      </c>
      <c r="D122" s="472" t="s">
        <v>1915</v>
      </c>
      <c r="E122" s="472" t="s">
        <v>26</v>
      </c>
      <c r="F122" s="473">
        <f>32.25+32.25</f>
        <v>64.5</v>
      </c>
      <c r="G122" s="473">
        <f t="shared" si="54"/>
        <v>197.89699999999999</v>
      </c>
      <c r="H122" s="473">
        <f t="shared" si="78"/>
        <v>250.95</v>
      </c>
      <c r="I122" s="473">
        <f t="shared" si="79"/>
        <v>16186.28</v>
      </c>
      <c r="J122" s="474">
        <f>'COMPOSIÇÃO DE CUSTOS'!G152</f>
        <v>197.9</v>
      </c>
      <c r="K122" s="378">
        <v>232.82</v>
      </c>
      <c r="L122" s="47">
        <f t="shared" si="55"/>
        <v>-34.923000000000002</v>
      </c>
      <c r="M122" s="47">
        <f t="shared" si="56"/>
        <v>12764.3565</v>
      </c>
      <c r="N122" s="47"/>
      <c r="O122" s="47">
        <f t="shared" si="57"/>
        <v>16186.275</v>
      </c>
      <c r="P122" s="47" t="e">
        <f>IF(B122&lt;&gt;0,VLOOKUP(B122,#REF!,2,FALSE),"")</f>
        <v>#REF!</v>
      </c>
      <c r="Q122" s="34">
        <v>32.549999999999997</v>
      </c>
      <c r="R122" s="34">
        <f t="shared" si="62"/>
        <v>-31.950000000000003</v>
      </c>
      <c r="AD122" s="577"/>
      <c r="AE122" s="502"/>
      <c r="AF122" s="502"/>
      <c r="AG122" s="502"/>
      <c r="AH122" s="502"/>
      <c r="AI122" s="872">
        <f>AL122</f>
        <v>284.67</v>
      </c>
      <c r="AJ122" s="473">
        <f>ROUND(AI122*(1+$J$13),2)</f>
        <v>360.99</v>
      </c>
      <c r="AK122" s="562">
        <f t="shared" si="49"/>
        <v>23283.86</v>
      </c>
      <c r="AL122" s="788">
        <f>'PLANILHA ORÇA - CORREGEDORIA'!BG155</f>
        <v>284.67</v>
      </c>
    </row>
    <row r="123" spans="1:38" s="283" customFormat="1" ht="75">
      <c r="A123" s="25" t="s">
        <v>755</v>
      </c>
      <c r="B123" s="24">
        <v>92759</v>
      </c>
      <c r="C123" s="23" t="s">
        <v>1536</v>
      </c>
      <c r="D123" s="25" t="s">
        <v>12</v>
      </c>
      <c r="E123" s="25" t="s">
        <v>45</v>
      </c>
      <c r="F123" s="26">
        <v>84</v>
      </c>
      <c r="G123" s="26">
        <f t="shared" si="54"/>
        <v>13.5915</v>
      </c>
      <c r="H123" s="26">
        <f t="shared" si="78"/>
        <v>17.239999999999998</v>
      </c>
      <c r="I123" s="26">
        <f t="shared" si="79"/>
        <v>1448.16</v>
      </c>
      <c r="J123" s="285" t="e">
        <f>IF(B123&lt;&gt;0,VLOOKUP(B123,#REF!,4,FALSE),"")</f>
        <v>#REF!</v>
      </c>
      <c r="K123" s="363" t="s">
        <v>1854</v>
      </c>
      <c r="L123" s="65">
        <f t="shared" si="55"/>
        <v>-2.3985000000000003</v>
      </c>
      <c r="M123" s="65">
        <f t="shared" si="56"/>
        <v>1141.6859999999999</v>
      </c>
      <c r="N123" s="65"/>
      <c r="O123" s="65">
        <f t="shared" si="57"/>
        <v>1448.1599999999999</v>
      </c>
      <c r="P123" s="285" t="e">
        <f>IF(B123&lt;&gt;0,VLOOKUP(B123,#REF!,2,FALSE),"")</f>
        <v>#REF!</v>
      </c>
      <c r="Q123" s="283">
        <v>451.84999999999997</v>
      </c>
      <c r="R123" s="283">
        <f t="shared" si="62"/>
        <v>367.84999999999997</v>
      </c>
      <c r="AD123" s="819"/>
      <c r="AE123" s="481"/>
      <c r="AF123" s="481"/>
      <c r="AG123" s="481"/>
      <c r="AH123" s="481"/>
      <c r="AI123" s="873">
        <f t="shared" ref="AI123" si="80">ROUND(G123*$AM$11,2)</f>
        <v>15.14</v>
      </c>
      <c r="AJ123" s="26">
        <f t="shared" ref="AJ123" si="81">ROUND(AI123*(1+$J$13),2)</f>
        <v>19.2</v>
      </c>
      <c r="AK123" s="158">
        <f t="shared" si="49"/>
        <v>1612.8</v>
      </c>
      <c r="AL123" s="789"/>
    </row>
    <row r="124" spans="1:38" s="34" customFormat="1" ht="75">
      <c r="A124" s="472" t="s">
        <v>756</v>
      </c>
      <c r="B124" s="475">
        <v>92760</v>
      </c>
      <c r="C124" s="471" t="s">
        <v>1537</v>
      </c>
      <c r="D124" s="472" t="s">
        <v>12</v>
      </c>
      <c r="E124" s="472" t="s">
        <v>45</v>
      </c>
      <c r="F124" s="473">
        <v>661</v>
      </c>
      <c r="G124" s="473">
        <f t="shared" si="54"/>
        <v>13.5915</v>
      </c>
      <c r="H124" s="473">
        <f t="shared" si="78"/>
        <v>17.239999999999998</v>
      </c>
      <c r="I124" s="473">
        <f t="shared" si="79"/>
        <v>11395.64</v>
      </c>
      <c r="J124" s="47" t="e">
        <f>IF(B124&lt;&gt;0,VLOOKUP(B124,#REF!,4,FALSE),"")</f>
        <v>#REF!</v>
      </c>
      <c r="K124" s="378" t="s">
        <v>1854</v>
      </c>
      <c r="L124" s="47">
        <f t="shared" si="55"/>
        <v>-2.3985000000000003</v>
      </c>
      <c r="M124" s="47">
        <f t="shared" si="56"/>
        <v>8983.9814999999999</v>
      </c>
      <c r="N124" s="47"/>
      <c r="O124" s="47">
        <f t="shared" si="57"/>
        <v>11395.64</v>
      </c>
      <c r="P124" s="47" t="e">
        <f>IF(B124&lt;&gt;0,VLOOKUP(B124,#REF!,2,FALSE),"")</f>
        <v>#REF!</v>
      </c>
      <c r="Q124" s="34">
        <v>64.05</v>
      </c>
      <c r="R124" s="34">
        <f t="shared" si="62"/>
        <v>-596.95000000000005</v>
      </c>
      <c r="AD124" s="577"/>
      <c r="AE124" s="502"/>
      <c r="AF124" s="502"/>
      <c r="AG124" s="502"/>
      <c r="AH124" s="502"/>
      <c r="AI124" s="872">
        <f>AL124</f>
        <v>13.069999999999999</v>
      </c>
      <c r="AJ124" s="473">
        <f>ROUND(AI124*(1+$J$13),2)</f>
        <v>16.57</v>
      </c>
      <c r="AK124" s="562">
        <f t="shared" si="49"/>
        <v>10952.77</v>
      </c>
      <c r="AL124" s="788">
        <f>'PLANILHA ORÇA - CORREGEDORIA'!BG157</f>
        <v>13.069999999999999</v>
      </c>
    </row>
    <row r="125" spans="1:38" s="283" customFormat="1" ht="75">
      <c r="A125" s="25" t="s">
        <v>757</v>
      </c>
      <c r="B125" s="24">
        <v>92761</v>
      </c>
      <c r="C125" s="23" t="s">
        <v>1538</v>
      </c>
      <c r="D125" s="25" t="s">
        <v>12</v>
      </c>
      <c r="E125" s="25" t="s">
        <v>45</v>
      </c>
      <c r="F125" s="26">
        <v>63</v>
      </c>
      <c r="G125" s="26">
        <f t="shared" si="54"/>
        <v>13.276999999999999</v>
      </c>
      <c r="H125" s="26">
        <f t="shared" si="78"/>
        <v>16.84</v>
      </c>
      <c r="I125" s="26">
        <f t="shared" si="79"/>
        <v>1060.92</v>
      </c>
      <c r="J125" s="285" t="e">
        <f>IF(B125&lt;&gt;0,VLOOKUP(B125,#REF!,4,FALSE),"")</f>
        <v>#REF!</v>
      </c>
      <c r="K125" s="363" t="s">
        <v>3217</v>
      </c>
      <c r="L125" s="65">
        <f t="shared" si="55"/>
        <v>-2.343</v>
      </c>
      <c r="M125" s="65">
        <f t="shared" si="56"/>
        <v>836.45099999999991</v>
      </c>
      <c r="N125" s="65"/>
      <c r="O125" s="65">
        <f t="shared" si="57"/>
        <v>1060.92</v>
      </c>
      <c r="P125" s="285" t="e">
        <f>IF(B125&lt;&gt;0,VLOOKUP(B125,#REF!,2,FALSE),"")</f>
        <v>#REF!</v>
      </c>
      <c r="Q125" s="283">
        <v>71.399999999999991</v>
      </c>
      <c r="R125" s="283">
        <f t="shared" ref="R125:R156" si="82">Q125-F125</f>
        <v>8.3999999999999915</v>
      </c>
      <c r="AD125" s="819"/>
      <c r="AE125" s="481"/>
      <c r="AF125" s="481"/>
      <c r="AG125" s="481"/>
      <c r="AH125" s="481"/>
      <c r="AI125" s="873">
        <f t="shared" ref="AI125" si="83">ROUND(G125*$AM$11,2)</f>
        <v>14.79</v>
      </c>
      <c r="AJ125" s="26">
        <f t="shared" ref="AJ125" si="84">ROUND(AI125*(1+$J$13),2)</f>
        <v>18.760000000000002</v>
      </c>
      <c r="AK125" s="158">
        <f t="shared" si="49"/>
        <v>1181.8800000000001</v>
      </c>
      <c r="AL125" s="789"/>
    </row>
    <row r="126" spans="1:38" s="34" customFormat="1" ht="75">
      <c r="A126" s="472" t="s">
        <v>758</v>
      </c>
      <c r="B126" s="475">
        <v>92762</v>
      </c>
      <c r="C126" s="471" t="s">
        <v>1539</v>
      </c>
      <c r="D126" s="472" t="s">
        <v>12</v>
      </c>
      <c r="E126" s="472" t="s">
        <v>45</v>
      </c>
      <c r="F126" s="473">
        <v>155</v>
      </c>
      <c r="G126" s="473">
        <f t="shared" si="54"/>
        <v>12.1295</v>
      </c>
      <c r="H126" s="473">
        <f t="shared" si="78"/>
        <v>15.38</v>
      </c>
      <c r="I126" s="473">
        <f t="shared" si="79"/>
        <v>2383.9</v>
      </c>
      <c r="J126" s="47" t="e">
        <f>IF(B126&lt;&gt;0,VLOOKUP(B126,#REF!,4,FALSE),"")</f>
        <v>#REF!</v>
      </c>
      <c r="K126" s="378" t="s">
        <v>3154</v>
      </c>
      <c r="L126" s="47">
        <f t="shared" si="55"/>
        <v>-2.1404999999999994</v>
      </c>
      <c r="M126" s="47">
        <f t="shared" si="56"/>
        <v>1880.0725</v>
      </c>
      <c r="N126" s="47"/>
      <c r="O126" s="47">
        <f t="shared" si="57"/>
        <v>2383.9</v>
      </c>
      <c r="P126" s="47" t="e">
        <f>IF(B126&lt;&gt;0,VLOOKUP(B126,#REF!,2,FALSE),"")</f>
        <v>#REF!</v>
      </c>
      <c r="Q126" s="34">
        <v>200.2</v>
      </c>
      <c r="R126" s="34">
        <f t="shared" si="82"/>
        <v>45.199999999999989</v>
      </c>
      <c r="AD126" s="577"/>
      <c r="AE126" s="502"/>
      <c r="AF126" s="502"/>
      <c r="AG126" s="502"/>
      <c r="AH126" s="502"/>
      <c r="AI126" s="872">
        <f>AL126</f>
        <v>11.49</v>
      </c>
      <c r="AJ126" s="473">
        <f>ROUND(AI126*(1+$J$13),2)</f>
        <v>14.57</v>
      </c>
      <c r="AK126" s="562">
        <f t="shared" si="49"/>
        <v>2258.35</v>
      </c>
      <c r="AL126" s="788">
        <f>'PLANILHA ORÇA - CORREGEDORIA'!BG159</f>
        <v>11.49</v>
      </c>
    </row>
    <row r="127" spans="1:38" s="34" customFormat="1" ht="75">
      <c r="A127" s="472" t="s">
        <v>759</v>
      </c>
      <c r="B127" s="475">
        <v>92763</v>
      </c>
      <c r="C127" s="471" t="s">
        <v>1540</v>
      </c>
      <c r="D127" s="472" t="s">
        <v>12</v>
      </c>
      <c r="E127" s="472" t="s">
        <v>45</v>
      </c>
      <c r="F127" s="473">
        <v>121</v>
      </c>
      <c r="G127" s="473">
        <f t="shared" si="54"/>
        <v>10.361499999999999</v>
      </c>
      <c r="H127" s="473">
        <f t="shared" si="78"/>
        <v>13.14</v>
      </c>
      <c r="I127" s="473">
        <f t="shared" si="79"/>
        <v>1589.94</v>
      </c>
      <c r="J127" s="47" t="e">
        <f>IF(B127&lt;&gt;0,VLOOKUP(B127,#REF!,4,FALSE),"")</f>
        <v>#REF!</v>
      </c>
      <c r="K127" s="378" t="s">
        <v>3134</v>
      </c>
      <c r="L127" s="47">
        <f t="shared" si="55"/>
        <v>-1.8285</v>
      </c>
      <c r="M127" s="47">
        <f t="shared" si="56"/>
        <v>1253.7414999999999</v>
      </c>
      <c r="N127" s="47"/>
      <c r="O127" s="47">
        <f t="shared" si="57"/>
        <v>1589.94</v>
      </c>
      <c r="P127" s="47" t="e">
        <f>IF(B127&lt;&gt;0,VLOOKUP(B127,#REF!,2,FALSE),"")</f>
        <v>#REF!</v>
      </c>
      <c r="Q127" s="34">
        <v>157.14999999999998</v>
      </c>
      <c r="R127" s="34">
        <f t="shared" si="82"/>
        <v>36.149999999999977</v>
      </c>
      <c r="AD127" s="577"/>
      <c r="AE127" s="502"/>
      <c r="AF127" s="502"/>
      <c r="AG127" s="502"/>
      <c r="AH127" s="502"/>
      <c r="AI127" s="872">
        <f>AL127</f>
        <v>10.50122</v>
      </c>
      <c r="AJ127" s="473">
        <f>ROUND(AI127*(1+$J$13),2)</f>
        <v>13.32</v>
      </c>
      <c r="AK127" s="562">
        <f t="shared" si="49"/>
        <v>1611.72</v>
      </c>
      <c r="AL127" s="788">
        <f>'PLANILHA ORÇA - CORREGEDORIA'!BG160</f>
        <v>10.50122</v>
      </c>
    </row>
    <row r="128" spans="1:38" s="34" customFormat="1" ht="75">
      <c r="A128" s="472" t="s">
        <v>760</v>
      </c>
      <c r="B128" s="475">
        <v>92764</v>
      </c>
      <c r="C128" s="471" t="s">
        <v>1541</v>
      </c>
      <c r="D128" s="472" t="s">
        <v>12</v>
      </c>
      <c r="E128" s="472" t="s">
        <v>45</v>
      </c>
      <c r="F128" s="473">
        <v>258</v>
      </c>
      <c r="G128" s="473">
        <f t="shared" si="54"/>
        <v>10.064</v>
      </c>
      <c r="H128" s="473">
        <f t="shared" si="78"/>
        <v>12.76</v>
      </c>
      <c r="I128" s="473">
        <f t="shared" si="79"/>
        <v>3292.08</v>
      </c>
      <c r="J128" s="47" t="e">
        <f>IF(B128&lt;&gt;0,VLOOKUP(B128,#REF!,4,FALSE),"")</f>
        <v>#REF!</v>
      </c>
      <c r="K128" s="378" t="s">
        <v>3044</v>
      </c>
      <c r="L128" s="47">
        <f t="shared" si="55"/>
        <v>-1.7759999999999998</v>
      </c>
      <c r="M128" s="47">
        <f t="shared" si="56"/>
        <v>2596.5120000000002</v>
      </c>
      <c r="N128" s="47"/>
      <c r="O128" s="47">
        <f t="shared" si="57"/>
        <v>3292.08</v>
      </c>
      <c r="P128" s="47" t="e">
        <f>IF(B128&lt;&gt;0,VLOOKUP(B128,#REF!,2,FALSE),"")</f>
        <v>#REF!</v>
      </c>
      <c r="Q128" s="34">
        <v>46.199999999999996</v>
      </c>
      <c r="R128" s="34">
        <f t="shared" si="82"/>
        <v>-211.8</v>
      </c>
      <c r="AD128" s="577"/>
      <c r="AE128" s="502"/>
      <c r="AF128" s="502"/>
      <c r="AG128" s="502"/>
      <c r="AH128" s="502"/>
      <c r="AI128" s="872">
        <f>AL128</f>
        <v>10.28</v>
      </c>
      <c r="AJ128" s="473">
        <f>ROUND(AI128*(1+$J$13),2)</f>
        <v>13.04</v>
      </c>
      <c r="AK128" s="562">
        <f t="shared" si="49"/>
        <v>3364.32</v>
      </c>
      <c r="AL128" s="788">
        <f>'PLANILHA ORÇA - CORREGEDORIA'!BG161</f>
        <v>10.28</v>
      </c>
    </row>
    <row r="129" spans="1:38" s="34" customFormat="1" ht="80.25" customHeight="1">
      <c r="A129" s="472" t="s">
        <v>3416</v>
      </c>
      <c r="B129" s="475">
        <v>92725</v>
      </c>
      <c r="C129" s="471" t="s">
        <v>1542</v>
      </c>
      <c r="D129" s="472" t="s">
        <v>1915</v>
      </c>
      <c r="E129" s="472" t="s">
        <v>35</v>
      </c>
      <c r="F129" s="473">
        <v>21.93</v>
      </c>
      <c r="G129" s="473">
        <f t="shared" si="54"/>
        <v>394.35749999999996</v>
      </c>
      <c r="H129" s="473">
        <f t="shared" si="78"/>
        <v>500.08</v>
      </c>
      <c r="I129" s="473">
        <f t="shared" si="79"/>
        <v>10966.75</v>
      </c>
      <c r="J129" s="474">
        <f>'COMPOSIÇÃO DE CUSTOS'!G130</f>
        <v>394.36</v>
      </c>
      <c r="K129" s="378">
        <v>463.95</v>
      </c>
      <c r="L129" s="47">
        <f t="shared" si="55"/>
        <v>-69.59250000000003</v>
      </c>
      <c r="M129" s="47">
        <f t="shared" si="56"/>
        <v>8648.259974999999</v>
      </c>
      <c r="N129" s="47"/>
      <c r="O129" s="47">
        <f t="shared" si="57"/>
        <v>10966.7544</v>
      </c>
      <c r="P129" s="47"/>
      <c r="R129" s="34">
        <f t="shared" si="82"/>
        <v>-21.93</v>
      </c>
      <c r="AD129" s="577"/>
      <c r="AE129" s="502"/>
      <c r="AF129" s="502"/>
      <c r="AG129" s="502"/>
      <c r="AH129" s="502"/>
      <c r="AI129" s="872">
        <f>AL129</f>
        <v>0</v>
      </c>
      <c r="AJ129" s="473">
        <f>ROUND(AI129*(1+$J$13),2)</f>
        <v>0</v>
      </c>
      <c r="AK129" s="562">
        <f t="shared" si="49"/>
        <v>0</v>
      </c>
      <c r="AL129" s="788">
        <f>'PLANILHA ORÇA - CORREGEDORIA'!BG163</f>
        <v>0</v>
      </c>
    </row>
    <row r="130" spans="1:38" s="45" customFormat="1" ht="21" customHeight="1">
      <c r="A130" s="77" t="s">
        <v>763</v>
      </c>
      <c r="B130" s="139"/>
      <c r="C130" s="340" t="s">
        <v>64</v>
      </c>
      <c r="D130" s="341"/>
      <c r="E130" s="341"/>
      <c r="F130" s="341"/>
      <c r="G130" s="26"/>
      <c r="H130" s="341"/>
      <c r="I130" s="96"/>
      <c r="J130" s="65" t="str">
        <f>IF(B130&lt;&gt;0,VLOOKUP(B130,#REF!,4,FALSE),"")</f>
        <v/>
      </c>
      <c r="K130" s="362" t="s">
        <v>1892</v>
      </c>
      <c r="L130" s="65"/>
      <c r="M130" s="65">
        <f t="shared" si="56"/>
        <v>0</v>
      </c>
      <c r="N130" s="65"/>
      <c r="O130" s="65">
        <f t="shared" si="57"/>
        <v>0</v>
      </c>
      <c r="P130" s="65" t="str">
        <f>IF(B130&lt;&gt;0,VLOOKUP(B130,#REF!,2,FALSE),"")</f>
        <v/>
      </c>
      <c r="R130" s="62">
        <f t="shared" si="82"/>
        <v>0</v>
      </c>
      <c r="AD130" s="56"/>
      <c r="AE130" s="481"/>
      <c r="AF130" s="481"/>
      <c r="AG130" s="481"/>
      <c r="AH130" s="481"/>
      <c r="AI130" s="552"/>
      <c r="AJ130" s="27"/>
      <c r="AK130" s="27"/>
      <c r="AL130" s="724"/>
    </row>
    <row r="131" spans="1:38" s="62" customFormat="1" ht="20.25" customHeight="1">
      <c r="A131" s="77" t="s">
        <v>764</v>
      </c>
      <c r="B131" s="139"/>
      <c r="C131" s="340" t="s">
        <v>69</v>
      </c>
      <c r="D131" s="341"/>
      <c r="E131" s="341"/>
      <c r="F131" s="341"/>
      <c r="G131" s="26"/>
      <c r="H131" s="341"/>
      <c r="I131" s="96"/>
      <c r="J131" s="65" t="str">
        <f>IF(B131&lt;&gt;0,VLOOKUP(B131,#REF!,4,FALSE),"")</f>
        <v/>
      </c>
      <c r="K131" s="362" t="s">
        <v>1892</v>
      </c>
      <c r="L131" s="65"/>
      <c r="M131" s="65">
        <f t="shared" si="56"/>
        <v>0</v>
      </c>
      <c r="N131" s="65"/>
      <c r="O131" s="65">
        <f t="shared" si="57"/>
        <v>0</v>
      </c>
      <c r="P131" s="65" t="str">
        <f>IF(B131&lt;&gt;0,VLOOKUP(B131,#REF!,2,FALSE),"")</f>
        <v/>
      </c>
      <c r="Q131" s="62">
        <v>13.45</v>
      </c>
      <c r="R131" s="62">
        <f t="shared" si="82"/>
        <v>13.45</v>
      </c>
      <c r="AD131" s="221"/>
      <c r="AE131" s="481"/>
      <c r="AF131" s="481"/>
      <c r="AG131" s="481"/>
      <c r="AH131" s="481"/>
      <c r="AI131" s="552"/>
      <c r="AJ131" s="27"/>
      <c r="AK131" s="27"/>
      <c r="AL131" s="224"/>
    </row>
    <row r="132" spans="1:38" s="62" customFormat="1" ht="99" customHeight="1">
      <c r="A132" s="25" t="s">
        <v>765</v>
      </c>
      <c r="B132" s="24">
        <v>72111</v>
      </c>
      <c r="C132" s="279" t="s">
        <v>2567</v>
      </c>
      <c r="D132" s="25" t="s">
        <v>1915</v>
      </c>
      <c r="E132" s="25" t="s">
        <v>26</v>
      </c>
      <c r="F132" s="26">
        <v>13.45</v>
      </c>
      <c r="G132" s="26">
        <f t="shared" si="54"/>
        <v>106.063</v>
      </c>
      <c r="H132" s="26">
        <f>ROUND(G132*(1+$J$13),2)</f>
        <v>134.5</v>
      </c>
      <c r="I132" s="26">
        <f t="shared" ref="I132" si="85">ROUND(H132*F132,2)</f>
        <v>1809.03</v>
      </c>
      <c r="J132" s="64">
        <f>'COMPOSIÇÃO DE CUSTOS'!G2279</f>
        <v>106.07</v>
      </c>
      <c r="K132" s="362">
        <v>124.78</v>
      </c>
      <c r="L132" s="65">
        <f t="shared" si="55"/>
        <v>-18.716999999999999</v>
      </c>
      <c r="M132" s="65">
        <f t="shared" si="56"/>
        <v>1426.5473500000001</v>
      </c>
      <c r="N132" s="65"/>
      <c r="O132" s="65">
        <f t="shared" si="57"/>
        <v>1809.0249999999999</v>
      </c>
      <c r="P132" s="65" t="e">
        <f>IF(B132&lt;&gt;0,VLOOKUP(B132,#REF!,2,FALSE),"")</f>
        <v>#REF!</v>
      </c>
      <c r="R132" s="62">
        <f t="shared" si="82"/>
        <v>-13.45</v>
      </c>
      <c r="AD132" s="221"/>
      <c r="AE132" s="481"/>
      <c r="AF132" s="481"/>
      <c r="AG132" s="481"/>
      <c r="AH132" s="481"/>
      <c r="AI132" s="873">
        <f t="shared" ref="AI132" si="86">ROUND(G132*$AM$11,2)</f>
        <v>118.16</v>
      </c>
      <c r="AJ132" s="26">
        <f t="shared" ref="AJ132" si="87">ROUND(AI132*(1+$J$13),2)</f>
        <v>149.84</v>
      </c>
      <c r="AK132" s="26">
        <f t="shared" ref="AK132" si="88">ROUND(AJ132*F132,2)</f>
        <v>2015.35</v>
      </c>
      <c r="AL132" s="224"/>
    </row>
    <row r="133" spans="1:38" s="62" customFormat="1" ht="27" customHeight="1">
      <c r="A133" s="25"/>
      <c r="B133" s="24"/>
      <c r="C133" s="23"/>
      <c r="D133" s="25"/>
      <c r="E133" s="25"/>
      <c r="F133" s="26"/>
      <c r="G133" s="26"/>
      <c r="H133" s="26"/>
      <c r="I133" s="26"/>
      <c r="J133" s="65" t="str">
        <f>IF(B133&lt;&gt;0,VLOOKUP(B133,#REF!,4,FALSE),"")</f>
        <v/>
      </c>
      <c r="K133" s="362" t="s">
        <v>1892</v>
      </c>
      <c r="L133" s="65"/>
      <c r="M133" s="65">
        <f t="shared" si="56"/>
        <v>0</v>
      </c>
      <c r="N133" s="65"/>
      <c r="O133" s="65">
        <f t="shared" si="57"/>
        <v>0</v>
      </c>
      <c r="P133" s="65" t="str">
        <f>IF(B133&lt;&gt;0,VLOOKUP(B133,#REF!,2,FALSE),"")</f>
        <v/>
      </c>
      <c r="R133" s="62">
        <f t="shared" si="82"/>
        <v>0</v>
      </c>
      <c r="AD133" s="221"/>
      <c r="AE133" s="481"/>
      <c r="AF133" s="481"/>
      <c r="AG133" s="481"/>
      <c r="AH133" s="481"/>
      <c r="AI133" s="552"/>
      <c r="AJ133" s="27"/>
      <c r="AK133" s="27"/>
      <c r="AL133" s="224"/>
    </row>
    <row r="134" spans="1:38" ht="15" customHeight="1">
      <c r="A134" s="77" t="s">
        <v>766</v>
      </c>
      <c r="B134" s="139"/>
      <c r="C134" s="340" t="s">
        <v>71</v>
      </c>
      <c r="D134" s="341"/>
      <c r="E134" s="341"/>
      <c r="F134" s="341"/>
      <c r="G134" s="26"/>
      <c r="H134" s="341"/>
      <c r="I134" s="96">
        <f>ROUND(SUM(I135:I137),2)</f>
        <v>48424.45</v>
      </c>
      <c r="J134" s="65" t="str">
        <f>IF(B134&lt;&gt;0,VLOOKUP(B134,#REF!,4,FALSE),"")</f>
        <v/>
      </c>
      <c r="K134" s="362" t="s">
        <v>1892</v>
      </c>
      <c r="L134" s="65"/>
      <c r="M134" s="65">
        <f t="shared" si="56"/>
        <v>0</v>
      </c>
      <c r="N134" s="65"/>
      <c r="O134" s="65">
        <f t="shared" si="57"/>
        <v>0</v>
      </c>
      <c r="P134" s="65" t="str">
        <f>IF(B134&lt;&gt;0,VLOOKUP(B134,#REF!,2,FALSE),"")</f>
        <v/>
      </c>
      <c r="Q134" s="2">
        <v>20</v>
      </c>
      <c r="R134" s="62">
        <f t="shared" si="82"/>
        <v>20</v>
      </c>
      <c r="AD134" s="21"/>
      <c r="AE134" s="481"/>
      <c r="AF134" s="481"/>
      <c r="AG134" s="481"/>
      <c r="AH134" s="481"/>
      <c r="AI134" s="552"/>
      <c r="AK134" s="96">
        <f>ROUND(SUM(AK135:AK137),2)</f>
        <v>52095.199999999997</v>
      </c>
    </row>
    <row r="135" spans="1:38" s="34" customFormat="1" ht="96.75" customHeight="1">
      <c r="A135" s="472" t="s">
        <v>767</v>
      </c>
      <c r="B135" s="478" t="s">
        <v>2498</v>
      </c>
      <c r="C135" s="471" t="s">
        <v>2694</v>
      </c>
      <c r="D135" s="472" t="s">
        <v>1915</v>
      </c>
      <c r="E135" s="472" t="s">
        <v>17</v>
      </c>
      <c r="F135" s="473">
        <v>20</v>
      </c>
      <c r="G135" s="473">
        <f>K135-(K135*$L$14)</f>
        <v>745.88350000000003</v>
      </c>
      <c r="H135" s="473">
        <f>ROUND(G135*(1+$J$13),2)</f>
        <v>945.85</v>
      </c>
      <c r="I135" s="473">
        <f t="shared" ref="I135:I137" si="89">ROUND(H135*F135,2)</f>
        <v>18917</v>
      </c>
      <c r="J135" s="474">
        <f>'COMPOSIÇÃO DE CUSTOS'!G206</f>
        <v>745.89</v>
      </c>
      <c r="K135" s="378">
        <v>877.51</v>
      </c>
      <c r="L135" s="47">
        <f t="shared" si="55"/>
        <v>-131.62649999999996</v>
      </c>
      <c r="M135" s="47">
        <f t="shared" si="56"/>
        <v>14917.67</v>
      </c>
      <c r="N135" s="47"/>
      <c r="O135" s="47">
        <f t="shared" si="57"/>
        <v>18917</v>
      </c>
      <c r="P135" s="47" t="e">
        <f>IF(B135&lt;&gt;0,VLOOKUP(B135,#REF!,2,FALSE),"")</f>
        <v>#REF!</v>
      </c>
      <c r="Q135" s="34">
        <v>7</v>
      </c>
      <c r="R135" s="34">
        <f t="shared" si="82"/>
        <v>-13</v>
      </c>
      <c r="AD135" s="577"/>
      <c r="AE135" s="502"/>
      <c r="AF135" s="502"/>
      <c r="AG135" s="502"/>
      <c r="AH135" s="502"/>
      <c r="AI135" s="872">
        <f>AL135</f>
        <v>757.97</v>
      </c>
      <c r="AJ135" s="473">
        <f>ROUND(AI135*(1+$J$13),2)</f>
        <v>961.18</v>
      </c>
      <c r="AK135" s="473">
        <f>ROUND(AJ135*F135,2)</f>
        <v>19223.599999999999</v>
      </c>
      <c r="AL135" s="788">
        <f>'PLANILHA ORÇA - CORREGEDORIA'!BG172</f>
        <v>757.97</v>
      </c>
    </row>
    <row r="136" spans="1:38" ht="117" customHeight="1">
      <c r="A136" s="25" t="s">
        <v>768</v>
      </c>
      <c r="B136" s="140" t="s">
        <v>2500</v>
      </c>
      <c r="C136" s="23" t="s">
        <v>2695</v>
      </c>
      <c r="D136" s="25" t="s">
        <v>1915</v>
      </c>
      <c r="E136" s="25" t="s">
        <v>17</v>
      </c>
      <c r="F136" s="26">
        <v>7</v>
      </c>
      <c r="G136" s="26">
        <f t="shared" si="54"/>
        <v>1076.5505000000001</v>
      </c>
      <c r="H136" s="26">
        <f>ROUND(G136*(1+$J$13),2)</f>
        <v>1365.17</v>
      </c>
      <c r="I136" s="26">
        <f t="shared" si="89"/>
        <v>9556.19</v>
      </c>
      <c r="J136" s="64">
        <f>'COMPOSIÇÃO DE CUSTOS'!G216</f>
        <v>1076.56</v>
      </c>
      <c r="K136" s="362">
        <v>1266.53</v>
      </c>
      <c r="L136" s="65">
        <f t="shared" si="55"/>
        <v>-189.97949999999992</v>
      </c>
      <c r="M136" s="65">
        <f t="shared" si="56"/>
        <v>7535.8535000000002</v>
      </c>
      <c r="N136" s="65"/>
      <c r="O136" s="65">
        <f t="shared" si="57"/>
        <v>9556.19</v>
      </c>
      <c r="P136" s="65" t="e">
        <f>IF(B136&lt;&gt;0,VLOOKUP(B136,#REF!,2,FALSE),"")</f>
        <v>#REF!</v>
      </c>
      <c r="Q136" s="2">
        <v>6</v>
      </c>
      <c r="R136" s="62">
        <f t="shared" si="82"/>
        <v>-1</v>
      </c>
      <c r="AD136" s="21"/>
      <c r="AE136" s="481"/>
      <c r="AF136" s="481"/>
      <c r="AG136" s="481"/>
      <c r="AH136" s="481"/>
      <c r="AI136" s="873">
        <f t="shared" ref="AI136" si="90">ROUND(G136*$AM$11,2)</f>
        <v>1199.29</v>
      </c>
      <c r="AJ136" s="26">
        <f t="shared" ref="AJ136" si="91">ROUND(AI136*(1+$J$13),2)</f>
        <v>1520.82</v>
      </c>
      <c r="AK136" s="26">
        <f t="shared" ref="AK136" si="92">ROUND(AJ136*F136,2)</f>
        <v>10645.74</v>
      </c>
    </row>
    <row r="137" spans="1:38" s="34" customFormat="1" ht="94.5" customHeight="1">
      <c r="A137" s="472" t="s">
        <v>2696</v>
      </c>
      <c r="B137" s="475" t="s">
        <v>2697</v>
      </c>
      <c r="C137" s="471" t="s">
        <v>2698</v>
      </c>
      <c r="D137" s="472" t="s">
        <v>44</v>
      </c>
      <c r="E137" s="472" t="s">
        <v>17</v>
      </c>
      <c r="F137" s="473">
        <v>6</v>
      </c>
      <c r="G137" s="473">
        <f t="shared" si="54"/>
        <v>2622.1990000000001</v>
      </c>
      <c r="H137" s="473">
        <f>ROUND(G137*(1+$J$13),2)</f>
        <v>3325.21</v>
      </c>
      <c r="I137" s="473">
        <f t="shared" si="89"/>
        <v>19951.259999999998</v>
      </c>
      <c r="J137" s="474">
        <f>'COMPOSIÇÃO DE CUSTOS'!G2354</f>
        <v>2622.21</v>
      </c>
      <c r="K137" s="378">
        <v>3084.94</v>
      </c>
      <c r="L137" s="47">
        <f t="shared" si="55"/>
        <v>-462.74099999999999</v>
      </c>
      <c r="M137" s="47">
        <f t="shared" si="56"/>
        <v>15733.194</v>
      </c>
      <c r="N137" s="47"/>
      <c r="O137" s="47">
        <f t="shared" si="57"/>
        <v>19951.260000000002</v>
      </c>
      <c r="P137" s="47" t="e">
        <f>IF(B137&lt;&gt;0,VLOOKUP(B137,#REF!,2,FALSE),"")</f>
        <v>#REF!</v>
      </c>
      <c r="R137" s="34">
        <f t="shared" si="82"/>
        <v>-6</v>
      </c>
      <c r="AD137" s="577"/>
      <c r="AE137" s="502"/>
      <c r="AF137" s="502"/>
      <c r="AG137" s="502"/>
      <c r="AH137" s="502"/>
      <c r="AI137" s="872">
        <f>AL137</f>
        <v>2921.15</v>
      </c>
      <c r="AJ137" s="473">
        <f>ROUND(AI137*(1+$J$13),2)</f>
        <v>3704.31</v>
      </c>
      <c r="AK137" s="473">
        <f>ROUND(AJ137*F137,2)</f>
        <v>22225.86</v>
      </c>
      <c r="AL137" s="788">
        <f>ROUND(G137*AM11,2)</f>
        <v>2921.15</v>
      </c>
    </row>
    <row r="138" spans="1:38" s="28" customFormat="1" ht="31.5" customHeight="1">
      <c r="A138" s="25"/>
      <c r="B138" s="24"/>
      <c r="C138" s="23"/>
      <c r="D138" s="25"/>
      <c r="E138" s="25"/>
      <c r="F138" s="26"/>
      <c r="G138" s="26"/>
      <c r="H138" s="26"/>
      <c r="I138" s="26"/>
      <c r="J138" s="65" t="str">
        <f>IF(B138&lt;&gt;0,VLOOKUP(B138,#REF!,4,FALSE),"")</f>
        <v/>
      </c>
      <c r="K138" s="362" t="s">
        <v>1892</v>
      </c>
      <c r="L138" s="65"/>
      <c r="M138" s="65"/>
      <c r="N138" s="65"/>
      <c r="O138" s="65">
        <f t="shared" si="57"/>
        <v>0</v>
      </c>
      <c r="P138" s="65" t="str">
        <f>IF(B138&lt;&gt;0,VLOOKUP(B138,#REF!,2,FALSE),"")</f>
        <v/>
      </c>
      <c r="R138" s="62">
        <f t="shared" si="82"/>
        <v>0</v>
      </c>
      <c r="AD138" s="370"/>
      <c r="AE138" s="481"/>
      <c r="AF138" s="481"/>
      <c r="AG138" s="481"/>
      <c r="AH138" s="481"/>
      <c r="AI138" s="552"/>
      <c r="AJ138" s="27"/>
      <c r="AK138" s="27"/>
      <c r="AL138" s="787"/>
    </row>
    <row r="139" spans="1:38" ht="21" customHeight="1">
      <c r="A139" s="77" t="s">
        <v>769</v>
      </c>
      <c r="B139" s="139"/>
      <c r="C139" s="340" t="s">
        <v>74</v>
      </c>
      <c r="D139" s="341"/>
      <c r="E139" s="341"/>
      <c r="F139" s="341"/>
      <c r="G139" s="26"/>
      <c r="H139" s="341"/>
      <c r="I139" s="96">
        <f>ROUND(SUM(I141:I147),2)</f>
        <v>96329.33</v>
      </c>
      <c r="J139" s="64" t="str">
        <f>IF(B139&lt;&gt;0,VLOOKUP(B139,#REF!,4,FALSE),"")</f>
        <v/>
      </c>
      <c r="K139" s="362" t="s">
        <v>1892</v>
      </c>
      <c r="L139" s="65"/>
      <c r="M139" s="65"/>
      <c r="N139" s="65"/>
      <c r="O139" s="65">
        <f t="shared" si="57"/>
        <v>0</v>
      </c>
      <c r="P139" s="65" t="str">
        <f>IF(B139&lt;&gt;0,VLOOKUP(B139,#REF!,2,FALSE),"")</f>
        <v/>
      </c>
      <c r="R139" s="62">
        <f t="shared" si="82"/>
        <v>0</v>
      </c>
      <c r="AD139" s="21"/>
      <c r="AE139" s="481"/>
      <c r="AF139" s="481"/>
      <c r="AG139" s="481"/>
      <c r="AH139" s="481"/>
      <c r="AI139" s="855"/>
      <c r="AJ139" s="481"/>
      <c r="AK139" s="548">
        <f>ROUND(SUM(AK141:AK147),2)</f>
        <v>225358.02</v>
      </c>
    </row>
    <row r="140" spans="1:38" ht="22.5" customHeight="1">
      <c r="A140" s="77" t="s">
        <v>770</v>
      </c>
      <c r="B140" s="139"/>
      <c r="C140" s="340" t="s">
        <v>75</v>
      </c>
      <c r="D140" s="341"/>
      <c r="E140" s="341"/>
      <c r="F140" s="341"/>
      <c r="G140" s="26"/>
      <c r="H140" s="341"/>
      <c r="I140" s="96"/>
      <c r="J140" s="65" t="str">
        <f>IF(B140&lt;&gt;0,VLOOKUP(B140,#REF!,4,FALSE),"")</f>
        <v/>
      </c>
      <c r="K140" s="362" t="s">
        <v>1892</v>
      </c>
      <c r="L140" s="65"/>
      <c r="M140" s="65"/>
      <c r="N140" s="65"/>
      <c r="O140" s="65">
        <f t="shared" si="57"/>
        <v>0</v>
      </c>
      <c r="P140" s="65" t="str">
        <f>IF(B140&lt;&gt;0,VLOOKUP(B140,#REF!,2,FALSE),"")</f>
        <v/>
      </c>
      <c r="Q140" s="2">
        <v>2</v>
      </c>
      <c r="R140" s="62">
        <f t="shared" si="82"/>
        <v>2</v>
      </c>
      <c r="AD140" s="21"/>
      <c r="AE140" s="481"/>
      <c r="AF140" s="481"/>
      <c r="AG140" s="481"/>
      <c r="AH140" s="481"/>
      <c r="AI140" s="855"/>
      <c r="AJ140" s="481"/>
      <c r="AK140" s="481"/>
    </row>
    <row r="141" spans="1:38" s="45" customFormat="1" ht="78" customHeight="1">
      <c r="A141" s="25" t="s">
        <v>771</v>
      </c>
      <c r="B141" s="24" t="s">
        <v>2699</v>
      </c>
      <c r="C141" s="23" t="s">
        <v>2700</v>
      </c>
      <c r="D141" s="25" t="s">
        <v>1915</v>
      </c>
      <c r="E141" s="25" t="s">
        <v>17</v>
      </c>
      <c r="F141" s="26">
        <v>2</v>
      </c>
      <c r="G141" s="26">
        <f t="shared" si="54"/>
        <v>1091.1025</v>
      </c>
      <c r="H141" s="26">
        <f>ROUND(G141*(1+$J$13),2)</f>
        <v>1383.63</v>
      </c>
      <c r="I141" s="26">
        <f t="shared" ref="I141:I144" si="93">ROUND(H141*F141,2)</f>
        <v>2767.26</v>
      </c>
      <c r="J141" s="64">
        <f>'COMPOSIÇÃO DE CUSTOS'!G2370</f>
        <v>1091.0899999999999</v>
      </c>
      <c r="K141" s="362">
        <v>1283.6500000000001</v>
      </c>
      <c r="L141" s="65">
        <f t="shared" si="55"/>
        <v>-192.54750000000013</v>
      </c>
      <c r="M141" s="65">
        <f t="shared" si="56"/>
        <v>2182.2049999999999</v>
      </c>
      <c r="N141" s="65"/>
      <c r="O141" s="65">
        <f t="shared" si="57"/>
        <v>2767.26</v>
      </c>
      <c r="P141" s="65" t="e">
        <f>IF(B141&lt;&gt;0,VLOOKUP(B141,#REF!,2,FALSE),"")</f>
        <v>#REF!</v>
      </c>
      <c r="Q141" s="45">
        <v>1</v>
      </c>
      <c r="R141" s="62">
        <f t="shared" si="82"/>
        <v>-1</v>
      </c>
      <c r="AD141" s="56"/>
      <c r="AE141" s="481"/>
      <c r="AF141" s="481"/>
      <c r="AG141" s="481"/>
      <c r="AH141" s="481"/>
      <c r="AI141" s="871">
        <f t="shared" ref="AI141:AI144" si="94">ROUND(G141*$AM$11,2)</f>
        <v>1215.5</v>
      </c>
      <c r="AJ141" s="158">
        <f t="shared" ref="AJ141:AJ144" si="95">ROUND(AI141*(1+$J$13),2)</f>
        <v>1541.38</v>
      </c>
      <c r="AK141" s="158">
        <f t="shared" ref="AK141:AK144" si="96">ROUND(AJ141*F141,2)</f>
        <v>3082.76</v>
      </c>
      <c r="AL141" s="724"/>
    </row>
    <row r="142" spans="1:38" s="62" customFormat="1" ht="76.5" customHeight="1">
      <c r="A142" s="25" t="s">
        <v>772</v>
      </c>
      <c r="B142" s="24" t="s">
        <v>2701</v>
      </c>
      <c r="C142" s="23" t="s">
        <v>2702</v>
      </c>
      <c r="D142" s="25" t="s">
        <v>1915</v>
      </c>
      <c r="E142" s="25" t="s">
        <v>17</v>
      </c>
      <c r="F142" s="26">
        <v>1</v>
      </c>
      <c r="G142" s="26">
        <f t="shared" si="54"/>
        <v>708.19449999999995</v>
      </c>
      <c r="H142" s="26">
        <f>ROUND(G142*(1+$J$13),2)</f>
        <v>898.06</v>
      </c>
      <c r="I142" s="26">
        <f t="shared" si="93"/>
        <v>898.06</v>
      </c>
      <c r="J142" s="64">
        <f>'COMPOSIÇÃO DE CUSTOS'!G2381</f>
        <v>708.18</v>
      </c>
      <c r="K142" s="362">
        <v>833.17</v>
      </c>
      <c r="L142" s="65">
        <f t="shared" si="55"/>
        <v>-124.97550000000001</v>
      </c>
      <c r="M142" s="65">
        <f t="shared" si="56"/>
        <v>708.19449999999995</v>
      </c>
      <c r="N142" s="65"/>
      <c r="O142" s="65">
        <f t="shared" si="57"/>
        <v>898.06</v>
      </c>
      <c r="P142" s="65" t="e">
        <f>IF(B142&lt;&gt;0,VLOOKUP(B142,#REF!,2,FALSE),"")</f>
        <v>#REF!</v>
      </c>
      <c r="Q142" s="62">
        <v>5</v>
      </c>
      <c r="R142" s="62">
        <f t="shared" si="82"/>
        <v>4</v>
      </c>
      <c r="AD142" s="221"/>
      <c r="AE142" s="481"/>
      <c r="AF142" s="481"/>
      <c r="AG142" s="481"/>
      <c r="AH142" s="481"/>
      <c r="AI142" s="871">
        <f t="shared" si="94"/>
        <v>788.93</v>
      </c>
      <c r="AJ142" s="158">
        <f t="shared" si="95"/>
        <v>1000.44</v>
      </c>
      <c r="AK142" s="158">
        <f t="shared" si="96"/>
        <v>1000.44</v>
      </c>
      <c r="AL142" s="224"/>
    </row>
    <row r="143" spans="1:38" s="62" customFormat="1" ht="78.75" customHeight="1">
      <c r="A143" s="25" t="s">
        <v>773</v>
      </c>
      <c r="B143" s="24" t="s">
        <v>2703</v>
      </c>
      <c r="C143" s="23" t="s">
        <v>2704</v>
      </c>
      <c r="D143" s="25" t="s">
        <v>1915</v>
      </c>
      <c r="E143" s="25" t="s">
        <v>17</v>
      </c>
      <c r="F143" s="26">
        <v>5</v>
      </c>
      <c r="G143" s="26">
        <f t="shared" si="54"/>
        <v>876.79200000000003</v>
      </c>
      <c r="H143" s="26">
        <f>ROUND(G143*(1+$J$13),2)</f>
        <v>1111.8599999999999</v>
      </c>
      <c r="I143" s="26">
        <f t="shared" si="93"/>
        <v>5559.3</v>
      </c>
      <c r="J143" s="64">
        <f>'COMPOSIÇÃO DE CUSTOS'!G2391</f>
        <v>876.79</v>
      </c>
      <c r="K143" s="362">
        <v>1031.52</v>
      </c>
      <c r="L143" s="65">
        <f t="shared" si="55"/>
        <v>-154.72799999999995</v>
      </c>
      <c r="M143" s="65">
        <f t="shared" si="56"/>
        <v>4383.96</v>
      </c>
      <c r="N143" s="65"/>
      <c r="O143" s="65">
        <f t="shared" si="57"/>
        <v>5559.2999999999993</v>
      </c>
      <c r="P143" s="65" t="e">
        <f>IF(B143&lt;&gt;0,VLOOKUP(B143,#REF!,2,FALSE),"")</f>
        <v>#REF!</v>
      </c>
      <c r="Q143" s="62">
        <v>3</v>
      </c>
      <c r="R143" s="62">
        <f t="shared" si="82"/>
        <v>-2</v>
      </c>
      <c r="AD143" s="221"/>
      <c r="AE143" s="481"/>
      <c r="AF143" s="481"/>
      <c r="AG143" s="481"/>
      <c r="AH143" s="481"/>
      <c r="AI143" s="878">
        <f t="shared" si="94"/>
        <v>976.75</v>
      </c>
      <c r="AJ143" s="159">
        <f t="shared" si="95"/>
        <v>1238.6199999999999</v>
      </c>
      <c r="AK143" s="159">
        <f t="shared" si="96"/>
        <v>6193.1</v>
      </c>
      <c r="AL143" s="224"/>
    </row>
    <row r="144" spans="1:38" s="62" customFormat="1" ht="75">
      <c r="A144" s="25" t="s">
        <v>774</v>
      </c>
      <c r="B144" s="24" t="s">
        <v>2705</v>
      </c>
      <c r="C144" s="23" t="s">
        <v>2706</v>
      </c>
      <c r="D144" s="25" t="s">
        <v>1915</v>
      </c>
      <c r="E144" s="25" t="s">
        <v>17</v>
      </c>
      <c r="F144" s="26">
        <v>3</v>
      </c>
      <c r="G144" s="26">
        <f t="shared" si="54"/>
        <v>1818.4475</v>
      </c>
      <c r="H144" s="26">
        <f>ROUND(G144*(1+$J$13),2)</f>
        <v>2305.9699999999998</v>
      </c>
      <c r="I144" s="26">
        <f t="shared" si="93"/>
        <v>6917.91</v>
      </c>
      <c r="J144" s="64">
        <f>'COMPOSIÇÃO DE CUSTOS'!G2402</f>
        <v>1818.44</v>
      </c>
      <c r="K144" s="362">
        <v>2139.35</v>
      </c>
      <c r="L144" s="65">
        <f t="shared" si="55"/>
        <v>-320.90249999999992</v>
      </c>
      <c r="M144" s="65">
        <f t="shared" si="56"/>
        <v>5455.3424999999997</v>
      </c>
      <c r="N144" s="65"/>
      <c r="O144" s="65">
        <f t="shared" si="57"/>
        <v>6917.91</v>
      </c>
      <c r="P144" s="65" t="e">
        <f>IF(B144&lt;&gt;0,VLOOKUP(B144,#REF!,2,FALSE),"")</f>
        <v>#REF!</v>
      </c>
      <c r="R144" s="62">
        <f t="shared" si="82"/>
        <v>-3</v>
      </c>
      <c r="AD144" s="221"/>
      <c r="AE144" s="481"/>
      <c r="AF144" s="481"/>
      <c r="AG144" s="481"/>
      <c r="AH144" s="481"/>
      <c r="AI144" s="873">
        <f t="shared" si="94"/>
        <v>2025.77</v>
      </c>
      <c r="AJ144" s="26">
        <f t="shared" si="95"/>
        <v>2568.88</v>
      </c>
      <c r="AK144" s="26">
        <f t="shared" si="96"/>
        <v>7706.64</v>
      </c>
      <c r="AL144" s="224"/>
    </row>
    <row r="145" spans="1:42" s="62" customFormat="1">
      <c r="A145" s="77" t="s">
        <v>778</v>
      </c>
      <c r="B145" s="139"/>
      <c r="C145" s="340" t="s">
        <v>82</v>
      </c>
      <c r="D145" s="341"/>
      <c r="E145" s="341"/>
      <c r="F145" s="341"/>
      <c r="G145" s="26"/>
      <c r="H145" s="341"/>
      <c r="I145" s="96"/>
      <c r="J145" s="65" t="str">
        <f>IF(B145&lt;&gt;0,VLOOKUP(B145,#REF!,4,FALSE),"")</f>
        <v/>
      </c>
      <c r="K145" s="362" t="s">
        <v>1892</v>
      </c>
      <c r="L145" s="65"/>
      <c r="M145" s="65">
        <f t="shared" si="56"/>
        <v>0</v>
      </c>
      <c r="N145" s="65"/>
      <c r="O145" s="65">
        <f t="shared" si="57"/>
        <v>0</v>
      </c>
      <c r="P145" s="65" t="str">
        <f>IF(B145&lt;&gt;0,VLOOKUP(B145,#REF!,2,FALSE),"")</f>
        <v/>
      </c>
      <c r="Q145" s="62">
        <v>113.49</v>
      </c>
      <c r="R145" s="62">
        <f t="shared" si="82"/>
        <v>113.49</v>
      </c>
      <c r="AD145" s="221"/>
      <c r="AE145" s="481"/>
      <c r="AF145" s="481"/>
      <c r="AG145" s="481"/>
      <c r="AH145" s="481"/>
      <c r="AI145" s="552"/>
      <c r="AJ145" s="27"/>
      <c r="AK145" s="552"/>
      <c r="AL145" s="556" t="s">
        <v>4088</v>
      </c>
      <c r="AM145" s="556" t="s">
        <v>4089</v>
      </c>
    </row>
    <row r="146" spans="1:42" s="34" customFormat="1" ht="45">
      <c r="A146" s="472" t="s">
        <v>779</v>
      </c>
      <c r="B146" s="475" t="s">
        <v>2707</v>
      </c>
      <c r="C146" s="471" t="s">
        <v>2708</v>
      </c>
      <c r="D146" s="472" t="s">
        <v>1915</v>
      </c>
      <c r="E146" s="472" t="s">
        <v>26</v>
      </c>
      <c r="F146" s="473">
        <v>111.98</v>
      </c>
      <c r="G146" s="473">
        <f t="shared" si="54"/>
        <v>550.76600000000008</v>
      </c>
      <c r="H146" s="473">
        <f>ROUND(G146*(1+$J$13),2)</f>
        <v>698.43</v>
      </c>
      <c r="I146" s="473">
        <f t="shared" ref="I146:I147" si="97">ROUND(H146*F146,2)</f>
        <v>78210.19</v>
      </c>
      <c r="J146" s="474">
        <f>'COMPOSIÇÃO DE CUSTOS'!G2414</f>
        <v>550.77</v>
      </c>
      <c r="K146" s="378">
        <v>647.96</v>
      </c>
      <c r="L146" s="47">
        <f t="shared" si="55"/>
        <v>-97.19399999999996</v>
      </c>
      <c r="M146" s="47">
        <f t="shared" si="56"/>
        <v>61674.77668000001</v>
      </c>
      <c r="N146" s="47"/>
      <c r="O146" s="47">
        <f t="shared" si="57"/>
        <v>78210.191399999996</v>
      </c>
      <c r="P146" s="47" t="e">
        <f>IF(B146&lt;&gt;0,VLOOKUP(B146,#REF!,2,FALSE),"")</f>
        <v>#REF!</v>
      </c>
      <c r="Q146" s="34">
        <v>2.2000000000000002</v>
      </c>
      <c r="R146" s="34">
        <f t="shared" si="82"/>
        <v>-109.78</v>
      </c>
      <c r="AD146" s="577"/>
      <c r="AE146" s="502"/>
      <c r="AF146" s="502"/>
      <c r="AG146" s="502"/>
      <c r="AH146" s="502"/>
      <c r="AI146" s="872">
        <f>MEDIAN(AL146:AM146)</f>
        <v>1444.8661499999998</v>
      </c>
      <c r="AJ146" s="473">
        <f>ROUND(AI146*(1+$J$13),2)</f>
        <v>1832.23</v>
      </c>
      <c r="AK146" s="578">
        <f>ROUND(AJ146*F146,2)</f>
        <v>205173.12</v>
      </c>
      <c r="AL146" s="502">
        <v>1308.8623</v>
      </c>
      <c r="AM146" s="502">
        <v>1580.87</v>
      </c>
    </row>
    <row r="147" spans="1:42" s="62" customFormat="1" ht="30">
      <c r="A147" s="25" t="s">
        <v>2709</v>
      </c>
      <c r="B147" s="24" t="s">
        <v>2710</v>
      </c>
      <c r="C147" s="23" t="s">
        <v>2711</v>
      </c>
      <c r="D147" s="25" t="s">
        <v>1915</v>
      </c>
      <c r="E147" s="25" t="s">
        <v>26</v>
      </c>
      <c r="F147" s="26">
        <v>2.2000000000000002</v>
      </c>
      <c r="G147" s="26">
        <f t="shared" si="54"/>
        <v>708.50900000000001</v>
      </c>
      <c r="H147" s="26">
        <f>ROUND(G147*(1+$J$13),2)</f>
        <v>898.46</v>
      </c>
      <c r="I147" s="26">
        <f t="shared" si="97"/>
        <v>1976.61</v>
      </c>
      <c r="J147" s="64">
        <f>'COMPOSIÇÃO DE CUSTOS'!G2427</f>
        <v>708.49</v>
      </c>
      <c r="K147" s="362">
        <v>833.54</v>
      </c>
      <c r="L147" s="65">
        <f t="shared" si="55"/>
        <v>-125.03099999999995</v>
      </c>
      <c r="M147" s="65">
        <f t="shared" si="56"/>
        <v>1558.7198000000001</v>
      </c>
      <c r="N147" s="65"/>
      <c r="O147" s="65">
        <f t="shared" si="57"/>
        <v>1976.6120000000003</v>
      </c>
      <c r="P147" s="65" t="e">
        <f>IF(B147&lt;&gt;0,VLOOKUP(B147,#REF!,2,FALSE),"")</f>
        <v>#REF!</v>
      </c>
      <c r="R147" s="62">
        <f t="shared" si="82"/>
        <v>-2.2000000000000002</v>
      </c>
      <c r="AD147" s="221"/>
      <c r="AE147" s="481"/>
      <c r="AF147" s="481"/>
      <c r="AG147" s="481"/>
      <c r="AH147" s="481"/>
      <c r="AI147" s="873">
        <f t="shared" ref="AI147" si="98">ROUND(G147*$AM$11,2)</f>
        <v>789.28</v>
      </c>
      <c r="AJ147" s="26">
        <f t="shared" ref="AJ147" si="99">ROUND(AI147*(1+$J$13),2)</f>
        <v>1000.89</v>
      </c>
      <c r="AK147" s="157">
        <f t="shared" ref="AK147" si="100">ROUND(AJ147*F147,2)</f>
        <v>2201.96</v>
      </c>
      <c r="AL147" s="795"/>
      <c r="AM147" s="556"/>
      <c r="AP147" s="62" t="s">
        <v>4090</v>
      </c>
    </row>
    <row r="148" spans="1:42" s="62" customFormat="1">
      <c r="A148" s="25"/>
      <c r="B148" s="24"/>
      <c r="C148" s="23"/>
      <c r="D148" s="25"/>
      <c r="E148" s="25"/>
      <c r="F148" s="26"/>
      <c r="G148" s="26"/>
      <c r="H148" s="26"/>
      <c r="I148" s="26"/>
      <c r="J148" s="65" t="str">
        <f>IF(B148&lt;&gt;0,VLOOKUP(B148,#REF!,4,FALSE),"")</f>
        <v/>
      </c>
      <c r="K148" s="362" t="s">
        <v>1892</v>
      </c>
      <c r="L148" s="65"/>
      <c r="M148" s="65">
        <f t="shared" si="56"/>
        <v>0</v>
      </c>
      <c r="N148" s="65"/>
      <c r="O148" s="65">
        <f t="shared" si="57"/>
        <v>0</v>
      </c>
      <c r="P148" s="65" t="str">
        <f>IF(B148&lt;&gt;0,VLOOKUP(B148,#REF!,2,FALSE),"")</f>
        <v/>
      </c>
      <c r="R148" s="62">
        <f t="shared" si="82"/>
        <v>0</v>
      </c>
      <c r="AD148" s="221"/>
      <c r="AE148" s="481"/>
      <c r="AF148" s="481"/>
      <c r="AG148" s="481"/>
      <c r="AH148" s="481"/>
      <c r="AI148" s="552"/>
      <c r="AJ148" s="27"/>
      <c r="AK148" s="552"/>
      <c r="AL148" s="795"/>
      <c r="AM148" s="556"/>
      <c r="AP148" s="62">
        <f>AK146+AK150</f>
        <v>242183.4</v>
      </c>
    </row>
    <row r="149" spans="1:42" s="62" customFormat="1">
      <c r="A149" s="77" t="s">
        <v>780</v>
      </c>
      <c r="B149" s="139"/>
      <c r="C149" s="340" t="s">
        <v>84</v>
      </c>
      <c r="D149" s="341"/>
      <c r="E149" s="341"/>
      <c r="F149" s="341"/>
      <c r="G149" s="26"/>
      <c r="H149" s="341"/>
      <c r="I149" s="96">
        <f>ROUND(SUM(I150:I150),2)</f>
        <v>15317.5</v>
      </c>
      <c r="J149" s="65" t="str">
        <f>IF(B149&lt;&gt;0,VLOOKUP(B149,#REF!,4,FALSE),"")</f>
        <v/>
      </c>
      <c r="K149" s="362" t="s">
        <v>1892</v>
      </c>
      <c r="L149" s="65"/>
      <c r="M149" s="65">
        <f t="shared" si="56"/>
        <v>0</v>
      </c>
      <c r="N149" s="65"/>
      <c r="O149" s="65">
        <f t="shared" si="57"/>
        <v>0</v>
      </c>
      <c r="P149" s="65" t="str">
        <f>IF(B149&lt;&gt;0,VLOOKUP(B149,#REF!,2,FALSE),"")</f>
        <v/>
      </c>
      <c r="Q149" s="62">
        <v>17.038</v>
      </c>
      <c r="R149" s="62">
        <f t="shared" si="82"/>
        <v>17.038</v>
      </c>
      <c r="AD149" s="221"/>
      <c r="AE149" s="481"/>
      <c r="AF149" s="481"/>
      <c r="AG149" s="481"/>
      <c r="AH149" s="481"/>
      <c r="AI149" s="855"/>
      <c r="AJ149" s="481"/>
      <c r="AK149" s="105">
        <f>ROUND(SUM(AK150:AK150),2)</f>
        <v>37010.28</v>
      </c>
      <c r="AL149" s="795"/>
      <c r="AM149" s="556"/>
    </row>
    <row r="150" spans="1:42" s="34" customFormat="1" ht="39.75" customHeight="1">
      <c r="A150" s="472" t="s">
        <v>781</v>
      </c>
      <c r="B150" s="475" t="s">
        <v>2637</v>
      </c>
      <c r="C150" s="471" t="s">
        <v>2712</v>
      </c>
      <c r="D150" s="472" t="s">
        <v>1915</v>
      </c>
      <c r="E150" s="472" t="s">
        <v>26</v>
      </c>
      <c r="F150" s="473">
        <v>17.038</v>
      </c>
      <c r="G150" s="473">
        <f t="shared" ref="G150:G213" si="101">K150-(K150*$L$14)</f>
        <v>708.95100000000002</v>
      </c>
      <c r="H150" s="473">
        <f>ROUND(G150*(1+$J$13),2)</f>
        <v>899.02</v>
      </c>
      <c r="I150" s="473">
        <f t="shared" ref="I150" si="102">ROUND(H150*F150,2)</f>
        <v>15317.5</v>
      </c>
      <c r="J150" s="474">
        <f>'COMPOSIÇÃO DE CUSTOS'!G313</f>
        <v>708.95</v>
      </c>
      <c r="K150" s="378">
        <v>834.06</v>
      </c>
      <c r="L150" s="47">
        <f t="shared" ref="L150:L213" si="103">G150-K150</f>
        <v>-125.10899999999992</v>
      </c>
      <c r="M150" s="47">
        <f t="shared" ref="M150:M213" si="104">F150*G150</f>
        <v>12079.107138000001</v>
      </c>
      <c r="N150" s="47"/>
      <c r="O150" s="47">
        <f t="shared" ref="O150:O213" si="105">F150*H150</f>
        <v>15317.502759999999</v>
      </c>
      <c r="P150" s="47" t="e">
        <f>IF(B150&lt;&gt;0,VLOOKUP(B150,#REF!,2,FALSE),"")</f>
        <v>#REF!</v>
      </c>
      <c r="R150" s="34">
        <f t="shared" si="82"/>
        <v>-17.038</v>
      </c>
      <c r="AD150" s="577"/>
      <c r="AE150" s="502"/>
      <c r="AF150" s="502"/>
      <c r="AG150" s="502"/>
      <c r="AH150" s="502"/>
      <c r="AI150" s="880">
        <f>MEDIAN(AL150:AM150)</f>
        <v>1712.97</v>
      </c>
      <c r="AJ150" s="573">
        <f>ROUND(AI150*(1+$J$13),2)</f>
        <v>2172.2199999999998</v>
      </c>
      <c r="AK150" s="578">
        <f>ROUND(AJ150*F150,2)</f>
        <v>37010.28</v>
      </c>
      <c r="AL150" s="502">
        <v>2200</v>
      </c>
      <c r="AM150" s="502">
        <v>1225.94</v>
      </c>
    </row>
    <row r="151" spans="1:42" s="62" customFormat="1">
      <c r="A151" s="564"/>
      <c r="B151" s="160"/>
      <c r="C151" s="161"/>
      <c r="D151" s="564"/>
      <c r="E151" s="564"/>
      <c r="F151" s="155"/>
      <c r="G151" s="155"/>
      <c r="H151" s="155"/>
      <c r="I151" s="155"/>
      <c r="J151" s="66" t="str">
        <f>IF(B151&lt;&gt;0,VLOOKUP(B151,#REF!,4,FALSE),"")</f>
        <v/>
      </c>
      <c r="K151" s="385" t="s">
        <v>1892</v>
      </c>
      <c r="L151" s="67"/>
      <c r="M151" s="67">
        <f t="shared" si="104"/>
        <v>0</v>
      </c>
      <c r="N151" s="67"/>
      <c r="O151" s="67">
        <f t="shared" si="105"/>
        <v>0</v>
      </c>
      <c r="P151" s="67" t="str">
        <f>IF(B151&lt;&gt;0,VLOOKUP(B151,#REF!,2,FALSE),"")</f>
        <v/>
      </c>
      <c r="Q151" s="221"/>
      <c r="R151" s="221">
        <f t="shared" si="82"/>
        <v>0</v>
      </c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481"/>
      <c r="AF151" s="481"/>
      <c r="AG151" s="481"/>
      <c r="AH151" s="481"/>
      <c r="AI151" s="552"/>
      <c r="AJ151" s="552"/>
      <c r="AK151" s="552"/>
      <c r="AL151" s="224"/>
    </row>
    <row r="152" spans="1:42" s="62" customFormat="1">
      <c r="A152" s="566" t="s">
        <v>783</v>
      </c>
      <c r="B152" s="581"/>
      <c r="C152" s="150" t="s">
        <v>90</v>
      </c>
      <c r="D152" s="553"/>
      <c r="E152" s="553"/>
      <c r="F152" s="553"/>
      <c r="G152" s="158"/>
      <c r="H152" s="553"/>
      <c r="I152" s="563">
        <f>SUM(I153:I153)</f>
        <v>28593.82</v>
      </c>
      <c r="J152" s="560" t="str">
        <f>IF(B152&lt;&gt;0,VLOOKUP(B152,#REF!,4,FALSE),"")</f>
        <v/>
      </c>
      <c r="K152" s="558" t="s">
        <v>1892</v>
      </c>
      <c r="L152" s="557"/>
      <c r="M152" s="557">
        <f t="shared" si="104"/>
        <v>0</v>
      </c>
      <c r="N152" s="557"/>
      <c r="O152" s="557">
        <f t="shared" si="105"/>
        <v>0</v>
      </c>
      <c r="P152" s="557" t="str">
        <f>IF(B152&lt;&gt;0,VLOOKUP(B152,#REF!,2,FALSE),"")</f>
        <v/>
      </c>
      <c r="Q152" s="556">
        <v>42.315000000000005</v>
      </c>
      <c r="R152" s="556">
        <f t="shared" si="82"/>
        <v>42.315000000000005</v>
      </c>
      <c r="S152" s="556"/>
      <c r="T152" s="556"/>
      <c r="U152" s="556"/>
      <c r="V152" s="556"/>
      <c r="W152" s="556"/>
      <c r="X152" s="556"/>
      <c r="Y152" s="556"/>
      <c r="Z152" s="556"/>
      <c r="AA152" s="556"/>
      <c r="AB152" s="556"/>
      <c r="AC152" s="556"/>
      <c r="AD152" s="875"/>
      <c r="AE152" s="481"/>
      <c r="AF152" s="481"/>
      <c r="AG152" s="481"/>
      <c r="AH152" s="481"/>
      <c r="AI152" s="855"/>
      <c r="AJ152" s="481"/>
      <c r="AK152" s="563">
        <f>SUM(AK153:AK153)</f>
        <v>33491.370000000003</v>
      </c>
      <c r="AL152" s="224"/>
    </row>
    <row r="153" spans="1:42" s="34" customFormat="1" ht="46.5" customHeight="1">
      <c r="A153" s="582" t="s">
        <v>784</v>
      </c>
      <c r="B153" s="583" t="s">
        <v>2676</v>
      </c>
      <c r="C153" s="584" t="s">
        <v>91</v>
      </c>
      <c r="D153" s="582" t="s">
        <v>1915</v>
      </c>
      <c r="E153" s="582" t="s">
        <v>26</v>
      </c>
      <c r="F153" s="562">
        <v>44.39</v>
      </c>
      <c r="G153" s="562">
        <f t="shared" si="101"/>
        <v>507.96850000000001</v>
      </c>
      <c r="H153" s="562">
        <f>ROUND(G153*(1+$J$13),2)</f>
        <v>644.15</v>
      </c>
      <c r="I153" s="562">
        <f t="shared" ref="I153" si="106">ROUND(H153*F153,2)</f>
        <v>28593.82</v>
      </c>
      <c r="J153" s="585">
        <f>'COMPOSIÇÃO DE CUSTOS'!G2333</f>
        <v>507.98</v>
      </c>
      <c r="K153" s="579">
        <v>597.61</v>
      </c>
      <c r="L153" s="523">
        <f t="shared" si="103"/>
        <v>-89.641500000000008</v>
      </c>
      <c r="M153" s="523">
        <f t="shared" si="104"/>
        <v>22548.721715</v>
      </c>
      <c r="N153" s="523"/>
      <c r="O153" s="523">
        <f t="shared" si="105"/>
        <v>28593.818499999998</v>
      </c>
      <c r="P153" s="523" t="e">
        <f>IF(B153&lt;&gt;0,VLOOKUP(B153,#REF!,2,FALSE),"")</f>
        <v>#REF!</v>
      </c>
      <c r="Q153" s="502"/>
      <c r="R153" s="502">
        <f t="shared" si="82"/>
        <v>-44.39</v>
      </c>
      <c r="S153" s="502"/>
      <c r="T153" s="502"/>
      <c r="U153" s="502"/>
      <c r="V153" s="502"/>
      <c r="W153" s="502"/>
      <c r="X153" s="502"/>
      <c r="Y153" s="502"/>
      <c r="Z153" s="502"/>
      <c r="AA153" s="502"/>
      <c r="AB153" s="502"/>
      <c r="AC153" s="502"/>
      <c r="AD153" s="876"/>
      <c r="AE153" s="502"/>
      <c r="AF153" s="502"/>
      <c r="AG153" s="502"/>
      <c r="AH153" s="502"/>
      <c r="AI153" s="879">
        <f>AL153</f>
        <v>594.97</v>
      </c>
      <c r="AJ153" s="473">
        <f>ROUND(AI153*(1+$J$13),2)</f>
        <v>754.48</v>
      </c>
      <c r="AK153" s="562">
        <f>ROUND(AJ153*F153,2)</f>
        <v>33491.370000000003</v>
      </c>
      <c r="AL153" s="788">
        <f>'PLANILHA ORÇA - CORREGEDORIA'!BG196</f>
        <v>594.97</v>
      </c>
    </row>
    <row r="154" spans="1:42" s="45" customFormat="1" ht="19.5" customHeight="1">
      <c r="A154" s="565"/>
      <c r="B154" s="154"/>
      <c r="C154" s="153"/>
      <c r="D154" s="565"/>
      <c r="E154" s="565"/>
      <c r="F154" s="159"/>
      <c r="G154" s="159"/>
      <c r="H154" s="159"/>
      <c r="I154" s="159"/>
      <c r="J154" s="67" t="str">
        <f>IF(B154&lt;&gt;0,VLOOKUP(B154,#REF!,4,FALSE),"")</f>
        <v/>
      </c>
      <c r="K154" s="385" t="s">
        <v>1892</v>
      </c>
      <c r="L154" s="67"/>
      <c r="M154" s="67"/>
      <c r="N154" s="67"/>
      <c r="O154" s="67">
        <f t="shared" si="105"/>
        <v>0</v>
      </c>
      <c r="P154" s="67" t="str">
        <f>IF(B154&lt;&gt;0,VLOOKUP(B154,#REF!,2,FALSE),"")</f>
        <v/>
      </c>
      <c r="Q154" s="56"/>
      <c r="R154" s="221">
        <f t="shared" si="82"/>
        <v>0</v>
      </c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481"/>
      <c r="AF154" s="481"/>
      <c r="AG154" s="481"/>
      <c r="AH154" s="481"/>
      <c r="AI154" s="552"/>
      <c r="AJ154" s="552"/>
      <c r="AK154" s="552"/>
      <c r="AL154" s="724"/>
    </row>
    <row r="155" spans="1:42" s="62" customFormat="1" ht="20.25" customHeight="1">
      <c r="A155" s="77" t="s">
        <v>785</v>
      </c>
      <c r="B155" s="139"/>
      <c r="C155" s="340" t="s">
        <v>92</v>
      </c>
      <c r="D155" s="341"/>
      <c r="E155" s="341"/>
      <c r="F155" s="341"/>
      <c r="G155" s="26"/>
      <c r="H155" s="341"/>
      <c r="I155" s="96">
        <f>ROUND(SUM(I156:I161),2)</f>
        <v>164866.06</v>
      </c>
      <c r="J155" s="65" t="str">
        <f>IF(B155&lt;&gt;0,VLOOKUP(B155,#REF!,4,FALSE),"")</f>
        <v/>
      </c>
      <c r="K155" s="362" t="s">
        <v>1892</v>
      </c>
      <c r="L155" s="65"/>
      <c r="M155" s="65"/>
      <c r="N155" s="65"/>
      <c r="O155" s="65">
        <f t="shared" si="105"/>
        <v>0</v>
      </c>
      <c r="P155" s="65" t="str">
        <f>IF(B155&lt;&gt;0,VLOOKUP(B155,#REF!,2,FALSE),"")</f>
        <v/>
      </c>
      <c r="Q155" s="62">
        <v>409.52</v>
      </c>
      <c r="R155" s="62">
        <f t="shared" si="82"/>
        <v>409.52</v>
      </c>
      <c r="AD155" s="221"/>
      <c r="AE155" s="481"/>
      <c r="AF155" s="481"/>
      <c r="AG155" s="481"/>
      <c r="AH155" s="481"/>
      <c r="AI155" s="552"/>
      <c r="AJ155" s="27"/>
      <c r="AK155" s="96">
        <f>ROUND(SUM(AK156:AK161),2)</f>
        <v>213458.9</v>
      </c>
      <c r="AL155" s="224"/>
    </row>
    <row r="156" spans="1:42" s="34" customFormat="1" ht="60" customHeight="1">
      <c r="A156" s="472" t="s">
        <v>786</v>
      </c>
      <c r="B156" s="475">
        <v>92580</v>
      </c>
      <c r="C156" s="471" t="s">
        <v>1565</v>
      </c>
      <c r="D156" s="472" t="s">
        <v>12</v>
      </c>
      <c r="E156" s="472" t="s">
        <v>26</v>
      </c>
      <c r="F156" s="473">
        <v>409.52</v>
      </c>
      <c r="G156" s="473">
        <f t="shared" si="101"/>
        <v>37.4255</v>
      </c>
      <c r="H156" s="473">
        <f t="shared" ref="H156:H161" si="107">ROUND(G156*(1+$J$13),2)</f>
        <v>47.46</v>
      </c>
      <c r="I156" s="473">
        <f t="shared" ref="I156:I161" si="108">ROUND(H156*F156,2)</f>
        <v>19435.82</v>
      </c>
      <c r="J156" s="47" t="e">
        <f>IF(B156&lt;&gt;0,VLOOKUP(B156,#REF!,4,FALSE),"")</f>
        <v>#REF!</v>
      </c>
      <c r="K156" s="378" t="s">
        <v>3212</v>
      </c>
      <c r="L156" s="47">
        <f t="shared" si="103"/>
        <v>-6.6045000000000016</v>
      </c>
      <c r="M156" s="47">
        <f t="shared" si="104"/>
        <v>15326.490759999999</v>
      </c>
      <c r="N156" s="47"/>
      <c r="O156" s="47">
        <f t="shared" si="105"/>
        <v>19435.819199999998</v>
      </c>
      <c r="P156" s="47" t="e">
        <f>IF(B156&lt;&gt;0,VLOOKUP(B156,#REF!,2,FALSE),"")</f>
        <v>#REF!</v>
      </c>
      <c r="Q156" s="34">
        <v>409.52</v>
      </c>
      <c r="R156" s="34">
        <f t="shared" si="82"/>
        <v>0</v>
      </c>
      <c r="AD156" s="577"/>
      <c r="AE156" s="502"/>
      <c r="AF156" s="502"/>
      <c r="AG156" s="502"/>
      <c r="AH156" s="502"/>
      <c r="AI156" s="872">
        <f>AL156</f>
        <v>47.35</v>
      </c>
      <c r="AJ156" s="473">
        <f>ROUND(AI156*(1+$J$13),2)</f>
        <v>60.04</v>
      </c>
      <c r="AK156" s="473">
        <f>ROUND(AJ156*F156,2)</f>
        <v>24587.58</v>
      </c>
      <c r="AL156" s="788">
        <f>'PLANILHA ORÇA - CORREGEDORIA'!BG199</f>
        <v>47.35</v>
      </c>
    </row>
    <row r="157" spans="1:42" s="34" customFormat="1" ht="63.75" customHeight="1">
      <c r="A157" s="472" t="s">
        <v>787</v>
      </c>
      <c r="B157" s="475">
        <v>94216</v>
      </c>
      <c r="C157" s="471" t="s">
        <v>1566</v>
      </c>
      <c r="D157" s="472" t="s">
        <v>12</v>
      </c>
      <c r="E157" s="472" t="s">
        <v>26</v>
      </c>
      <c r="F157" s="473">
        <v>409.52</v>
      </c>
      <c r="G157" s="473">
        <f t="shared" si="101"/>
        <v>185.30849999999998</v>
      </c>
      <c r="H157" s="473">
        <f t="shared" si="107"/>
        <v>234.99</v>
      </c>
      <c r="I157" s="473">
        <f t="shared" si="108"/>
        <v>96233.1</v>
      </c>
      <c r="J157" s="47" t="e">
        <f>IF(B157&lt;&gt;0,VLOOKUP(B157,#REF!,4,FALSE),"")</f>
        <v>#REF!</v>
      </c>
      <c r="K157" s="378" t="s">
        <v>3147</v>
      </c>
      <c r="L157" s="47">
        <f t="shared" si="103"/>
        <v>-32.70150000000001</v>
      </c>
      <c r="M157" s="47">
        <f t="shared" si="104"/>
        <v>75887.536919999984</v>
      </c>
      <c r="N157" s="47"/>
      <c r="O157" s="47">
        <f t="shared" si="105"/>
        <v>96233.104800000001</v>
      </c>
      <c r="P157" s="47" t="e">
        <f>IF(B157&lt;&gt;0,VLOOKUP(B157,#REF!,2,FALSE),"")</f>
        <v>#REF!</v>
      </c>
      <c r="Q157" s="34">
        <v>194.5</v>
      </c>
      <c r="R157" s="34">
        <f t="shared" ref="R157:R183" si="109">Q157-F157</f>
        <v>-215.01999999999998</v>
      </c>
      <c r="AD157" s="577"/>
      <c r="AE157" s="502"/>
      <c r="AF157" s="502"/>
      <c r="AG157" s="502"/>
      <c r="AH157" s="502"/>
      <c r="AI157" s="872">
        <f>AL157</f>
        <v>258.16000000000003</v>
      </c>
      <c r="AJ157" s="473">
        <f>ROUND(AI157*(1+$J$13),2)</f>
        <v>327.37</v>
      </c>
      <c r="AK157" s="473">
        <f>ROUND(AJ157*F157,2)</f>
        <v>134064.56</v>
      </c>
      <c r="AL157" s="788">
        <f>'PLANILHA ORÇA - CORREGEDORIA'!BG200</f>
        <v>258.16000000000003</v>
      </c>
    </row>
    <row r="158" spans="1:42" s="27" customFormat="1" ht="60">
      <c r="A158" s="25" t="s">
        <v>788</v>
      </c>
      <c r="B158" s="24">
        <v>71623</v>
      </c>
      <c r="C158" s="23" t="s">
        <v>93</v>
      </c>
      <c r="D158" s="25" t="s">
        <v>1915</v>
      </c>
      <c r="E158" s="25" t="s">
        <v>52</v>
      </c>
      <c r="F158" s="26">
        <v>194.5</v>
      </c>
      <c r="G158" s="26">
        <f t="shared" si="101"/>
        <v>26.8855</v>
      </c>
      <c r="H158" s="26">
        <f t="shared" si="107"/>
        <v>34.090000000000003</v>
      </c>
      <c r="I158" s="26">
        <f t="shared" si="108"/>
        <v>6630.51</v>
      </c>
      <c r="J158" s="64">
        <f>'COMPOSIÇÃO DE CUSTOS'!G367</f>
        <v>26.88</v>
      </c>
      <c r="K158" s="362">
        <v>31.63</v>
      </c>
      <c r="L158" s="65">
        <f t="shared" si="103"/>
        <v>-4.7444999999999986</v>
      </c>
      <c r="M158" s="65">
        <f t="shared" si="104"/>
        <v>5229.2297500000004</v>
      </c>
      <c r="N158" s="65"/>
      <c r="O158" s="65">
        <f t="shared" si="105"/>
        <v>6630.505000000001</v>
      </c>
      <c r="P158" s="65" t="e">
        <f>IF(B158&lt;&gt;0,VLOOKUP(B158,#REF!,2,FALSE),"")</f>
        <v>#REF!</v>
      </c>
      <c r="Q158" s="27">
        <v>80</v>
      </c>
      <c r="R158" s="62">
        <f t="shared" si="109"/>
        <v>-114.5</v>
      </c>
      <c r="AD158" s="552"/>
      <c r="AE158" s="481"/>
      <c r="AF158" s="481"/>
      <c r="AG158" s="481"/>
      <c r="AH158" s="481"/>
      <c r="AI158" s="873">
        <f t="shared" ref="AI158:AI159" si="110">ROUND(G158*$AM$11,2)</f>
        <v>29.95</v>
      </c>
      <c r="AJ158" s="26">
        <f t="shared" ref="AJ158:AJ159" si="111">ROUND(AI158*(1+$J$13),2)</f>
        <v>37.979999999999997</v>
      </c>
      <c r="AK158" s="26">
        <f t="shared" ref="AK158:AK159" si="112">ROUND(AJ158*F158,2)</f>
        <v>7387.11</v>
      </c>
      <c r="AL158" s="790"/>
    </row>
    <row r="159" spans="1:42" s="62" customFormat="1" ht="30">
      <c r="A159" s="25" t="s">
        <v>789</v>
      </c>
      <c r="B159" s="24" t="s">
        <v>2073</v>
      </c>
      <c r="C159" s="23" t="s">
        <v>94</v>
      </c>
      <c r="D159" s="25" t="s">
        <v>1915</v>
      </c>
      <c r="E159" s="25" t="s">
        <v>52</v>
      </c>
      <c r="F159" s="26">
        <v>80</v>
      </c>
      <c r="G159" s="26">
        <f t="shared" si="101"/>
        <v>29.384499999999999</v>
      </c>
      <c r="H159" s="26">
        <f t="shared" si="107"/>
        <v>37.26</v>
      </c>
      <c r="I159" s="26">
        <f t="shared" si="108"/>
        <v>2980.8</v>
      </c>
      <c r="J159" s="64">
        <f>'COMPOSIÇÃO DE CUSTOS'!G376</f>
        <v>29.37</v>
      </c>
      <c r="K159" s="362">
        <v>34.57</v>
      </c>
      <c r="L159" s="65">
        <f t="shared" si="103"/>
        <v>-5.1855000000000011</v>
      </c>
      <c r="M159" s="65">
        <f t="shared" si="104"/>
        <v>2350.7599999999998</v>
      </c>
      <c r="N159" s="65"/>
      <c r="O159" s="65">
        <f t="shared" si="105"/>
        <v>2980.7999999999997</v>
      </c>
      <c r="P159" s="65" t="e">
        <f>IF(B159&lt;&gt;0,VLOOKUP(B159,#REF!,2,FALSE),"")</f>
        <v>#REF!</v>
      </c>
      <c r="Q159" s="62">
        <v>154.19</v>
      </c>
      <c r="R159" s="62">
        <f t="shared" si="109"/>
        <v>74.19</v>
      </c>
      <c r="AD159" s="221"/>
      <c r="AE159" s="481"/>
      <c r="AF159" s="481"/>
      <c r="AG159" s="481"/>
      <c r="AH159" s="481"/>
      <c r="AI159" s="873">
        <f t="shared" si="110"/>
        <v>32.729999999999997</v>
      </c>
      <c r="AJ159" s="26">
        <f t="shared" si="111"/>
        <v>41.5</v>
      </c>
      <c r="AK159" s="26">
        <f t="shared" si="112"/>
        <v>3320</v>
      </c>
      <c r="AL159" s="224"/>
    </row>
    <row r="160" spans="1:42" s="34" customFormat="1" ht="27.75" customHeight="1">
      <c r="A160" s="472" t="s">
        <v>790</v>
      </c>
      <c r="B160" s="475" t="s">
        <v>2713</v>
      </c>
      <c r="C160" s="471" t="s">
        <v>2714</v>
      </c>
      <c r="D160" s="472" t="s">
        <v>70</v>
      </c>
      <c r="E160" s="472" t="s">
        <v>52</v>
      </c>
      <c r="F160" s="473">
        <v>154.19</v>
      </c>
      <c r="G160" s="473">
        <f t="shared" si="101"/>
        <v>195.99299999999999</v>
      </c>
      <c r="H160" s="473">
        <f t="shared" si="107"/>
        <v>248.54</v>
      </c>
      <c r="I160" s="473">
        <f t="shared" si="108"/>
        <v>38322.379999999997</v>
      </c>
      <c r="J160" s="474">
        <f>'COMPOSIÇÃO DE CUSTOS'!G2443</f>
        <v>196</v>
      </c>
      <c r="K160" s="378">
        <v>230.58</v>
      </c>
      <c r="L160" s="47">
        <f t="shared" si="103"/>
        <v>-34.587000000000018</v>
      </c>
      <c r="M160" s="47">
        <f t="shared" si="104"/>
        <v>30220.160669999997</v>
      </c>
      <c r="N160" s="47"/>
      <c r="O160" s="47">
        <f t="shared" si="105"/>
        <v>38322.382599999997</v>
      </c>
      <c r="P160" s="47" t="e">
        <f>IF(B160&lt;&gt;0,VLOOKUP(B160,#REF!,2,FALSE),"")</f>
        <v>#REF!</v>
      </c>
      <c r="Q160" s="34">
        <v>20.88</v>
      </c>
      <c r="R160" s="34">
        <f t="shared" si="109"/>
        <v>-133.31</v>
      </c>
      <c r="AD160" s="577"/>
      <c r="AE160" s="502"/>
      <c r="AF160" s="502"/>
      <c r="AG160" s="502"/>
      <c r="AH160" s="502"/>
      <c r="AI160" s="872">
        <f>AL160</f>
        <v>218.34</v>
      </c>
      <c r="AJ160" s="473">
        <f>ROUND(AI160*(1+$J$13),2)</f>
        <v>276.88</v>
      </c>
      <c r="AK160" s="473">
        <f>ROUND(AJ160*F160,2)</f>
        <v>42692.13</v>
      </c>
      <c r="AL160" s="788">
        <f>ROUND(G160*AM11,2)</f>
        <v>218.34</v>
      </c>
    </row>
    <row r="161" spans="1:38" s="45" customFormat="1" ht="30">
      <c r="A161" s="25" t="s">
        <v>791</v>
      </c>
      <c r="B161" s="24">
        <v>100563</v>
      </c>
      <c r="C161" s="23" t="s">
        <v>95</v>
      </c>
      <c r="D161" s="25" t="s">
        <v>1915</v>
      </c>
      <c r="E161" s="25" t="s">
        <v>26</v>
      </c>
      <c r="F161" s="26">
        <v>20.88</v>
      </c>
      <c r="G161" s="26">
        <f t="shared" si="101"/>
        <v>47.719000000000001</v>
      </c>
      <c r="H161" s="26">
        <f t="shared" si="107"/>
        <v>60.51</v>
      </c>
      <c r="I161" s="26">
        <f t="shared" si="108"/>
        <v>1263.45</v>
      </c>
      <c r="J161" s="64">
        <f>'COMPOSIÇÃO DE CUSTOS'!G386</f>
        <v>47.72</v>
      </c>
      <c r="K161" s="362">
        <v>56.14</v>
      </c>
      <c r="L161" s="65">
        <f t="shared" si="103"/>
        <v>-8.4209999999999994</v>
      </c>
      <c r="M161" s="65">
        <f t="shared" si="104"/>
        <v>996.37271999999996</v>
      </c>
      <c r="N161" s="65"/>
      <c r="O161" s="65">
        <f t="shared" si="105"/>
        <v>1263.4487999999999</v>
      </c>
      <c r="P161" s="65"/>
      <c r="R161" s="62">
        <f t="shared" si="109"/>
        <v>-20.88</v>
      </c>
      <c r="AD161" s="56"/>
      <c r="AE161" s="481"/>
      <c r="AF161" s="481"/>
      <c r="AG161" s="481"/>
      <c r="AH161" s="481"/>
      <c r="AI161" s="873">
        <f t="shared" ref="AI161" si="113">ROUND(G161*$AM$11,2)</f>
        <v>53.16</v>
      </c>
      <c r="AJ161" s="26">
        <f t="shared" ref="AJ161" si="114">ROUND(AI161*(1+$J$13),2)</f>
        <v>67.41</v>
      </c>
      <c r="AK161" s="26">
        <f t="shared" ref="AK161" si="115">ROUND(AJ161*F161,2)</f>
        <v>1407.52</v>
      </c>
      <c r="AL161" s="724"/>
    </row>
    <row r="162" spans="1:38" s="27" customFormat="1" ht="19.5" customHeight="1">
      <c r="A162" s="564"/>
      <c r="B162" s="160"/>
      <c r="C162" s="161"/>
      <c r="D162" s="564"/>
      <c r="E162" s="564"/>
      <c r="F162" s="155"/>
      <c r="G162" s="155"/>
      <c r="H162" s="155"/>
      <c r="I162" s="155"/>
      <c r="J162" s="67" t="str">
        <f>IF(B162&lt;&gt;0,VLOOKUP(B162,#REF!,4,FALSE),"")</f>
        <v/>
      </c>
      <c r="K162" s="385" t="s">
        <v>1892</v>
      </c>
      <c r="L162" s="67"/>
      <c r="M162" s="67">
        <f t="shared" si="104"/>
        <v>0</v>
      </c>
      <c r="N162" s="67"/>
      <c r="O162" s="67">
        <f t="shared" si="105"/>
        <v>0</v>
      </c>
      <c r="P162" s="67" t="str">
        <f>IF(B162&lt;&gt;0,VLOOKUP(B162,#REF!,2,FALSE),"")</f>
        <v/>
      </c>
      <c r="Q162" s="552"/>
      <c r="R162" s="221">
        <f t="shared" si="109"/>
        <v>0</v>
      </c>
      <c r="S162" s="552"/>
      <c r="T162" s="552"/>
      <c r="U162" s="552"/>
      <c r="V162" s="552"/>
      <c r="W162" s="552"/>
      <c r="X162" s="552"/>
      <c r="Y162" s="552"/>
      <c r="Z162" s="552"/>
      <c r="AA162" s="552"/>
      <c r="AB162" s="552"/>
      <c r="AC162" s="552"/>
      <c r="AD162" s="552"/>
      <c r="AE162" s="481"/>
      <c r="AF162" s="481"/>
      <c r="AG162" s="481"/>
      <c r="AH162" s="481"/>
      <c r="AI162" s="552"/>
      <c r="AJ162" s="552"/>
      <c r="AK162" s="552"/>
      <c r="AL162" s="790"/>
    </row>
    <row r="163" spans="1:38" ht="22.5" customHeight="1">
      <c r="A163" s="566" t="s">
        <v>792</v>
      </c>
      <c r="B163" s="581"/>
      <c r="C163" s="150" t="s">
        <v>96</v>
      </c>
      <c r="D163" s="553"/>
      <c r="E163" s="553"/>
      <c r="F163" s="553"/>
      <c r="G163" s="158"/>
      <c r="H163" s="553"/>
      <c r="I163" s="563">
        <f>ROUND(SUM(I164:I165),2)</f>
        <v>93401.33</v>
      </c>
      <c r="J163" s="557" t="str">
        <f>IF(B163&lt;&gt;0,VLOOKUP(B163,#REF!,4,FALSE),"")</f>
        <v/>
      </c>
      <c r="K163" s="558" t="s">
        <v>1892</v>
      </c>
      <c r="L163" s="557"/>
      <c r="M163" s="557">
        <f t="shared" si="104"/>
        <v>0</v>
      </c>
      <c r="N163" s="557"/>
      <c r="O163" s="557">
        <f t="shared" si="105"/>
        <v>0</v>
      </c>
      <c r="P163" s="557" t="str">
        <f>IF(B163&lt;&gt;0,VLOOKUP(B163,#REF!,2,FALSE),"")</f>
        <v/>
      </c>
      <c r="Q163" s="239">
        <v>347.4</v>
      </c>
      <c r="R163" s="556">
        <f t="shared" si="109"/>
        <v>347.4</v>
      </c>
      <c r="S163" s="239"/>
      <c r="T163" s="239"/>
      <c r="U163" s="239"/>
      <c r="V163" s="239"/>
      <c r="W163" s="239"/>
      <c r="X163" s="239"/>
      <c r="Y163" s="239"/>
      <c r="Z163" s="239"/>
      <c r="AA163" s="239"/>
      <c r="AB163" s="239"/>
      <c r="AC163" s="239"/>
      <c r="AD163" s="854"/>
      <c r="AE163" s="481"/>
      <c r="AF163" s="481"/>
      <c r="AG163" s="481"/>
      <c r="AH163" s="481"/>
      <c r="AI163" s="855"/>
      <c r="AJ163" s="481"/>
      <c r="AK163" s="563">
        <f>ROUND(SUM(AK164:AK165),2)</f>
        <v>108470.38</v>
      </c>
    </row>
    <row r="164" spans="1:38" s="34" customFormat="1" ht="36.75" customHeight="1">
      <c r="A164" s="582" t="s">
        <v>793</v>
      </c>
      <c r="B164" s="583">
        <v>96114</v>
      </c>
      <c r="C164" s="584" t="s">
        <v>2686</v>
      </c>
      <c r="D164" s="582" t="s">
        <v>12</v>
      </c>
      <c r="E164" s="582" t="s">
        <v>26</v>
      </c>
      <c r="F164" s="562">
        <v>347.4</v>
      </c>
      <c r="G164" s="562">
        <f t="shared" si="101"/>
        <v>51.705500000000001</v>
      </c>
      <c r="H164" s="562">
        <f>ROUND(G164*(1+$J$13),2)</f>
        <v>65.569999999999993</v>
      </c>
      <c r="I164" s="562">
        <f t="shared" ref="I164:I165" si="116">ROUND(H164*F164,2)</f>
        <v>22779.02</v>
      </c>
      <c r="J164" s="523" t="e">
        <f>IF(B164&lt;&gt;0,VLOOKUP(B164,#REF!,4,FALSE),"")</f>
        <v>#REF!</v>
      </c>
      <c r="K164" s="579" t="s">
        <v>3308</v>
      </c>
      <c r="L164" s="523">
        <f t="shared" si="103"/>
        <v>-9.1244999999999976</v>
      </c>
      <c r="M164" s="523">
        <f t="shared" si="104"/>
        <v>17962.490699999998</v>
      </c>
      <c r="N164" s="523"/>
      <c r="O164" s="523">
        <f t="shared" si="105"/>
        <v>22779.017999999996</v>
      </c>
      <c r="P164" s="523" t="e">
        <f>IF(B164&lt;&gt;0,VLOOKUP(B164,#REF!,2,FALSE),"")</f>
        <v>#REF!</v>
      </c>
      <c r="Q164" s="502">
        <v>727.99</v>
      </c>
      <c r="R164" s="502">
        <f t="shared" si="109"/>
        <v>380.59000000000003</v>
      </c>
      <c r="S164" s="502"/>
      <c r="T164" s="502"/>
      <c r="U164" s="502"/>
      <c r="V164" s="502"/>
      <c r="W164" s="502"/>
      <c r="X164" s="502"/>
      <c r="Y164" s="502"/>
      <c r="Z164" s="502"/>
      <c r="AA164" s="502"/>
      <c r="AB164" s="502"/>
      <c r="AC164" s="502"/>
      <c r="AD164" s="876"/>
      <c r="AE164" s="502"/>
      <c r="AF164" s="502"/>
      <c r="AG164" s="502"/>
      <c r="AH164" s="502"/>
      <c r="AI164" s="879">
        <f>AL164</f>
        <v>67.64</v>
      </c>
      <c r="AJ164" s="473">
        <f>ROUND(AI164*(1+$J$13),2)</f>
        <v>85.77</v>
      </c>
      <c r="AK164" s="562">
        <f>ROUND(AJ164*F164,2)</f>
        <v>29796.5</v>
      </c>
      <c r="AL164" s="788">
        <f>'PLANILHA ORÇA - CORREGEDORIA'!BG207</f>
        <v>67.64</v>
      </c>
    </row>
    <row r="165" spans="1:38" s="34" customFormat="1" ht="30">
      <c r="A165" s="582" t="s">
        <v>794</v>
      </c>
      <c r="B165" s="583">
        <v>9083</v>
      </c>
      <c r="C165" s="584" t="s">
        <v>2715</v>
      </c>
      <c r="D165" s="582" t="s">
        <v>44</v>
      </c>
      <c r="E165" s="582" t="s">
        <v>26</v>
      </c>
      <c r="F165" s="562">
        <v>727.99</v>
      </c>
      <c r="G165" s="562">
        <f t="shared" si="101"/>
        <v>76.5</v>
      </c>
      <c r="H165" s="562">
        <f>ROUND(G165*(1+$J$13),2)</f>
        <v>97.01</v>
      </c>
      <c r="I165" s="562">
        <f t="shared" si="116"/>
        <v>70622.31</v>
      </c>
      <c r="J165" s="585">
        <f>'COMPOSIÇÃO DE CUSTOS'!G2359</f>
        <v>76.5</v>
      </c>
      <c r="K165" s="579">
        <v>90</v>
      </c>
      <c r="L165" s="523">
        <f t="shared" si="103"/>
        <v>-13.5</v>
      </c>
      <c r="M165" s="523">
        <f t="shared" si="104"/>
        <v>55691.235000000001</v>
      </c>
      <c r="N165" s="523"/>
      <c r="O165" s="523">
        <f t="shared" si="105"/>
        <v>70622.309900000007</v>
      </c>
      <c r="P165" s="523" t="e">
        <f>IF(B165&lt;&gt;0,VLOOKUP(B165,#REF!,2,FALSE),"")</f>
        <v>#REF!</v>
      </c>
      <c r="Q165" s="502"/>
      <c r="R165" s="502">
        <f t="shared" si="109"/>
        <v>-727.99</v>
      </c>
      <c r="S165" s="502"/>
      <c r="T165" s="502"/>
      <c r="U165" s="502"/>
      <c r="V165" s="502"/>
      <c r="W165" s="502"/>
      <c r="X165" s="502"/>
      <c r="Y165" s="502"/>
      <c r="Z165" s="502"/>
      <c r="AA165" s="502"/>
      <c r="AB165" s="502"/>
      <c r="AC165" s="502"/>
      <c r="AD165" s="876"/>
      <c r="AE165" s="502"/>
      <c r="AF165" s="502"/>
      <c r="AG165" s="502"/>
      <c r="AH165" s="502"/>
      <c r="AI165" s="879">
        <f>AL165</f>
        <v>85.22</v>
      </c>
      <c r="AJ165" s="473">
        <f>ROUND(AI165*(1+$J$13),2)</f>
        <v>108.07</v>
      </c>
      <c r="AK165" s="562">
        <f>ROUND(AJ165*F165,2)</f>
        <v>78673.88</v>
      </c>
      <c r="AL165" s="788">
        <f>ROUND(G165*AM11,2)</f>
        <v>85.22</v>
      </c>
    </row>
    <row r="166" spans="1:38">
      <c r="A166" s="565"/>
      <c r="B166" s="154"/>
      <c r="C166" s="153"/>
      <c r="D166" s="565"/>
      <c r="E166" s="565"/>
      <c r="F166" s="159"/>
      <c r="G166" s="159"/>
      <c r="H166" s="159"/>
      <c r="I166" s="580"/>
      <c r="J166" s="67" t="str">
        <f>IF(B166&lt;&gt;0,VLOOKUP(B166,#REF!,4,FALSE),"")</f>
        <v/>
      </c>
      <c r="K166" s="385" t="s">
        <v>1892</v>
      </c>
      <c r="L166" s="67"/>
      <c r="M166" s="67">
        <f t="shared" si="104"/>
        <v>0</v>
      </c>
      <c r="N166" s="67"/>
      <c r="O166" s="67">
        <f t="shared" si="105"/>
        <v>0</v>
      </c>
      <c r="P166" s="67" t="str">
        <f>IF(B166&lt;&gt;0,VLOOKUP(B166,#REF!,2,FALSE),"")</f>
        <v/>
      </c>
      <c r="Q166" s="21"/>
      <c r="R166" s="221">
        <f t="shared" si="109"/>
        <v>0</v>
      </c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481"/>
      <c r="AF166" s="481"/>
      <c r="AG166" s="481"/>
      <c r="AH166" s="481"/>
      <c r="AI166" s="552"/>
      <c r="AJ166" s="552"/>
      <c r="AK166" s="552"/>
    </row>
    <row r="167" spans="1:38" s="62" customFormat="1" ht="21" customHeight="1">
      <c r="A167" s="77" t="s">
        <v>795</v>
      </c>
      <c r="B167" s="139"/>
      <c r="C167" s="340" t="s">
        <v>98</v>
      </c>
      <c r="D167" s="341"/>
      <c r="E167" s="341"/>
      <c r="F167" s="341"/>
      <c r="G167" s="26"/>
      <c r="H167" s="156"/>
      <c r="I167" s="563">
        <f>ROUND(SUM(I168:I176),2)</f>
        <v>180547.32</v>
      </c>
      <c r="J167" s="557" t="str">
        <f>IF(B167&lt;&gt;0,VLOOKUP(B167,#REF!,4,FALSE),"")</f>
        <v/>
      </c>
      <c r="K167" s="558" t="s">
        <v>1892</v>
      </c>
      <c r="L167" s="557"/>
      <c r="M167" s="557">
        <f t="shared" si="104"/>
        <v>0</v>
      </c>
      <c r="N167" s="557"/>
      <c r="O167" s="557">
        <f t="shared" si="105"/>
        <v>0</v>
      </c>
      <c r="P167" s="557" t="str">
        <f>IF(B167&lt;&gt;0,VLOOKUP(B167,#REF!,2,FALSE),"")</f>
        <v/>
      </c>
      <c r="Q167" s="556">
        <v>3341.9679999999998</v>
      </c>
      <c r="R167" s="556">
        <f t="shared" si="109"/>
        <v>3341.9679999999998</v>
      </c>
      <c r="S167" s="556"/>
      <c r="T167" s="556"/>
      <c r="U167" s="556"/>
      <c r="V167" s="556"/>
      <c r="W167" s="556"/>
      <c r="X167" s="556"/>
      <c r="Y167" s="556"/>
      <c r="Z167" s="556"/>
      <c r="AA167" s="556"/>
      <c r="AB167" s="556"/>
      <c r="AC167" s="556"/>
      <c r="AD167" s="875"/>
      <c r="AE167" s="481"/>
      <c r="AF167" s="481"/>
      <c r="AG167" s="481"/>
      <c r="AH167" s="481"/>
      <c r="AI167" s="855"/>
      <c r="AJ167" s="481"/>
      <c r="AK167" s="563">
        <f>ROUND(SUM(AK168:AK176),2)</f>
        <v>204137.13</v>
      </c>
      <c r="AL167" s="224"/>
    </row>
    <row r="168" spans="1:38" s="62" customFormat="1" ht="60">
      <c r="A168" s="25" t="s">
        <v>796</v>
      </c>
      <c r="B168" s="24">
        <v>87878</v>
      </c>
      <c r="C168" s="23" t="s">
        <v>1567</v>
      </c>
      <c r="D168" s="25" t="s">
        <v>12</v>
      </c>
      <c r="E168" s="25" t="s">
        <v>26</v>
      </c>
      <c r="F168" s="26">
        <v>3341.9679999999998</v>
      </c>
      <c r="G168" s="26">
        <f t="shared" si="101"/>
        <v>2.9155000000000002</v>
      </c>
      <c r="H168" s="157">
        <f t="shared" ref="H168:H176" si="117">ROUND(G168*(1+$J$13),2)</f>
        <v>3.7</v>
      </c>
      <c r="I168" s="158">
        <f t="shared" ref="I168:I176" si="118">ROUND(H168*F168,2)</f>
        <v>12365.28</v>
      </c>
      <c r="J168" s="557" t="e">
        <f>IF(B168&lt;&gt;0,VLOOKUP(B168,#REF!,4,FALSE),"")</f>
        <v>#REF!</v>
      </c>
      <c r="K168" s="558" t="s">
        <v>3135</v>
      </c>
      <c r="L168" s="557">
        <f t="shared" si="103"/>
        <v>-0.51449999999999996</v>
      </c>
      <c r="M168" s="557">
        <f t="shared" si="104"/>
        <v>9743.5077039999996</v>
      </c>
      <c r="N168" s="557"/>
      <c r="O168" s="557">
        <f t="shared" si="105"/>
        <v>12365.2816</v>
      </c>
      <c r="P168" s="557" t="e">
        <f>IF(B168&lt;&gt;0,VLOOKUP(B168,#REF!,2,FALSE),"")</f>
        <v>#REF!</v>
      </c>
      <c r="Q168" s="556">
        <v>1976.5</v>
      </c>
      <c r="R168" s="556">
        <f t="shared" si="109"/>
        <v>-1365.4679999999998</v>
      </c>
      <c r="S168" s="556"/>
      <c r="T168" s="556"/>
      <c r="U168" s="556"/>
      <c r="V168" s="556"/>
      <c r="W168" s="556"/>
      <c r="X168" s="556"/>
      <c r="Y168" s="556"/>
      <c r="Z168" s="556"/>
      <c r="AA168" s="556"/>
      <c r="AB168" s="556"/>
      <c r="AC168" s="556"/>
      <c r="AD168" s="875"/>
      <c r="AE168" s="481"/>
      <c r="AF168" s="481"/>
      <c r="AG168" s="481"/>
      <c r="AH168" s="481"/>
      <c r="AI168" s="871">
        <f t="shared" ref="AI168" si="119">ROUND(G168*$AM$11,2)</f>
        <v>3.25</v>
      </c>
      <c r="AJ168" s="158">
        <f t="shared" ref="AJ168" si="120">ROUND(AI168*(1+$J$13),2)</f>
        <v>4.12</v>
      </c>
      <c r="AK168" s="158">
        <f t="shared" ref="AK168" si="121">ROUND(AJ168*F168,2)</f>
        <v>13768.91</v>
      </c>
      <c r="AL168" s="224"/>
    </row>
    <row r="169" spans="1:38" s="34" customFormat="1" ht="90">
      <c r="A169" s="472" t="s">
        <v>797</v>
      </c>
      <c r="B169" s="475">
        <v>87556</v>
      </c>
      <c r="C169" s="471" t="s">
        <v>2716</v>
      </c>
      <c r="D169" s="472" t="s">
        <v>12</v>
      </c>
      <c r="E169" s="472" t="s">
        <v>26</v>
      </c>
      <c r="F169" s="473">
        <v>1976.5</v>
      </c>
      <c r="G169" s="473">
        <f t="shared" si="101"/>
        <v>27.9055</v>
      </c>
      <c r="H169" s="578">
        <f t="shared" si="117"/>
        <v>35.39</v>
      </c>
      <c r="I169" s="562">
        <f t="shared" si="118"/>
        <v>69948.34</v>
      </c>
      <c r="J169" s="523" t="e">
        <f>IF(B169&lt;&gt;0,VLOOKUP(B169,#REF!,4,FALSE),"")</f>
        <v>#REF!</v>
      </c>
      <c r="K169" s="579" t="s">
        <v>3145</v>
      </c>
      <c r="L169" s="523">
        <f t="shared" si="103"/>
        <v>-4.9244999999999983</v>
      </c>
      <c r="M169" s="523">
        <f t="shared" si="104"/>
        <v>55155.22075</v>
      </c>
      <c r="N169" s="523"/>
      <c r="O169" s="523">
        <f t="shared" si="105"/>
        <v>69948.335000000006</v>
      </c>
      <c r="P169" s="523" t="e">
        <f>IF(B169&lt;&gt;0,VLOOKUP(B169,#REF!,2,FALSE),"")</f>
        <v>#REF!</v>
      </c>
      <c r="Q169" s="502">
        <v>45.5</v>
      </c>
      <c r="R169" s="502">
        <f t="shared" si="109"/>
        <v>-1931</v>
      </c>
      <c r="S169" s="502"/>
      <c r="T169" s="502"/>
      <c r="U169" s="502"/>
      <c r="V169" s="502"/>
      <c r="W169" s="502"/>
      <c r="X169" s="502"/>
      <c r="Y169" s="502"/>
      <c r="Z169" s="502"/>
      <c r="AA169" s="502"/>
      <c r="AB169" s="502"/>
      <c r="AC169" s="502"/>
      <c r="AD169" s="876"/>
      <c r="AE169" s="502"/>
      <c r="AF169" s="502"/>
      <c r="AG169" s="502"/>
      <c r="AH169" s="502"/>
      <c r="AI169" s="879">
        <f>AL169</f>
        <v>32</v>
      </c>
      <c r="AJ169" s="473">
        <f>ROUND(AI169*(1+$J$13),2)</f>
        <v>40.58</v>
      </c>
      <c r="AK169" s="562">
        <f>ROUND(AJ169*F169,2)</f>
        <v>80206.37</v>
      </c>
      <c r="AL169" s="788">
        <f>'PLANILHA ORÇA - CORREGEDORIA'!BG218</f>
        <v>32</v>
      </c>
    </row>
    <row r="170" spans="1:38" s="34" customFormat="1" ht="75">
      <c r="A170" s="472" t="s">
        <v>798</v>
      </c>
      <c r="B170" s="475">
        <v>87273</v>
      </c>
      <c r="C170" s="471" t="s">
        <v>2717</v>
      </c>
      <c r="D170" s="472" t="s">
        <v>12</v>
      </c>
      <c r="E170" s="472" t="s">
        <v>26</v>
      </c>
      <c r="F170" s="473">
        <v>45.5</v>
      </c>
      <c r="G170" s="473">
        <f t="shared" si="101"/>
        <v>49.410499999999999</v>
      </c>
      <c r="H170" s="473">
        <f t="shared" si="117"/>
        <v>62.66</v>
      </c>
      <c r="I170" s="573">
        <f t="shared" si="118"/>
        <v>2851.03</v>
      </c>
      <c r="J170" s="576" t="e">
        <f>IF(B170&lt;&gt;0,VLOOKUP(B170,#REF!,4,FALSE),"")</f>
        <v>#REF!</v>
      </c>
      <c r="K170" s="575" t="s">
        <v>3315</v>
      </c>
      <c r="L170" s="576">
        <f t="shared" si="103"/>
        <v>-8.7195000000000036</v>
      </c>
      <c r="M170" s="576">
        <f t="shared" si="104"/>
        <v>2248.1777499999998</v>
      </c>
      <c r="N170" s="576"/>
      <c r="O170" s="576">
        <f t="shared" si="105"/>
        <v>2851.0299999999997</v>
      </c>
      <c r="P170" s="576" t="e">
        <f>IF(B170&lt;&gt;0,VLOOKUP(B170,#REF!,2,FALSE),"")</f>
        <v>#REF!</v>
      </c>
      <c r="Q170" s="577">
        <v>317.74</v>
      </c>
      <c r="R170" s="577">
        <f t="shared" si="109"/>
        <v>272.24</v>
      </c>
      <c r="S170" s="577"/>
      <c r="T170" s="577"/>
      <c r="U170" s="577"/>
      <c r="V170" s="577"/>
      <c r="W170" s="577"/>
      <c r="X170" s="577"/>
      <c r="Y170" s="577"/>
      <c r="Z170" s="577"/>
      <c r="AA170" s="577"/>
      <c r="AB170" s="577"/>
      <c r="AC170" s="577"/>
      <c r="AD170" s="577"/>
      <c r="AE170" s="502"/>
      <c r="AF170" s="502"/>
      <c r="AG170" s="502"/>
      <c r="AH170" s="502"/>
      <c r="AI170" s="880">
        <f>AL170</f>
        <v>67.709999999999994</v>
      </c>
      <c r="AJ170" s="473">
        <f>ROUND(AI170*(1+$J$13),2)</f>
        <v>85.86</v>
      </c>
      <c r="AK170" s="573">
        <f>ROUND(AJ170*F170,2)</f>
        <v>3906.63</v>
      </c>
      <c r="AL170" s="788">
        <f>'PLANILHA ORÇA - CORREGEDORIA'!BG213</f>
        <v>67.709999999999994</v>
      </c>
    </row>
    <row r="171" spans="1:38" ht="79.5" customHeight="1">
      <c r="A171" s="25" t="s">
        <v>799</v>
      </c>
      <c r="B171" s="24">
        <v>87273</v>
      </c>
      <c r="C171" s="23" t="s">
        <v>2718</v>
      </c>
      <c r="D171" s="25" t="s">
        <v>12</v>
      </c>
      <c r="E171" s="25" t="s">
        <v>26</v>
      </c>
      <c r="F171" s="26">
        <v>317.74</v>
      </c>
      <c r="G171" s="26">
        <f t="shared" si="101"/>
        <v>49.410499999999999</v>
      </c>
      <c r="H171" s="26">
        <f t="shared" si="117"/>
        <v>62.66</v>
      </c>
      <c r="I171" s="26">
        <f t="shared" si="118"/>
        <v>19909.59</v>
      </c>
      <c r="J171" s="64" t="e">
        <f>IF(B171&lt;&gt;0,VLOOKUP(B171,#REF!,4,FALSE),"")</f>
        <v>#REF!</v>
      </c>
      <c r="K171" s="362" t="s">
        <v>3315</v>
      </c>
      <c r="L171" s="65">
        <f t="shared" si="103"/>
        <v>-8.7195000000000036</v>
      </c>
      <c r="M171" s="65">
        <f t="shared" si="104"/>
        <v>15699.69227</v>
      </c>
      <c r="N171" s="65"/>
      <c r="O171" s="65">
        <f t="shared" si="105"/>
        <v>19909.588400000001</v>
      </c>
      <c r="P171" s="65" t="e">
        <f>IF(B171&lt;&gt;0,VLOOKUP(B171,#REF!,2,FALSE),"")</f>
        <v>#REF!</v>
      </c>
      <c r="Q171" s="2">
        <v>198.46</v>
      </c>
      <c r="R171" s="62">
        <f t="shared" si="109"/>
        <v>-119.28</v>
      </c>
      <c r="AD171" s="21"/>
      <c r="AE171" s="481"/>
      <c r="AF171" s="481"/>
      <c r="AG171" s="481"/>
      <c r="AH171" s="481"/>
      <c r="AI171" s="873">
        <f>ROUND(G171*$AM$11,2)</f>
        <v>55.04</v>
      </c>
      <c r="AJ171" s="26">
        <f t="shared" ref="AJ171:AJ176" si="122">ROUND(AI171*(1+$J$13),2)</f>
        <v>69.8</v>
      </c>
      <c r="AK171" s="26">
        <f t="shared" ref="AK171" si="123">ROUND(AJ171*F171,2)</f>
        <v>22178.25</v>
      </c>
    </row>
    <row r="172" spans="1:38" s="45" customFormat="1" ht="46.5" customHeight="1">
      <c r="A172" s="25" t="s">
        <v>800</v>
      </c>
      <c r="B172" s="24">
        <v>8854</v>
      </c>
      <c r="C172" s="23" t="s">
        <v>104</v>
      </c>
      <c r="D172" s="25" t="s">
        <v>44</v>
      </c>
      <c r="E172" s="25" t="s">
        <v>26</v>
      </c>
      <c r="F172" s="26">
        <v>198.46</v>
      </c>
      <c r="G172" s="26">
        <f t="shared" si="101"/>
        <v>83.078999999999994</v>
      </c>
      <c r="H172" s="26">
        <f t="shared" si="117"/>
        <v>105.35</v>
      </c>
      <c r="I172" s="26">
        <f t="shared" si="118"/>
        <v>20907.759999999998</v>
      </c>
      <c r="J172" s="64">
        <f>'COMPOSIÇÃO DE CUSTOS'!G424</f>
        <v>83.08</v>
      </c>
      <c r="K172" s="362">
        <v>97.74</v>
      </c>
      <c r="L172" s="65">
        <f t="shared" si="103"/>
        <v>-14.661000000000001</v>
      </c>
      <c r="M172" s="65">
        <f t="shared" si="104"/>
        <v>16487.858339999999</v>
      </c>
      <c r="N172" s="65"/>
      <c r="O172" s="65">
        <f t="shared" si="105"/>
        <v>20907.760999999999</v>
      </c>
      <c r="P172" s="65" t="e">
        <f>IF(B172&lt;&gt;0,VLOOKUP(B172,#REF!,2,FALSE),"")</f>
        <v>#REF!</v>
      </c>
      <c r="Q172" s="45">
        <v>208</v>
      </c>
      <c r="R172" s="62">
        <f t="shared" si="109"/>
        <v>9.539999999999992</v>
      </c>
      <c r="AD172" s="56"/>
      <c r="AE172" s="481"/>
      <c r="AF172" s="481"/>
      <c r="AG172" s="481"/>
      <c r="AH172" s="481"/>
      <c r="AI172" s="873">
        <f t="shared" ref="AI172:AI176" si="124">ROUND(G172*$AM$11,2)</f>
        <v>92.55</v>
      </c>
      <c r="AJ172" s="26">
        <f t="shared" si="122"/>
        <v>117.36</v>
      </c>
      <c r="AK172" s="26">
        <f t="shared" ref="AK172:AK176" si="125">ROUND(AJ172*F172,2)</f>
        <v>23291.27</v>
      </c>
      <c r="AL172" s="724"/>
    </row>
    <row r="173" spans="1:38" s="62" customFormat="1" ht="50.25" customHeight="1">
      <c r="A173" s="25" t="s">
        <v>801</v>
      </c>
      <c r="B173" s="24">
        <v>8854</v>
      </c>
      <c r="C173" s="23" t="s">
        <v>2719</v>
      </c>
      <c r="D173" s="25" t="s">
        <v>44</v>
      </c>
      <c r="E173" s="25" t="s">
        <v>26</v>
      </c>
      <c r="F173" s="26">
        <v>208</v>
      </c>
      <c r="G173" s="26">
        <f t="shared" si="101"/>
        <v>83.078999999999994</v>
      </c>
      <c r="H173" s="26">
        <f t="shared" si="117"/>
        <v>105.35</v>
      </c>
      <c r="I173" s="26">
        <f t="shared" si="118"/>
        <v>21912.799999999999</v>
      </c>
      <c r="J173" s="64">
        <f>J172</f>
        <v>83.08</v>
      </c>
      <c r="K173" s="362">
        <v>97.74</v>
      </c>
      <c r="L173" s="65">
        <f t="shared" si="103"/>
        <v>-14.661000000000001</v>
      </c>
      <c r="M173" s="65">
        <f t="shared" si="104"/>
        <v>17280.431999999997</v>
      </c>
      <c r="N173" s="65"/>
      <c r="O173" s="65">
        <f t="shared" si="105"/>
        <v>21912.799999999999</v>
      </c>
      <c r="P173" s="65" t="e">
        <f>IF(B173&lt;&gt;0,VLOOKUP(B173,#REF!,2,FALSE),"")</f>
        <v>#REF!</v>
      </c>
      <c r="Q173" s="62">
        <v>25.74</v>
      </c>
      <c r="R173" s="62">
        <f t="shared" si="109"/>
        <v>-182.26</v>
      </c>
      <c r="AD173" s="221"/>
      <c r="AE173" s="481"/>
      <c r="AF173" s="481"/>
      <c r="AG173" s="481"/>
      <c r="AH173" s="481"/>
      <c r="AI173" s="873">
        <f t="shared" si="124"/>
        <v>92.55</v>
      </c>
      <c r="AJ173" s="26">
        <f t="shared" si="122"/>
        <v>117.36</v>
      </c>
      <c r="AK173" s="26">
        <f t="shared" si="125"/>
        <v>24410.880000000001</v>
      </c>
      <c r="AL173" s="224"/>
    </row>
    <row r="174" spans="1:38" ht="49.5" customHeight="1">
      <c r="A174" s="25" t="s">
        <v>802</v>
      </c>
      <c r="B174" s="24">
        <v>8854</v>
      </c>
      <c r="C174" s="23" t="s">
        <v>105</v>
      </c>
      <c r="D174" s="25" t="s">
        <v>44</v>
      </c>
      <c r="E174" s="25" t="s">
        <v>26</v>
      </c>
      <c r="F174" s="26">
        <v>25.74</v>
      </c>
      <c r="G174" s="26">
        <f t="shared" si="101"/>
        <v>83.078999999999994</v>
      </c>
      <c r="H174" s="26">
        <f t="shared" si="117"/>
        <v>105.35</v>
      </c>
      <c r="I174" s="26">
        <f t="shared" si="118"/>
        <v>2711.71</v>
      </c>
      <c r="J174" s="64">
        <f>J172</f>
        <v>83.08</v>
      </c>
      <c r="K174" s="362">
        <v>97.74</v>
      </c>
      <c r="L174" s="65">
        <f t="shared" si="103"/>
        <v>-14.661000000000001</v>
      </c>
      <c r="M174" s="65">
        <f t="shared" si="104"/>
        <v>2138.4534599999997</v>
      </c>
      <c r="N174" s="65"/>
      <c r="O174" s="65">
        <f t="shared" si="105"/>
        <v>2711.7089999999998</v>
      </c>
      <c r="P174" s="65" t="e">
        <f>IF(B174&lt;&gt;0,VLOOKUP(B174,#REF!,2,FALSE),"")</f>
        <v>#REF!</v>
      </c>
      <c r="Q174" s="2">
        <v>157.37749999999997</v>
      </c>
      <c r="R174" s="62">
        <f t="shared" si="109"/>
        <v>131.63749999999996</v>
      </c>
      <c r="AD174" s="21"/>
      <c r="AE174" s="481"/>
      <c r="AF174" s="481"/>
      <c r="AG174" s="481"/>
      <c r="AH174" s="481"/>
      <c r="AI174" s="873">
        <f t="shared" si="124"/>
        <v>92.55</v>
      </c>
      <c r="AJ174" s="26">
        <f t="shared" si="122"/>
        <v>117.36</v>
      </c>
      <c r="AK174" s="26">
        <f t="shared" si="125"/>
        <v>3020.85</v>
      </c>
    </row>
    <row r="175" spans="1:38" s="28" customFormat="1" ht="37.5" customHeight="1">
      <c r="A175" s="25" t="s">
        <v>803</v>
      </c>
      <c r="B175" s="24">
        <v>7284</v>
      </c>
      <c r="C175" s="23" t="s">
        <v>107</v>
      </c>
      <c r="D175" s="25" t="s">
        <v>44</v>
      </c>
      <c r="E175" s="25" t="s">
        <v>52</v>
      </c>
      <c r="F175" s="26">
        <v>157.37749999999997</v>
      </c>
      <c r="G175" s="26">
        <f t="shared" si="101"/>
        <v>74.468500000000006</v>
      </c>
      <c r="H175" s="26">
        <f t="shared" si="117"/>
        <v>94.43</v>
      </c>
      <c r="I175" s="26">
        <f t="shared" si="118"/>
        <v>14861.16</v>
      </c>
      <c r="J175" s="64">
        <f>'COMPOSIÇÃO DE CUSTOS'!G2128</f>
        <v>74.47</v>
      </c>
      <c r="K175" s="362">
        <v>87.61</v>
      </c>
      <c r="L175" s="65">
        <f t="shared" si="103"/>
        <v>-13.141499999999994</v>
      </c>
      <c r="M175" s="65">
        <f t="shared" si="104"/>
        <v>11719.666358749999</v>
      </c>
      <c r="N175" s="65"/>
      <c r="O175" s="65">
        <f t="shared" si="105"/>
        <v>14861.157324999998</v>
      </c>
      <c r="P175" s="65" t="e">
        <f>IF(B175&lt;&gt;0,VLOOKUP(B175,#REF!,2,FALSE),"")</f>
        <v>#REF!</v>
      </c>
      <c r="Q175" s="28">
        <v>317.60000000000002</v>
      </c>
      <c r="R175" s="62">
        <f t="shared" si="109"/>
        <v>160.22250000000005</v>
      </c>
      <c r="AD175" s="370"/>
      <c r="AE175" s="481"/>
      <c r="AF175" s="481"/>
      <c r="AG175" s="481"/>
      <c r="AH175" s="481"/>
      <c r="AI175" s="873">
        <f t="shared" si="124"/>
        <v>82.96</v>
      </c>
      <c r="AJ175" s="26">
        <f t="shared" si="122"/>
        <v>105.2</v>
      </c>
      <c r="AK175" s="26">
        <f t="shared" si="125"/>
        <v>16556.11</v>
      </c>
      <c r="AL175" s="787"/>
    </row>
    <row r="176" spans="1:38" ht="47.25" customHeight="1">
      <c r="A176" s="25" t="s">
        <v>804</v>
      </c>
      <c r="B176" s="24">
        <v>10708</v>
      </c>
      <c r="C176" s="23" t="s">
        <v>1770</v>
      </c>
      <c r="D176" s="25" t="s">
        <v>12</v>
      </c>
      <c r="E176" s="25" t="s">
        <v>26</v>
      </c>
      <c r="F176" s="26">
        <v>317.60000000000002</v>
      </c>
      <c r="G176" s="26">
        <f t="shared" si="101"/>
        <v>37.442499999999995</v>
      </c>
      <c r="H176" s="26">
        <f t="shared" si="117"/>
        <v>47.48</v>
      </c>
      <c r="I176" s="26">
        <f t="shared" si="118"/>
        <v>15079.65</v>
      </c>
      <c r="J176" s="64" t="e">
        <f>IF(B176&lt;&gt;0,VLOOKUP(B176,#REF!,4,FALSE),"")</f>
        <v>#REF!</v>
      </c>
      <c r="K176" s="362" t="s">
        <v>3318</v>
      </c>
      <c r="L176" s="65">
        <f t="shared" si="103"/>
        <v>-6.6075000000000017</v>
      </c>
      <c r="M176" s="65">
        <f t="shared" si="104"/>
        <v>11891.737999999999</v>
      </c>
      <c r="N176" s="65"/>
      <c r="O176" s="65">
        <f t="shared" si="105"/>
        <v>15079.647999999999</v>
      </c>
      <c r="P176" s="65" t="e">
        <f>IF(B176&lt;&gt;0,VLOOKUP(B176,#REF!,2,FALSE),"")</f>
        <v>#REF!</v>
      </c>
      <c r="R176" s="62">
        <f t="shared" si="109"/>
        <v>-317.60000000000002</v>
      </c>
      <c r="AD176" s="21"/>
      <c r="AE176" s="481"/>
      <c r="AF176" s="481"/>
      <c r="AG176" s="481"/>
      <c r="AH176" s="481"/>
      <c r="AI176" s="873">
        <f t="shared" si="124"/>
        <v>41.71</v>
      </c>
      <c r="AJ176" s="26">
        <f t="shared" si="122"/>
        <v>52.89</v>
      </c>
      <c r="AK176" s="26">
        <f t="shared" si="125"/>
        <v>16797.86</v>
      </c>
    </row>
    <row r="177" spans="1:38">
      <c r="A177" s="25"/>
      <c r="B177" s="24"/>
      <c r="C177" s="23"/>
      <c r="D177" s="25"/>
      <c r="E177" s="25"/>
      <c r="F177" s="26"/>
      <c r="G177" s="155"/>
      <c r="H177" s="155"/>
      <c r="I177" s="155"/>
      <c r="J177" s="67" t="str">
        <f>IF(B177&lt;&gt;0,VLOOKUP(B177,#REF!,4,FALSE),"")</f>
        <v/>
      </c>
      <c r="K177" s="385" t="s">
        <v>1892</v>
      </c>
      <c r="L177" s="67"/>
      <c r="M177" s="67">
        <f t="shared" si="104"/>
        <v>0</v>
      </c>
      <c r="N177" s="67"/>
      <c r="O177" s="67">
        <f t="shared" si="105"/>
        <v>0</v>
      </c>
      <c r="P177" s="67" t="str">
        <f>IF(B177&lt;&gt;0,VLOOKUP(B177,#REF!,2,FALSE),"")</f>
        <v/>
      </c>
      <c r="Q177" s="21"/>
      <c r="R177" s="221">
        <f t="shared" si="109"/>
        <v>0</v>
      </c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481"/>
      <c r="AF177" s="481"/>
      <c r="AG177" s="481"/>
      <c r="AH177" s="481"/>
      <c r="AI177" s="552"/>
      <c r="AJ177" s="552"/>
      <c r="AK177" s="552"/>
    </row>
    <row r="178" spans="1:38" ht="23.25" customHeight="1">
      <c r="A178" s="77" t="s">
        <v>805</v>
      </c>
      <c r="B178" s="139"/>
      <c r="C178" s="340" t="s">
        <v>108</v>
      </c>
      <c r="D178" s="341"/>
      <c r="E178" s="341"/>
      <c r="F178" s="156"/>
      <c r="G178" s="158"/>
      <c r="H178" s="553"/>
      <c r="I178" s="563">
        <f>ROUND(SUM(I179:I184),2)</f>
        <v>211128.85</v>
      </c>
      <c r="J178" s="557" t="str">
        <f>IF(B178&lt;&gt;0,VLOOKUP(B178,#REF!,4,FALSE),"")</f>
        <v/>
      </c>
      <c r="K178" s="558" t="s">
        <v>1892</v>
      </c>
      <c r="L178" s="557"/>
      <c r="M178" s="557">
        <f t="shared" si="104"/>
        <v>0</v>
      </c>
      <c r="N178" s="557"/>
      <c r="O178" s="557">
        <f t="shared" si="105"/>
        <v>0</v>
      </c>
      <c r="P178" s="557" t="str">
        <f>IF(B178&lt;&gt;0,VLOOKUP(B178,#REF!,2,FALSE),"")</f>
        <v/>
      </c>
      <c r="Q178" s="239">
        <v>1856.2739999999999</v>
      </c>
      <c r="R178" s="556">
        <f t="shared" si="109"/>
        <v>1856.2739999999999</v>
      </c>
      <c r="S178" s="239"/>
      <c r="T178" s="239"/>
      <c r="U178" s="239"/>
      <c r="V178" s="239"/>
      <c r="W178" s="239"/>
      <c r="X178" s="239"/>
      <c r="Y178" s="239"/>
      <c r="Z178" s="239"/>
      <c r="AA178" s="239"/>
      <c r="AB178" s="239"/>
      <c r="AC178" s="239"/>
      <c r="AD178" s="854"/>
      <c r="AE178" s="481"/>
      <c r="AF178" s="481"/>
      <c r="AG178" s="481"/>
      <c r="AH178" s="481"/>
      <c r="AI178" s="855"/>
      <c r="AJ178" s="481"/>
      <c r="AK178" s="563">
        <f>ROUND(SUM(AK179:AK184),2)</f>
        <v>317430.53999999998</v>
      </c>
    </row>
    <row r="179" spans="1:38" s="34" customFormat="1" ht="60">
      <c r="A179" s="472" t="s">
        <v>806</v>
      </c>
      <c r="B179" s="475">
        <v>87622</v>
      </c>
      <c r="C179" s="471" t="s">
        <v>109</v>
      </c>
      <c r="D179" s="472" t="s">
        <v>12</v>
      </c>
      <c r="E179" s="472" t="s">
        <v>26</v>
      </c>
      <c r="F179" s="578">
        <v>1856.2739999999999</v>
      </c>
      <c r="G179" s="562">
        <f t="shared" si="101"/>
        <v>25.848500000000001</v>
      </c>
      <c r="H179" s="562">
        <f t="shared" ref="H179:H184" si="126">ROUND(G179*(1+$J$13),2)</f>
        <v>32.78</v>
      </c>
      <c r="I179" s="562">
        <f t="shared" ref="I179:I183" si="127">ROUND(H179*F179,2)</f>
        <v>60848.66</v>
      </c>
      <c r="J179" s="523" t="e">
        <f>IF(B179&lt;&gt;0,VLOOKUP(B179,#REF!,4,FALSE),"")</f>
        <v>#REF!</v>
      </c>
      <c r="K179" s="579" t="s">
        <v>3313</v>
      </c>
      <c r="L179" s="523">
        <f t="shared" si="103"/>
        <v>-4.5614999999999988</v>
      </c>
      <c r="M179" s="523">
        <f t="shared" si="104"/>
        <v>47981.898488999999</v>
      </c>
      <c r="N179" s="523"/>
      <c r="O179" s="523">
        <f t="shared" si="105"/>
        <v>60848.661719999996</v>
      </c>
      <c r="P179" s="523" t="e">
        <f>IF(B179&lt;&gt;0,VLOOKUP(B179,#REF!,2,FALSE),"")</f>
        <v>#REF!</v>
      </c>
      <c r="Q179" s="502">
        <v>928.91</v>
      </c>
      <c r="R179" s="502">
        <f t="shared" si="109"/>
        <v>-927.36399999999992</v>
      </c>
      <c r="S179" s="502"/>
      <c r="T179" s="502"/>
      <c r="U179" s="502"/>
      <c r="V179" s="502"/>
      <c r="W179" s="502"/>
      <c r="X179" s="502"/>
      <c r="Y179" s="502"/>
      <c r="Z179" s="502"/>
      <c r="AA179" s="502"/>
      <c r="AB179" s="502"/>
      <c r="AC179" s="502"/>
      <c r="AD179" s="876"/>
      <c r="AE179" s="502"/>
      <c r="AF179" s="502"/>
      <c r="AG179" s="502"/>
      <c r="AH179" s="502"/>
      <c r="AI179" s="879">
        <f>AL179</f>
        <v>35.36</v>
      </c>
      <c r="AJ179" s="473">
        <f>ROUND(AI179*(1+$J$13),2)</f>
        <v>44.84</v>
      </c>
      <c r="AK179" s="562">
        <f>ROUND(AJ179*F179,2)</f>
        <v>83235.33</v>
      </c>
      <c r="AL179" s="788">
        <f>'PLANILHA ORÇA - CORREGEDORIA'!BG226</f>
        <v>35.36</v>
      </c>
    </row>
    <row r="180" spans="1:38" s="34" customFormat="1" ht="45">
      <c r="A180" s="472" t="s">
        <v>807</v>
      </c>
      <c r="B180" s="475">
        <v>87263</v>
      </c>
      <c r="C180" s="471" t="s">
        <v>2639</v>
      </c>
      <c r="D180" s="472" t="s">
        <v>12</v>
      </c>
      <c r="E180" s="472" t="s">
        <v>26</v>
      </c>
      <c r="F180" s="578">
        <v>928.91</v>
      </c>
      <c r="G180" s="562">
        <f t="shared" si="101"/>
        <v>98.608500000000006</v>
      </c>
      <c r="H180" s="562">
        <f t="shared" si="126"/>
        <v>125.05</v>
      </c>
      <c r="I180" s="562">
        <f t="shared" si="127"/>
        <v>116160.2</v>
      </c>
      <c r="J180" s="523" t="e">
        <f>IF(B180&lt;&gt;0,VLOOKUP(B180,#REF!,4,FALSE),"")</f>
        <v>#REF!</v>
      </c>
      <c r="K180" s="579" t="s">
        <v>3186</v>
      </c>
      <c r="L180" s="523">
        <f t="shared" si="103"/>
        <v>-17.401499999999999</v>
      </c>
      <c r="M180" s="523">
        <f t="shared" si="104"/>
        <v>91598.421734999996</v>
      </c>
      <c r="N180" s="523"/>
      <c r="O180" s="523">
        <f t="shared" si="105"/>
        <v>116160.19549999999</v>
      </c>
      <c r="P180" s="523" t="e">
        <f>IF(B180&lt;&gt;0,VLOOKUP(B180,#REF!,2,FALSE),"")</f>
        <v>#REF!</v>
      </c>
      <c r="Q180" s="502">
        <v>154.30000000000001</v>
      </c>
      <c r="R180" s="502">
        <f t="shared" si="109"/>
        <v>-774.6099999999999</v>
      </c>
      <c r="S180" s="502"/>
      <c r="T180" s="502"/>
      <c r="U180" s="502"/>
      <c r="V180" s="502"/>
      <c r="W180" s="502"/>
      <c r="X180" s="502"/>
      <c r="Y180" s="502"/>
      <c r="Z180" s="502"/>
      <c r="AA180" s="502"/>
      <c r="AB180" s="502"/>
      <c r="AC180" s="502"/>
      <c r="AD180" s="876"/>
      <c r="AE180" s="502"/>
      <c r="AF180" s="502"/>
      <c r="AG180" s="502"/>
      <c r="AH180" s="502"/>
      <c r="AI180" s="879">
        <f>AL180</f>
        <v>166.55</v>
      </c>
      <c r="AJ180" s="473">
        <f>ROUND(AI180*(1+$J$13),2)</f>
        <v>211.2</v>
      </c>
      <c r="AK180" s="562">
        <f>ROUND(AJ180*F180,2)</f>
        <v>196185.79</v>
      </c>
      <c r="AL180" s="788">
        <f>'PLANILHA ORÇA - CORREGEDORIA'!BG228</f>
        <v>166.55</v>
      </c>
    </row>
    <row r="181" spans="1:38" s="62" customFormat="1" ht="45">
      <c r="A181" s="25" t="s">
        <v>808</v>
      </c>
      <c r="B181" s="24">
        <v>11808</v>
      </c>
      <c r="C181" s="23" t="s">
        <v>2640</v>
      </c>
      <c r="D181" s="25" t="s">
        <v>44</v>
      </c>
      <c r="E181" s="25" t="s">
        <v>26</v>
      </c>
      <c r="F181" s="157">
        <v>154.30000000000001</v>
      </c>
      <c r="G181" s="158">
        <f t="shared" si="101"/>
        <v>82.12700000000001</v>
      </c>
      <c r="H181" s="158">
        <f t="shared" si="126"/>
        <v>104.15</v>
      </c>
      <c r="I181" s="158">
        <f t="shared" si="127"/>
        <v>16070.35</v>
      </c>
      <c r="J181" s="560">
        <f>'COMPOSIÇÃO DE CUSTOS'!G2315</f>
        <v>82.13</v>
      </c>
      <c r="K181" s="558">
        <v>96.62</v>
      </c>
      <c r="L181" s="557">
        <f t="shared" si="103"/>
        <v>-14.492999999999995</v>
      </c>
      <c r="M181" s="557">
        <f t="shared" si="104"/>
        <v>12672.196100000003</v>
      </c>
      <c r="N181" s="557"/>
      <c r="O181" s="557">
        <f t="shared" si="105"/>
        <v>16070.345000000001</v>
      </c>
      <c r="P181" s="557" t="e">
        <f>IF(B181&lt;&gt;0,VLOOKUP(B181,#REF!,2,FALSE),"")</f>
        <v>#REF!</v>
      </c>
      <c r="Q181" s="556">
        <v>16.850000000000001</v>
      </c>
      <c r="R181" s="556">
        <f t="shared" si="109"/>
        <v>-137.45000000000002</v>
      </c>
      <c r="S181" s="556"/>
      <c r="T181" s="556"/>
      <c r="U181" s="556"/>
      <c r="V181" s="556"/>
      <c r="W181" s="556"/>
      <c r="X181" s="556"/>
      <c r="Y181" s="556"/>
      <c r="Z181" s="556"/>
      <c r="AA181" s="556"/>
      <c r="AB181" s="556"/>
      <c r="AC181" s="556"/>
      <c r="AD181" s="875"/>
      <c r="AE181" s="481"/>
      <c r="AF181" s="481"/>
      <c r="AG181" s="481"/>
      <c r="AH181" s="481"/>
      <c r="AI181" s="871">
        <f t="shared" ref="AI181:AI184" si="128">ROUND(G181*$AM$11,2)</f>
        <v>91.49</v>
      </c>
      <c r="AJ181" s="158">
        <f t="shared" ref="AJ181:AJ184" si="129">ROUND(AI181*(1+$J$13),2)</f>
        <v>116.02</v>
      </c>
      <c r="AK181" s="158">
        <f t="shared" ref="AK181:AK184" si="130">ROUND(AJ181*F181,2)</f>
        <v>17901.89</v>
      </c>
      <c r="AL181" s="224"/>
    </row>
    <row r="182" spans="1:38" s="62" customFormat="1" ht="30">
      <c r="A182" s="25" t="s">
        <v>809</v>
      </c>
      <c r="B182" s="24">
        <v>7285</v>
      </c>
      <c r="C182" s="23" t="s">
        <v>2005</v>
      </c>
      <c r="D182" s="25" t="s">
        <v>44</v>
      </c>
      <c r="E182" s="25" t="s">
        <v>52</v>
      </c>
      <c r="F182" s="26">
        <v>16.850000000000001</v>
      </c>
      <c r="G182" s="159">
        <f t="shared" si="101"/>
        <v>48.841000000000001</v>
      </c>
      <c r="H182" s="159">
        <f t="shared" si="126"/>
        <v>61.94</v>
      </c>
      <c r="I182" s="159">
        <f t="shared" si="127"/>
        <v>1043.69</v>
      </c>
      <c r="J182" s="66">
        <f>'COMPOSIÇÃO DE CUSTOS'!G2121</f>
        <v>48.84</v>
      </c>
      <c r="K182" s="385">
        <v>57.46</v>
      </c>
      <c r="L182" s="67">
        <f t="shared" si="103"/>
        <v>-8.6189999999999998</v>
      </c>
      <c r="M182" s="67">
        <f t="shared" si="104"/>
        <v>822.97085000000004</v>
      </c>
      <c r="N182" s="67"/>
      <c r="O182" s="67">
        <f t="shared" si="105"/>
        <v>1043.6890000000001</v>
      </c>
      <c r="P182" s="67" t="e">
        <f>IF(B182&lt;&gt;0,VLOOKUP(B182,#REF!,2,FALSE),"")</f>
        <v>#REF!</v>
      </c>
      <c r="Q182" s="221">
        <v>48.15</v>
      </c>
      <c r="R182" s="221">
        <f t="shared" si="109"/>
        <v>31.299999999999997</v>
      </c>
      <c r="S182" s="221"/>
      <c r="T182" s="221"/>
      <c r="U182" s="221"/>
      <c r="V182" s="221"/>
      <c r="W182" s="221"/>
      <c r="X182" s="221"/>
      <c r="Y182" s="221"/>
      <c r="Z182" s="221"/>
      <c r="AA182" s="221"/>
      <c r="AB182" s="221"/>
      <c r="AC182" s="221"/>
      <c r="AD182" s="221"/>
      <c r="AE182" s="481"/>
      <c r="AF182" s="481"/>
      <c r="AG182" s="481"/>
      <c r="AH182" s="481"/>
      <c r="AI182" s="878">
        <f t="shared" si="128"/>
        <v>54.41</v>
      </c>
      <c r="AJ182" s="159">
        <f t="shared" si="129"/>
        <v>69</v>
      </c>
      <c r="AK182" s="159">
        <f t="shared" si="130"/>
        <v>1162.6500000000001</v>
      </c>
      <c r="AL182" s="224"/>
    </row>
    <row r="183" spans="1:38" s="62" customFormat="1" ht="45">
      <c r="A183" s="25" t="s">
        <v>810</v>
      </c>
      <c r="B183" s="24">
        <v>84190</v>
      </c>
      <c r="C183" s="23" t="s">
        <v>2720</v>
      </c>
      <c r="D183" s="25" t="s">
        <v>1915</v>
      </c>
      <c r="E183" s="25" t="s">
        <v>26</v>
      </c>
      <c r="F183" s="26">
        <v>48.15</v>
      </c>
      <c r="G183" s="26">
        <f t="shared" si="101"/>
        <v>215.36450000000002</v>
      </c>
      <c r="H183" s="26">
        <f t="shared" si="126"/>
        <v>273.10000000000002</v>
      </c>
      <c r="I183" s="26">
        <f t="shared" si="127"/>
        <v>13149.77</v>
      </c>
      <c r="J183" s="64">
        <f>'COMPOSIÇÃO DE CUSTOS'!G2452</f>
        <v>215.37</v>
      </c>
      <c r="K183" s="362">
        <v>253.37</v>
      </c>
      <c r="L183" s="65">
        <f t="shared" si="103"/>
        <v>-38.005499999999984</v>
      </c>
      <c r="M183" s="65">
        <f t="shared" si="104"/>
        <v>10369.800675</v>
      </c>
      <c r="N183" s="65"/>
      <c r="O183" s="65">
        <f t="shared" si="105"/>
        <v>13149.765000000001</v>
      </c>
      <c r="P183" s="65" t="e">
        <f>IF(B183&lt;&gt;0,VLOOKUP(B183,#REF!,2,FALSE),"")</f>
        <v>#REF!</v>
      </c>
      <c r="R183" s="62">
        <f t="shared" si="109"/>
        <v>-48.15</v>
      </c>
      <c r="AD183" s="221"/>
      <c r="AE183" s="481"/>
      <c r="AF183" s="481"/>
      <c r="AG183" s="481"/>
      <c r="AH183" s="481"/>
      <c r="AI183" s="873">
        <f t="shared" si="128"/>
        <v>239.92</v>
      </c>
      <c r="AJ183" s="26">
        <f t="shared" si="129"/>
        <v>304.24</v>
      </c>
      <c r="AK183" s="26">
        <f t="shared" si="130"/>
        <v>14649.16</v>
      </c>
      <c r="AL183" s="224"/>
    </row>
    <row r="184" spans="1:38" s="62" customFormat="1" ht="30">
      <c r="A184" s="25" t="s">
        <v>3435</v>
      </c>
      <c r="B184" s="24">
        <v>11903</v>
      </c>
      <c r="C184" s="23" t="s">
        <v>3436</v>
      </c>
      <c r="D184" s="25" t="s">
        <v>44</v>
      </c>
      <c r="E184" s="25" t="s">
        <v>52</v>
      </c>
      <c r="F184" s="26">
        <v>23.17</v>
      </c>
      <c r="G184" s="26">
        <f t="shared" si="101"/>
        <v>131.24</v>
      </c>
      <c r="H184" s="26">
        <f t="shared" si="126"/>
        <v>166.43</v>
      </c>
      <c r="I184" s="26">
        <f t="shared" ref="I184" si="131">ROUND(H184*F184,2)</f>
        <v>3856.18</v>
      </c>
      <c r="J184" s="64">
        <f>'COMPOSIÇÃO DE CUSTOS'!G2583</f>
        <v>131.22999999999999</v>
      </c>
      <c r="K184" s="362">
        <v>154.4</v>
      </c>
      <c r="L184" s="65">
        <f t="shared" si="103"/>
        <v>-23.159999999999997</v>
      </c>
      <c r="M184" s="65">
        <f t="shared" si="104"/>
        <v>3040.8308000000006</v>
      </c>
      <c r="N184" s="65"/>
      <c r="O184" s="65">
        <f t="shared" si="105"/>
        <v>3856.1831000000006</v>
      </c>
      <c r="P184" s="65"/>
      <c r="AD184" s="221"/>
      <c r="AE184" s="481"/>
      <c r="AF184" s="481"/>
      <c r="AG184" s="481"/>
      <c r="AH184" s="481"/>
      <c r="AI184" s="873">
        <f t="shared" si="128"/>
        <v>146.19999999999999</v>
      </c>
      <c r="AJ184" s="26">
        <f t="shared" si="129"/>
        <v>185.4</v>
      </c>
      <c r="AK184" s="26">
        <f t="shared" si="130"/>
        <v>4295.72</v>
      </c>
      <c r="AL184" s="224"/>
    </row>
    <row r="185" spans="1:38" s="62" customFormat="1">
      <c r="A185" s="25"/>
      <c r="B185" s="24"/>
      <c r="C185" s="23"/>
      <c r="D185" s="25"/>
      <c r="E185" s="25"/>
      <c r="F185" s="26"/>
      <c r="G185" s="26"/>
      <c r="H185" s="26"/>
      <c r="I185" s="155"/>
      <c r="J185" s="67" t="str">
        <f>IF(B185&lt;&gt;0,VLOOKUP(B185,#REF!,4,FALSE),"")</f>
        <v/>
      </c>
      <c r="K185" s="385" t="s">
        <v>1892</v>
      </c>
      <c r="L185" s="67"/>
      <c r="M185" s="67">
        <f t="shared" si="104"/>
        <v>0</v>
      </c>
      <c r="N185" s="67"/>
      <c r="O185" s="67">
        <f t="shared" si="105"/>
        <v>0</v>
      </c>
      <c r="P185" s="67" t="str">
        <f>IF(B185&lt;&gt;0,VLOOKUP(B185,#REF!,2,FALSE),"")</f>
        <v/>
      </c>
      <c r="Q185" s="221"/>
      <c r="R185" s="221">
        <f t="shared" ref="R185:R248" si="132">Q185-F185</f>
        <v>0</v>
      </c>
      <c r="S185" s="221"/>
      <c r="T185" s="221"/>
      <c r="U185" s="221"/>
      <c r="V185" s="221"/>
      <c r="W185" s="221"/>
      <c r="X185" s="221"/>
      <c r="Y185" s="221"/>
      <c r="Z185" s="221"/>
      <c r="AA185" s="221"/>
      <c r="AB185" s="221"/>
      <c r="AC185" s="221"/>
      <c r="AD185" s="221"/>
      <c r="AE185" s="481"/>
      <c r="AF185" s="481"/>
      <c r="AG185" s="481"/>
      <c r="AH185" s="481"/>
      <c r="AI185" s="552"/>
      <c r="AJ185" s="552"/>
      <c r="AK185" s="552"/>
      <c r="AL185" s="224"/>
    </row>
    <row r="186" spans="1:38" s="62" customFormat="1">
      <c r="A186" s="77" t="s">
        <v>811</v>
      </c>
      <c r="B186" s="139"/>
      <c r="C186" s="340" t="s">
        <v>110</v>
      </c>
      <c r="D186" s="341"/>
      <c r="E186" s="341"/>
      <c r="F186" s="341"/>
      <c r="G186" s="26"/>
      <c r="H186" s="156"/>
      <c r="I186" s="563">
        <f>ROUND(SUM(I187:I191),2)</f>
        <v>137507.1</v>
      </c>
      <c r="J186" s="557" t="str">
        <f>IF(B186&lt;&gt;0,VLOOKUP(B186,#REF!,4,FALSE),"")</f>
        <v/>
      </c>
      <c r="K186" s="558" t="s">
        <v>1892</v>
      </c>
      <c r="L186" s="557"/>
      <c r="M186" s="557">
        <f t="shared" si="104"/>
        <v>0</v>
      </c>
      <c r="N186" s="557"/>
      <c r="O186" s="557">
        <f t="shared" si="105"/>
        <v>0</v>
      </c>
      <c r="P186" s="557" t="str">
        <f>IF(B186&lt;&gt;0,VLOOKUP(B186,#REF!,2,FALSE),"")</f>
        <v/>
      </c>
      <c r="Q186" s="556">
        <v>399.72899999999998</v>
      </c>
      <c r="R186" s="556">
        <f t="shared" si="132"/>
        <v>399.72899999999998</v>
      </c>
      <c r="S186" s="556"/>
      <c r="T186" s="556"/>
      <c r="U186" s="556"/>
      <c r="V186" s="556"/>
      <c r="W186" s="556"/>
      <c r="X186" s="556"/>
      <c r="Y186" s="556"/>
      <c r="Z186" s="556"/>
      <c r="AA186" s="556"/>
      <c r="AB186" s="556"/>
      <c r="AC186" s="556"/>
      <c r="AD186" s="875"/>
      <c r="AE186" s="481"/>
      <c r="AF186" s="481"/>
      <c r="AG186" s="481"/>
      <c r="AH186" s="481"/>
      <c r="AI186" s="855"/>
      <c r="AJ186" s="481"/>
      <c r="AK186" s="563">
        <f>ROUND(SUM(AK187:AK191),2)</f>
        <v>162157.67000000001</v>
      </c>
      <c r="AL186" s="224"/>
    </row>
    <row r="187" spans="1:38" s="62" customFormat="1" ht="30">
      <c r="A187" s="25" t="s">
        <v>812</v>
      </c>
      <c r="B187" s="24">
        <v>72961</v>
      </c>
      <c r="C187" s="23" t="s">
        <v>111</v>
      </c>
      <c r="D187" s="25" t="s">
        <v>1915</v>
      </c>
      <c r="E187" s="25" t="s">
        <v>26</v>
      </c>
      <c r="F187" s="26">
        <v>399.72899999999998</v>
      </c>
      <c r="G187" s="26">
        <f t="shared" si="101"/>
        <v>1.3260000000000001</v>
      </c>
      <c r="H187" s="157">
        <f>ROUND(G187*(1+$J$13),2)</f>
        <v>1.68</v>
      </c>
      <c r="I187" s="158">
        <f t="shared" ref="I187:I191" si="133">ROUND(H187*F187,2)</f>
        <v>671.54</v>
      </c>
      <c r="J187" s="560">
        <f>'COMPOSIÇÃO DE CUSTOS'!G442</f>
        <v>1.33</v>
      </c>
      <c r="K187" s="558">
        <v>1.56</v>
      </c>
      <c r="L187" s="557">
        <f t="shared" si="103"/>
        <v>-0.23399999999999999</v>
      </c>
      <c r="M187" s="557">
        <f t="shared" si="104"/>
        <v>530.04065400000002</v>
      </c>
      <c r="N187" s="557"/>
      <c r="O187" s="557">
        <f t="shared" si="105"/>
        <v>671.54471999999998</v>
      </c>
      <c r="P187" s="557" t="e">
        <f>IF(B187&lt;&gt;0,VLOOKUP(B187,#REF!,2,FALSE),"")</f>
        <v>#REF!</v>
      </c>
      <c r="Q187" s="556">
        <v>19.986000000000001</v>
      </c>
      <c r="R187" s="556">
        <f t="shared" si="132"/>
        <v>-379.74299999999999</v>
      </c>
      <c r="S187" s="556"/>
      <c r="T187" s="556"/>
      <c r="U187" s="556"/>
      <c r="V187" s="556"/>
      <c r="W187" s="556"/>
      <c r="X187" s="556"/>
      <c r="Y187" s="556"/>
      <c r="Z187" s="556"/>
      <c r="AA187" s="556"/>
      <c r="AB187" s="556"/>
      <c r="AC187" s="556"/>
      <c r="AD187" s="875"/>
      <c r="AE187" s="481"/>
      <c r="AF187" s="481"/>
      <c r="AG187" s="481"/>
      <c r="AH187" s="481"/>
      <c r="AI187" s="871">
        <f t="shared" ref="AI187:AI189" si="134">ROUND(G187*$AM$11,2)</f>
        <v>1.48</v>
      </c>
      <c r="AJ187" s="158">
        <f t="shared" ref="AJ187:AJ189" si="135">ROUND(AI187*(1+$J$13),2)</f>
        <v>1.88</v>
      </c>
      <c r="AK187" s="158">
        <f t="shared" ref="AK187:AK189" si="136">ROUND(AJ187*F187,2)</f>
        <v>751.49</v>
      </c>
      <c r="AL187" s="224"/>
    </row>
    <row r="188" spans="1:38" s="62" customFormat="1" ht="50.25" customHeight="1">
      <c r="A188" s="25" t="s">
        <v>813</v>
      </c>
      <c r="B188" s="24">
        <v>83534</v>
      </c>
      <c r="C188" s="23" t="s">
        <v>49</v>
      </c>
      <c r="D188" s="25" t="s">
        <v>1915</v>
      </c>
      <c r="E188" s="25" t="s">
        <v>35</v>
      </c>
      <c r="F188" s="26">
        <v>19.986000000000001</v>
      </c>
      <c r="G188" s="26">
        <f t="shared" si="101"/>
        <v>477.23250000000007</v>
      </c>
      <c r="H188" s="157">
        <f>ROUND(G188*(1+$J$13),2)</f>
        <v>605.17999999999995</v>
      </c>
      <c r="I188" s="158">
        <f t="shared" si="133"/>
        <v>12095.13</v>
      </c>
      <c r="J188" s="560">
        <f>'COMPOSIÇÃO DE CUSTOS'!G38</f>
        <v>477.22999999999996</v>
      </c>
      <c r="K188" s="558">
        <v>561.45000000000005</v>
      </c>
      <c r="L188" s="557">
        <f t="shared" si="103"/>
        <v>-84.217499999999973</v>
      </c>
      <c r="M188" s="557">
        <f t="shared" si="104"/>
        <v>9537.9687450000019</v>
      </c>
      <c r="N188" s="557"/>
      <c r="O188" s="557">
        <f t="shared" si="105"/>
        <v>12095.127479999999</v>
      </c>
      <c r="P188" s="557" t="e">
        <f>IF(B188&lt;&gt;0,VLOOKUP(B188,#REF!,2,FALSE),"")</f>
        <v>#REF!</v>
      </c>
      <c r="Q188" s="556">
        <v>226.971</v>
      </c>
      <c r="R188" s="556">
        <f t="shared" si="132"/>
        <v>206.98500000000001</v>
      </c>
      <c r="S188" s="556"/>
      <c r="T188" s="556"/>
      <c r="U188" s="556"/>
      <c r="V188" s="556"/>
      <c r="W188" s="556"/>
      <c r="X188" s="556"/>
      <c r="Y188" s="556"/>
      <c r="Z188" s="556"/>
      <c r="AA188" s="556"/>
      <c r="AB188" s="556"/>
      <c r="AC188" s="556"/>
      <c r="AD188" s="875"/>
      <c r="AE188" s="481"/>
      <c r="AF188" s="481"/>
      <c r="AG188" s="481"/>
      <c r="AH188" s="481"/>
      <c r="AI188" s="871">
        <f t="shared" si="134"/>
        <v>531.64</v>
      </c>
      <c r="AJ188" s="158">
        <f t="shared" si="135"/>
        <v>674.17</v>
      </c>
      <c r="AK188" s="158">
        <f t="shared" si="136"/>
        <v>13473.96</v>
      </c>
      <c r="AL188" s="224"/>
    </row>
    <row r="189" spans="1:38" s="62" customFormat="1" ht="90">
      <c r="A189" s="25" t="s">
        <v>814</v>
      </c>
      <c r="B189" s="24">
        <v>94275</v>
      </c>
      <c r="C189" s="23" t="s">
        <v>1570</v>
      </c>
      <c r="D189" s="25" t="s">
        <v>12</v>
      </c>
      <c r="E189" s="25" t="s">
        <v>52</v>
      </c>
      <c r="F189" s="26">
        <v>226.971</v>
      </c>
      <c r="G189" s="26">
        <f t="shared" si="101"/>
        <v>32.223499999999994</v>
      </c>
      <c r="H189" s="157">
        <f>ROUND(G189*(1+$J$13),2)</f>
        <v>40.86</v>
      </c>
      <c r="I189" s="158">
        <f t="shared" si="133"/>
        <v>9274.0400000000009</v>
      </c>
      <c r="J189" s="560" t="e">
        <f>IF(B189&lt;&gt;0,VLOOKUP(B189,#REF!,4,FALSE),"")</f>
        <v>#REF!</v>
      </c>
      <c r="K189" s="558" t="s">
        <v>3161</v>
      </c>
      <c r="L189" s="557">
        <f t="shared" si="103"/>
        <v>-5.6865000000000023</v>
      </c>
      <c r="M189" s="557">
        <f t="shared" si="104"/>
        <v>7313.8000184999992</v>
      </c>
      <c r="N189" s="557"/>
      <c r="O189" s="557">
        <f t="shared" si="105"/>
        <v>9274.0350600000002</v>
      </c>
      <c r="P189" s="557" t="e">
        <f>IF(B189&lt;&gt;0,VLOOKUP(B189,#REF!,2,FALSE),"")</f>
        <v>#REF!</v>
      </c>
      <c r="Q189" s="556">
        <v>386.68</v>
      </c>
      <c r="R189" s="556">
        <f t="shared" si="132"/>
        <v>159.709</v>
      </c>
      <c r="S189" s="556"/>
      <c r="T189" s="556"/>
      <c r="U189" s="556"/>
      <c r="V189" s="556"/>
      <c r="W189" s="556"/>
      <c r="X189" s="556"/>
      <c r="Y189" s="556"/>
      <c r="Z189" s="556"/>
      <c r="AA189" s="556"/>
      <c r="AB189" s="556"/>
      <c r="AC189" s="556"/>
      <c r="AD189" s="875"/>
      <c r="AE189" s="481"/>
      <c r="AF189" s="481"/>
      <c r="AG189" s="481"/>
      <c r="AH189" s="481"/>
      <c r="AI189" s="871">
        <f t="shared" si="134"/>
        <v>35.9</v>
      </c>
      <c r="AJ189" s="158">
        <f t="shared" si="135"/>
        <v>45.52</v>
      </c>
      <c r="AK189" s="158">
        <f t="shared" si="136"/>
        <v>10331.719999999999</v>
      </c>
      <c r="AL189" s="224"/>
    </row>
    <row r="190" spans="1:38" s="34" customFormat="1" ht="60">
      <c r="A190" s="472" t="s">
        <v>815</v>
      </c>
      <c r="B190" s="475">
        <v>73465</v>
      </c>
      <c r="C190" s="471" t="s">
        <v>112</v>
      </c>
      <c r="D190" s="472" t="s">
        <v>1915</v>
      </c>
      <c r="E190" s="472" t="s">
        <v>26</v>
      </c>
      <c r="F190" s="473">
        <v>386.68</v>
      </c>
      <c r="G190" s="473">
        <f t="shared" si="101"/>
        <v>27.412500000000001</v>
      </c>
      <c r="H190" s="473">
        <f>ROUND(G190*(1+$J$13),2)</f>
        <v>34.76</v>
      </c>
      <c r="I190" s="573">
        <f t="shared" si="133"/>
        <v>13441</v>
      </c>
      <c r="J190" s="574">
        <f>'COMPOSIÇÃO DE CUSTOS'!G449</f>
        <v>27.41</v>
      </c>
      <c r="K190" s="575">
        <v>32.25</v>
      </c>
      <c r="L190" s="576">
        <f t="shared" si="103"/>
        <v>-4.8374999999999986</v>
      </c>
      <c r="M190" s="576">
        <f t="shared" si="104"/>
        <v>10599.8655</v>
      </c>
      <c r="N190" s="576"/>
      <c r="O190" s="576">
        <f t="shared" si="105"/>
        <v>13440.996799999999</v>
      </c>
      <c r="P190" s="576" t="e">
        <f>IF(B190&lt;&gt;0,VLOOKUP(B190,#REF!,2,FALSE),"")</f>
        <v>#REF!</v>
      </c>
      <c r="Q190" s="577">
        <v>258.07</v>
      </c>
      <c r="R190" s="577">
        <f t="shared" si="132"/>
        <v>-128.61000000000001</v>
      </c>
      <c r="S190" s="577"/>
      <c r="T190" s="577"/>
      <c r="U190" s="577"/>
      <c r="V190" s="577"/>
      <c r="W190" s="577"/>
      <c r="X190" s="577"/>
      <c r="Y190" s="577"/>
      <c r="Z190" s="577"/>
      <c r="AA190" s="577"/>
      <c r="AB190" s="577"/>
      <c r="AC190" s="577"/>
      <c r="AD190" s="577"/>
      <c r="AE190" s="502"/>
      <c r="AF190" s="502"/>
      <c r="AG190" s="502"/>
      <c r="AH190" s="502"/>
      <c r="AI190" s="880">
        <f>AL190</f>
        <v>33.229999999999997</v>
      </c>
      <c r="AJ190" s="473">
        <f>ROUND(AI190*(1+$J$13),2)</f>
        <v>42.14</v>
      </c>
      <c r="AK190" s="573">
        <f>ROUND(AJ190*F190,2)</f>
        <v>16294.7</v>
      </c>
      <c r="AL190" s="788">
        <f>'PLANILHA ORÇA - CORREGEDORIA'!BG237</f>
        <v>33.229999999999997</v>
      </c>
    </row>
    <row r="191" spans="1:38" s="34" customFormat="1" ht="75">
      <c r="A191" s="472" t="s">
        <v>816</v>
      </c>
      <c r="B191" s="475" t="s">
        <v>2087</v>
      </c>
      <c r="C191" s="471" t="s">
        <v>113</v>
      </c>
      <c r="D191" s="472" t="s">
        <v>70</v>
      </c>
      <c r="E191" s="472" t="s">
        <v>26</v>
      </c>
      <c r="F191" s="473">
        <v>258.07</v>
      </c>
      <c r="G191" s="473">
        <f t="shared" si="101"/>
        <v>311.75450000000001</v>
      </c>
      <c r="H191" s="473">
        <f>ROUND(G191*(1+$J$13),2)</f>
        <v>395.34</v>
      </c>
      <c r="I191" s="473">
        <f t="shared" si="133"/>
        <v>102025.39</v>
      </c>
      <c r="J191" s="474">
        <f>'COMPOSIÇÃO DE CUSTOS'!G460</f>
        <v>311.76</v>
      </c>
      <c r="K191" s="378">
        <v>366.77</v>
      </c>
      <c r="L191" s="47">
        <f t="shared" si="103"/>
        <v>-55.015499999999975</v>
      </c>
      <c r="M191" s="47">
        <f t="shared" si="104"/>
        <v>80454.483815</v>
      </c>
      <c r="N191" s="47"/>
      <c r="O191" s="47">
        <f t="shared" si="105"/>
        <v>102025.39379999999</v>
      </c>
      <c r="P191" s="47" t="e">
        <f>IF(B191&lt;&gt;0,VLOOKUP(B191,#REF!,2,FALSE),"")</f>
        <v>#REF!</v>
      </c>
      <c r="R191" s="34">
        <f t="shared" si="132"/>
        <v>-258.07</v>
      </c>
      <c r="AD191" s="577"/>
      <c r="AE191" s="502"/>
      <c r="AF191" s="502"/>
      <c r="AG191" s="502"/>
      <c r="AH191" s="502"/>
      <c r="AI191" s="872">
        <f>AL191</f>
        <v>370.67</v>
      </c>
      <c r="AJ191" s="473">
        <f>ROUND(AI191*(1+$J$13),2)</f>
        <v>470.05</v>
      </c>
      <c r="AK191" s="473">
        <f>ROUND(AJ191*F191,2)</f>
        <v>121305.8</v>
      </c>
      <c r="AL191" s="788">
        <f>'PLANILHA ORÇA - CORREGEDORIA'!BG238</f>
        <v>370.67</v>
      </c>
    </row>
    <row r="192" spans="1:38" ht="27" customHeight="1">
      <c r="A192" s="25"/>
      <c r="B192" s="24"/>
      <c r="C192" s="23"/>
      <c r="D192" s="25"/>
      <c r="E192" s="25"/>
      <c r="F192" s="26"/>
      <c r="G192" s="26"/>
      <c r="H192" s="26"/>
      <c r="I192" s="26"/>
      <c r="J192" s="65" t="str">
        <f>IF(B192&lt;&gt;0,VLOOKUP(B192,#REF!,4,FALSE),"")</f>
        <v/>
      </c>
      <c r="K192" s="362" t="s">
        <v>1892</v>
      </c>
      <c r="L192" s="65"/>
      <c r="M192" s="65">
        <f t="shared" si="104"/>
        <v>0</v>
      </c>
      <c r="N192" s="65"/>
      <c r="O192" s="65">
        <f t="shared" si="105"/>
        <v>0</v>
      </c>
      <c r="P192" s="65" t="str">
        <f>IF(B192&lt;&gt;0,VLOOKUP(B192,#REF!,2,FALSE),"")</f>
        <v/>
      </c>
      <c r="R192" s="62">
        <f t="shared" si="132"/>
        <v>0</v>
      </c>
      <c r="AD192" s="21"/>
      <c r="AE192" s="481"/>
      <c r="AF192" s="481"/>
      <c r="AG192" s="481"/>
      <c r="AH192" s="481"/>
      <c r="AI192" s="552"/>
    </row>
    <row r="193" spans="1:38" s="45" customFormat="1">
      <c r="A193" s="77" t="s">
        <v>817</v>
      </c>
      <c r="B193" s="139"/>
      <c r="C193" s="340" t="s">
        <v>114</v>
      </c>
      <c r="D193" s="341"/>
      <c r="E193" s="341"/>
      <c r="F193" s="341"/>
      <c r="G193" s="26"/>
      <c r="H193" s="341"/>
      <c r="I193" s="96">
        <f>ROUND(I194+I346+I383+I865,2)</f>
        <v>2521593.89</v>
      </c>
      <c r="J193" s="65" t="str">
        <f>IF(B193&lt;&gt;0,VLOOKUP(B193,#REF!,4,FALSE),"")</f>
        <v/>
      </c>
      <c r="K193" s="362" t="s">
        <v>1892</v>
      </c>
      <c r="L193" s="65"/>
      <c r="M193" s="65">
        <f t="shared" si="104"/>
        <v>0</v>
      </c>
      <c r="N193" s="65"/>
      <c r="O193" s="65">
        <f t="shared" si="105"/>
        <v>0</v>
      </c>
      <c r="P193" s="65" t="str">
        <f>IF(B193&lt;&gt;0,VLOOKUP(B193,#REF!,2,FALSE),"")</f>
        <v/>
      </c>
      <c r="R193" s="62">
        <f t="shared" si="132"/>
        <v>0</v>
      </c>
      <c r="AD193" s="56"/>
      <c r="AE193" s="481"/>
      <c r="AF193" s="481"/>
      <c r="AG193" s="481"/>
      <c r="AH193" s="481"/>
      <c r="AI193" s="855"/>
      <c r="AJ193" s="481"/>
      <c r="AK193" s="548">
        <f>ROUND(AK194+AK346+AK383+AK865,2)</f>
        <v>2829539.34</v>
      </c>
      <c r="AL193" s="724"/>
    </row>
    <row r="194" spans="1:38">
      <c r="A194" s="77" t="s">
        <v>818</v>
      </c>
      <c r="B194" s="139"/>
      <c r="C194" s="340" t="s">
        <v>115</v>
      </c>
      <c r="D194" s="341"/>
      <c r="E194" s="341"/>
      <c r="F194" s="341"/>
      <c r="G194" s="26"/>
      <c r="H194" s="341"/>
      <c r="I194" s="96">
        <f>SUM(I197:I344)</f>
        <v>333930.67</v>
      </c>
      <c r="J194" s="65" t="str">
        <f>IF(B194&lt;&gt;0,VLOOKUP(B194,#REF!,4,FALSE),"")</f>
        <v/>
      </c>
      <c r="K194" s="362" t="s">
        <v>1892</v>
      </c>
      <c r="L194" s="65"/>
      <c r="M194" s="65">
        <f t="shared" si="104"/>
        <v>0</v>
      </c>
      <c r="N194" s="65"/>
      <c r="O194" s="65">
        <f t="shared" si="105"/>
        <v>0</v>
      </c>
      <c r="P194" s="65" t="str">
        <f>IF(B194&lt;&gt;0,VLOOKUP(B194,#REF!,2,FALSE),"")</f>
        <v/>
      </c>
      <c r="R194" s="62">
        <f t="shared" si="132"/>
        <v>0</v>
      </c>
      <c r="AD194" s="21"/>
      <c r="AE194" s="481"/>
      <c r="AF194" s="481"/>
      <c r="AG194" s="481"/>
      <c r="AH194" s="481"/>
      <c r="AI194" s="855"/>
      <c r="AJ194" s="481"/>
      <c r="AK194" s="548">
        <f>SUM(AK197:AK344)</f>
        <v>359600.52000000008</v>
      </c>
    </row>
    <row r="195" spans="1:38" s="62" customFormat="1">
      <c r="A195" s="77" t="s">
        <v>819</v>
      </c>
      <c r="B195" s="139"/>
      <c r="C195" s="340" t="s">
        <v>116</v>
      </c>
      <c r="D195" s="341"/>
      <c r="E195" s="341"/>
      <c r="F195" s="341"/>
      <c r="G195" s="26"/>
      <c r="H195" s="341"/>
      <c r="I195" s="96"/>
      <c r="J195" s="65" t="str">
        <f>IF(B195&lt;&gt;0,VLOOKUP(B195,#REF!,4,FALSE),"")</f>
        <v/>
      </c>
      <c r="K195" s="362" t="s">
        <v>1892</v>
      </c>
      <c r="L195" s="65"/>
      <c r="M195" s="65">
        <f t="shared" si="104"/>
        <v>0</v>
      </c>
      <c r="N195" s="65"/>
      <c r="O195" s="65">
        <f t="shared" si="105"/>
        <v>0</v>
      </c>
      <c r="P195" s="65" t="str">
        <f>IF(B195&lt;&gt;0,VLOOKUP(B195,#REF!,2,FALSE),"")</f>
        <v/>
      </c>
      <c r="R195" s="62">
        <f t="shared" si="132"/>
        <v>0</v>
      </c>
      <c r="AD195" s="221"/>
      <c r="AE195" s="481"/>
      <c r="AF195" s="481"/>
      <c r="AG195" s="481"/>
      <c r="AH195" s="481"/>
      <c r="AI195" s="855"/>
      <c r="AJ195" s="481"/>
      <c r="AK195" s="481"/>
      <c r="AL195" s="224"/>
    </row>
    <row r="196" spans="1:38" s="62" customFormat="1">
      <c r="A196" s="77" t="s">
        <v>820</v>
      </c>
      <c r="B196" s="139"/>
      <c r="C196" s="340" t="s">
        <v>117</v>
      </c>
      <c r="D196" s="341"/>
      <c r="E196" s="341"/>
      <c r="F196" s="341"/>
      <c r="G196" s="26"/>
      <c r="H196" s="341"/>
      <c r="I196" s="96"/>
      <c r="J196" s="65" t="str">
        <f>IF(B196&lt;&gt;0,VLOOKUP(B196,#REF!,4,FALSE),"")</f>
        <v/>
      </c>
      <c r="K196" s="362" t="s">
        <v>1892</v>
      </c>
      <c r="L196" s="65"/>
      <c r="M196" s="65">
        <f t="shared" si="104"/>
        <v>0</v>
      </c>
      <c r="N196" s="65"/>
      <c r="O196" s="65">
        <f t="shared" si="105"/>
        <v>0</v>
      </c>
      <c r="P196" s="65" t="str">
        <f>IF(B196&lt;&gt;0,VLOOKUP(B196,#REF!,2,FALSE),"")</f>
        <v/>
      </c>
      <c r="Q196" s="62">
        <v>26</v>
      </c>
      <c r="R196" s="62">
        <f t="shared" si="132"/>
        <v>26</v>
      </c>
      <c r="AD196" s="221"/>
      <c r="AE196" s="481"/>
      <c r="AF196" s="481"/>
      <c r="AG196" s="481"/>
      <c r="AH196" s="481"/>
      <c r="AI196" s="855"/>
      <c r="AJ196" s="481"/>
      <c r="AK196" s="481"/>
      <c r="AL196" s="224"/>
    </row>
    <row r="197" spans="1:38" s="62" customFormat="1">
      <c r="A197" s="25" t="s">
        <v>821</v>
      </c>
      <c r="B197" s="24" t="s">
        <v>2088</v>
      </c>
      <c r="C197" s="23" t="s">
        <v>118</v>
      </c>
      <c r="D197" s="25" t="s">
        <v>70</v>
      </c>
      <c r="E197" s="25" t="s">
        <v>17</v>
      </c>
      <c r="F197" s="26">
        <v>26</v>
      </c>
      <c r="G197" s="26">
        <f t="shared" si="101"/>
        <v>4.2330000000000005</v>
      </c>
      <c r="H197" s="26">
        <f t="shared" ref="H197:H230" si="137">ROUND(G197*(1+$J$13),2)</f>
        <v>5.37</v>
      </c>
      <c r="I197" s="26">
        <f t="shared" ref="I197:I230" si="138">ROUND(H197*F197,2)</f>
        <v>139.62</v>
      </c>
      <c r="J197" s="64">
        <f>'COMPOSIÇÃO DE CUSTOS'!G469</f>
        <v>4.21</v>
      </c>
      <c r="K197" s="362">
        <v>4.9800000000000004</v>
      </c>
      <c r="L197" s="65">
        <f t="shared" si="103"/>
        <v>-0.74699999999999989</v>
      </c>
      <c r="M197" s="65">
        <f t="shared" si="104"/>
        <v>110.05800000000002</v>
      </c>
      <c r="N197" s="65"/>
      <c r="O197" s="65">
        <f t="shared" si="105"/>
        <v>139.62</v>
      </c>
      <c r="P197" s="65" t="e">
        <f>IF(B197&lt;&gt;0,VLOOKUP(B197,#REF!,2,FALSE),"")</f>
        <v>#REF!</v>
      </c>
      <c r="Q197" s="62">
        <v>6</v>
      </c>
      <c r="R197" s="62">
        <f t="shared" si="132"/>
        <v>-20</v>
      </c>
      <c r="AD197" s="221"/>
      <c r="AE197" s="481"/>
      <c r="AF197" s="481"/>
      <c r="AG197" s="481"/>
      <c r="AH197" s="481"/>
      <c r="AI197" s="871">
        <f t="shared" ref="AI197" si="139">ROUND(G197*$AM$11,2)</f>
        <v>4.72</v>
      </c>
      <c r="AJ197" s="158">
        <f t="shared" ref="AJ197:AJ260" si="140">ROUND(AI197*(1+$J$13),2)</f>
        <v>5.99</v>
      </c>
      <c r="AK197" s="158">
        <f t="shared" ref="AK197" si="141">ROUND(AJ197*F197,2)</f>
        <v>155.74</v>
      </c>
      <c r="AL197" s="224"/>
    </row>
    <row r="198" spans="1:38" s="62" customFormat="1">
      <c r="A198" s="25" t="s">
        <v>822</v>
      </c>
      <c r="B198" s="24" t="s">
        <v>2089</v>
      </c>
      <c r="C198" s="23" t="s">
        <v>119</v>
      </c>
      <c r="D198" s="25" t="s">
        <v>70</v>
      </c>
      <c r="E198" s="25" t="s">
        <v>17</v>
      </c>
      <c r="F198" s="26">
        <v>6</v>
      </c>
      <c r="G198" s="26">
        <f t="shared" si="101"/>
        <v>10.7865</v>
      </c>
      <c r="H198" s="26">
        <f t="shared" si="137"/>
        <v>13.68</v>
      </c>
      <c r="I198" s="26">
        <f t="shared" si="138"/>
        <v>82.08</v>
      </c>
      <c r="J198" s="64">
        <f>'COMPOSIÇÃO DE CUSTOS'!G478</f>
        <v>10.78</v>
      </c>
      <c r="K198" s="362">
        <v>12.69</v>
      </c>
      <c r="L198" s="65">
        <f t="shared" si="103"/>
        <v>-1.9034999999999993</v>
      </c>
      <c r="M198" s="65">
        <f t="shared" si="104"/>
        <v>64.718999999999994</v>
      </c>
      <c r="N198" s="65"/>
      <c r="O198" s="65">
        <f t="shared" si="105"/>
        <v>82.08</v>
      </c>
      <c r="P198" s="65" t="e">
        <f>IF(B198&lt;&gt;0,VLOOKUP(B198,#REF!,2,FALSE),"")</f>
        <v>#REF!</v>
      </c>
      <c r="Q198" s="62">
        <v>3</v>
      </c>
      <c r="R198" s="62">
        <f t="shared" si="132"/>
        <v>-3</v>
      </c>
      <c r="AD198" s="221"/>
      <c r="AE198" s="481"/>
      <c r="AF198" s="481"/>
      <c r="AG198" s="481"/>
      <c r="AH198" s="481"/>
      <c r="AI198" s="871">
        <f t="shared" ref="AI198:AI261" si="142">ROUND(G198*$AM$11,2)</f>
        <v>12.02</v>
      </c>
      <c r="AJ198" s="158">
        <f t="shared" si="140"/>
        <v>15.24</v>
      </c>
      <c r="AK198" s="158">
        <f t="shared" ref="AK198:AK261" si="143">ROUND(AJ198*F198,2)</f>
        <v>91.44</v>
      </c>
      <c r="AL198" s="224"/>
    </row>
    <row r="199" spans="1:38" ht="36" customHeight="1">
      <c r="A199" s="25" t="s">
        <v>823</v>
      </c>
      <c r="B199" s="24" t="s">
        <v>2090</v>
      </c>
      <c r="C199" s="23" t="s">
        <v>120</v>
      </c>
      <c r="D199" s="25" t="s">
        <v>70</v>
      </c>
      <c r="E199" s="25" t="s">
        <v>17</v>
      </c>
      <c r="F199" s="26">
        <v>3</v>
      </c>
      <c r="G199" s="26">
        <f t="shared" si="101"/>
        <v>15.928999999999998</v>
      </c>
      <c r="H199" s="26">
        <f t="shared" si="137"/>
        <v>20.2</v>
      </c>
      <c r="I199" s="26">
        <f t="shared" si="138"/>
        <v>60.6</v>
      </c>
      <c r="J199" s="64">
        <f>'COMPOSIÇÃO DE CUSTOS'!G487</f>
        <v>15.92</v>
      </c>
      <c r="K199" s="362">
        <v>18.739999999999998</v>
      </c>
      <c r="L199" s="65">
        <f t="shared" si="103"/>
        <v>-2.8109999999999999</v>
      </c>
      <c r="M199" s="65">
        <f t="shared" si="104"/>
        <v>47.786999999999992</v>
      </c>
      <c r="N199" s="65"/>
      <c r="O199" s="65">
        <f t="shared" si="105"/>
        <v>60.599999999999994</v>
      </c>
      <c r="P199" s="65" t="e">
        <f>IF(B199&lt;&gt;0,VLOOKUP(B199,#REF!,2,FALSE),"")</f>
        <v>#REF!</v>
      </c>
      <c r="Q199" s="2">
        <v>9</v>
      </c>
      <c r="R199" s="62">
        <f t="shared" si="132"/>
        <v>6</v>
      </c>
      <c r="AD199" s="21"/>
      <c r="AE199" s="481"/>
      <c r="AF199" s="481"/>
      <c r="AG199" s="481"/>
      <c r="AH199" s="481"/>
      <c r="AI199" s="871">
        <f t="shared" si="142"/>
        <v>17.75</v>
      </c>
      <c r="AJ199" s="158">
        <f t="shared" si="140"/>
        <v>22.51</v>
      </c>
      <c r="AK199" s="158">
        <f t="shared" si="143"/>
        <v>67.53</v>
      </c>
    </row>
    <row r="200" spans="1:38" s="45" customFormat="1" ht="53.25" customHeight="1">
      <c r="A200" s="25" t="s">
        <v>824</v>
      </c>
      <c r="B200" s="24">
        <v>89491</v>
      </c>
      <c r="C200" s="23" t="s">
        <v>1571</v>
      </c>
      <c r="D200" s="25" t="s">
        <v>12</v>
      </c>
      <c r="E200" s="25" t="s">
        <v>17</v>
      </c>
      <c r="F200" s="26">
        <v>9</v>
      </c>
      <c r="G200" s="26">
        <f t="shared" si="101"/>
        <v>37.910000000000004</v>
      </c>
      <c r="H200" s="26">
        <f t="shared" si="137"/>
        <v>48.07</v>
      </c>
      <c r="I200" s="26">
        <f t="shared" si="138"/>
        <v>432.63</v>
      </c>
      <c r="J200" s="65" t="e">
        <f>IF(B200&lt;&gt;0,VLOOKUP(B200,#REF!,4,FALSE),"")</f>
        <v>#REF!</v>
      </c>
      <c r="K200" s="362" t="s">
        <v>3293</v>
      </c>
      <c r="L200" s="65">
        <f t="shared" si="103"/>
        <v>-6.6899999999999977</v>
      </c>
      <c r="M200" s="65">
        <f t="shared" si="104"/>
        <v>341.19000000000005</v>
      </c>
      <c r="N200" s="65"/>
      <c r="O200" s="65">
        <f t="shared" si="105"/>
        <v>432.63</v>
      </c>
      <c r="P200" s="65" t="e">
        <f>IF(B200&lt;&gt;0,VLOOKUP(B200,#REF!,2,FALSE),"")</f>
        <v>#REF!</v>
      </c>
      <c r="Q200" s="45">
        <v>18</v>
      </c>
      <c r="R200" s="62">
        <f t="shared" si="132"/>
        <v>9</v>
      </c>
      <c r="AD200" s="56"/>
      <c r="AE200" s="481"/>
      <c r="AF200" s="481"/>
      <c r="AG200" s="481"/>
      <c r="AH200" s="481"/>
      <c r="AI200" s="878">
        <f t="shared" si="142"/>
        <v>42.23</v>
      </c>
      <c r="AJ200" s="159">
        <f t="shared" si="140"/>
        <v>53.55</v>
      </c>
      <c r="AK200" s="159">
        <f t="shared" si="143"/>
        <v>481.95</v>
      </c>
      <c r="AL200" s="724"/>
    </row>
    <row r="201" spans="1:38" s="28" customFormat="1" ht="45">
      <c r="A201" s="25" t="s">
        <v>825</v>
      </c>
      <c r="B201" s="24">
        <v>89482</v>
      </c>
      <c r="C201" s="23" t="s">
        <v>1572</v>
      </c>
      <c r="D201" s="25" t="s">
        <v>12</v>
      </c>
      <c r="E201" s="25" t="s">
        <v>17</v>
      </c>
      <c r="F201" s="26">
        <v>18</v>
      </c>
      <c r="G201" s="26">
        <f t="shared" si="101"/>
        <v>15.988499999999998</v>
      </c>
      <c r="H201" s="26">
        <f t="shared" si="137"/>
        <v>20.28</v>
      </c>
      <c r="I201" s="26">
        <f t="shared" si="138"/>
        <v>365.04</v>
      </c>
      <c r="J201" s="65" t="e">
        <f>IF(B201&lt;&gt;0,VLOOKUP(B201,#REF!,4,FALSE),"")</f>
        <v>#REF!</v>
      </c>
      <c r="K201" s="362" t="s">
        <v>1890</v>
      </c>
      <c r="L201" s="65">
        <f t="shared" si="103"/>
        <v>-2.8215000000000003</v>
      </c>
      <c r="M201" s="65">
        <f t="shared" si="104"/>
        <v>287.79299999999995</v>
      </c>
      <c r="N201" s="65"/>
      <c r="O201" s="65">
        <f t="shared" si="105"/>
        <v>365.04</v>
      </c>
      <c r="P201" s="65" t="e">
        <f>IF(B201&lt;&gt;0,VLOOKUP(B201,#REF!,2,FALSE),"")</f>
        <v>#REF!</v>
      </c>
      <c r="Q201" s="28">
        <v>2</v>
      </c>
      <c r="R201" s="62">
        <f t="shared" si="132"/>
        <v>-16</v>
      </c>
      <c r="AD201" s="370"/>
      <c r="AE201" s="481"/>
      <c r="AF201" s="481"/>
      <c r="AG201" s="481"/>
      <c r="AH201" s="481"/>
      <c r="AI201" s="873">
        <f t="shared" si="142"/>
        <v>17.809999999999999</v>
      </c>
      <c r="AJ201" s="26">
        <f t="shared" si="140"/>
        <v>22.58</v>
      </c>
      <c r="AK201" s="26">
        <f t="shared" si="143"/>
        <v>406.44</v>
      </c>
      <c r="AL201" s="787"/>
    </row>
    <row r="202" spans="1:38" s="28" customFormat="1" ht="60">
      <c r="A202" s="25" t="s">
        <v>826</v>
      </c>
      <c r="B202" s="24">
        <v>89710</v>
      </c>
      <c r="C202" s="23" t="s">
        <v>1573</v>
      </c>
      <c r="D202" s="25" t="s">
        <v>12</v>
      </c>
      <c r="E202" s="25" t="s">
        <v>17</v>
      </c>
      <c r="F202" s="26">
        <v>2</v>
      </c>
      <c r="G202" s="26">
        <f t="shared" si="101"/>
        <v>6.7915000000000001</v>
      </c>
      <c r="H202" s="26">
        <f t="shared" si="137"/>
        <v>8.61</v>
      </c>
      <c r="I202" s="26">
        <f t="shared" si="138"/>
        <v>17.22</v>
      </c>
      <c r="J202" s="65" t="e">
        <f>IF(B202&lt;&gt;0,VLOOKUP(B202,#REF!,4,FALSE),"")</f>
        <v>#REF!</v>
      </c>
      <c r="K202" s="362" t="s">
        <v>3294</v>
      </c>
      <c r="L202" s="65">
        <f t="shared" si="103"/>
        <v>-1.1985000000000001</v>
      </c>
      <c r="M202" s="65">
        <f t="shared" si="104"/>
        <v>13.583</v>
      </c>
      <c r="N202" s="65"/>
      <c r="O202" s="65">
        <f t="shared" si="105"/>
        <v>17.22</v>
      </c>
      <c r="P202" s="65" t="e">
        <f>IF(B202&lt;&gt;0,VLOOKUP(B202,#REF!,2,FALSE),"")</f>
        <v>#REF!</v>
      </c>
      <c r="Q202" s="28">
        <v>1162</v>
      </c>
      <c r="R202" s="62">
        <f t="shared" si="132"/>
        <v>1160</v>
      </c>
      <c r="AD202" s="370"/>
      <c r="AE202" s="481"/>
      <c r="AF202" s="481"/>
      <c r="AG202" s="481"/>
      <c r="AH202" s="481"/>
      <c r="AI202" s="873">
        <f t="shared" si="142"/>
        <v>7.57</v>
      </c>
      <c r="AJ202" s="26">
        <f t="shared" si="140"/>
        <v>9.6</v>
      </c>
      <c r="AK202" s="26">
        <f t="shared" si="143"/>
        <v>19.2</v>
      </c>
      <c r="AL202" s="787"/>
    </row>
    <row r="203" spans="1:38" s="34" customFormat="1" ht="45">
      <c r="A203" s="472" t="s">
        <v>827</v>
      </c>
      <c r="B203" s="475">
        <v>89356</v>
      </c>
      <c r="C203" s="471" t="s">
        <v>1574</v>
      </c>
      <c r="D203" s="472" t="s">
        <v>12</v>
      </c>
      <c r="E203" s="472" t="s">
        <v>52</v>
      </c>
      <c r="F203" s="473">
        <v>1162</v>
      </c>
      <c r="G203" s="473">
        <f t="shared" si="101"/>
        <v>13.506500000000001</v>
      </c>
      <c r="H203" s="473">
        <f t="shared" si="137"/>
        <v>17.13</v>
      </c>
      <c r="I203" s="473">
        <f t="shared" si="138"/>
        <v>19905.060000000001</v>
      </c>
      <c r="J203" s="47" t="e">
        <f>IF(B203&lt;&gt;0,VLOOKUP(B203,#REF!,4,FALSE),"")</f>
        <v>#REF!</v>
      </c>
      <c r="K203" s="378" t="s">
        <v>1882</v>
      </c>
      <c r="L203" s="47">
        <f t="shared" si="103"/>
        <v>-2.3834999999999997</v>
      </c>
      <c r="M203" s="47">
        <f t="shared" si="104"/>
        <v>15694.553000000002</v>
      </c>
      <c r="N203" s="47"/>
      <c r="O203" s="47">
        <f t="shared" si="105"/>
        <v>19905.059999999998</v>
      </c>
      <c r="P203" s="47" t="e">
        <f>IF(B203&lt;&gt;0,VLOOKUP(B203,#REF!,2,FALSE),"")</f>
        <v>#REF!</v>
      </c>
      <c r="Q203" s="34">
        <v>246</v>
      </c>
      <c r="R203" s="34">
        <f t="shared" si="132"/>
        <v>-916</v>
      </c>
      <c r="AD203" s="577"/>
      <c r="AE203" s="502"/>
      <c r="AF203" s="502"/>
      <c r="AG203" s="502"/>
      <c r="AH203" s="502"/>
      <c r="AI203" s="872">
        <f>AL203</f>
        <v>15.17</v>
      </c>
      <c r="AJ203" s="473">
        <f>ROUND(AI203*(1+$J$13),2)</f>
        <v>19.239999999999998</v>
      </c>
      <c r="AK203" s="473">
        <f>ROUND(AJ203*F203,2)</f>
        <v>22356.880000000001</v>
      </c>
      <c r="AL203" s="788">
        <f>'PLANILHA ORÇA - CORREGEDORIA'!BG250</f>
        <v>15.17</v>
      </c>
    </row>
    <row r="204" spans="1:38" s="62" customFormat="1" ht="45">
      <c r="A204" s="25" t="s">
        <v>828</v>
      </c>
      <c r="B204" s="24">
        <v>89357</v>
      </c>
      <c r="C204" s="23" t="s">
        <v>1575</v>
      </c>
      <c r="D204" s="25" t="s">
        <v>12</v>
      </c>
      <c r="E204" s="25" t="s">
        <v>52</v>
      </c>
      <c r="F204" s="26">
        <v>246</v>
      </c>
      <c r="G204" s="26">
        <f t="shared" si="101"/>
        <v>19.975000000000001</v>
      </c>
      <c r="H204" s="26">
        <f t="shared" si="137"/>
        <v>25.33</v>
      </c>
      <c r="I204" s="26">
        <f t="shared" si="138"/>
        <v>6231.18</v>
      </c>
      <c r="J204" s="65" t="e">
        <f>IF(B204&lt;&gt;0,VLOOKUP(B204,#REF!,4,FALSE),"")</f>
        <v>#REF!</v>
      </c>
      <c r="K204" s="362" t="s">
        <v>3269</v>
      </c>
      <c r="L204" s="65">
        <f t="shared" si="103"/>
        <v>-3.5249999999999986</v>
      </c>
      <c r="M204" s="65">
        <f t="shared" si="104"/>
        <v>4913.8500000000004</v>
      </c>
      <c r="N204" s="65"/>
      <c r="O204" s="65">
        <f t="shared" si="105"/>
        <v>6231.1799999999994</v>
      </c>
      <c r="P204" s="65" t="e">
        <f>IF(B204&lt;&gt;0,VLOOKUP(B204,#REF!,2,FALSE),"")</f>
        <v>#REF!</v>
      </c>
      <c r="Q204" s="62">
        <v>486</v>
      </c>
      <c r="R204" s="62">
        <f t="shared" si="132"/>
        <v>240</v>
      </c>
      <c r="AD204" s="221"/>
      <c r="AE204" s="481"/>
      <c r="AF204" s="481"/>
      <c r="AG204" s="481"/>
      <c r="AH204" s="481"/>
      <c r="AI204" s="873">
        <f t="shared" si="142"/>
        <v>22.25</v>
      </c>
      <c r="AJ204" s="26">
        <f t="shared" si="140"/>
        <v>28.22</v>
      </c>
      <c r="AK204" s="26">
        <f t="shared" si="143"/>
        <v>6942.12</v>
      </c>
      <c r="AL204" s="224"/>
    </row>
    <row r="205" spans="1:38" s="62" customFormat="1" ht="45">
      <c r="A205" s="25" t="s">
        <v>829</v>
      </c>
      <c r="B205" s="24">
        <v>89448</v>
      </c>
      <c r="C205" s="23" t="s">
        <v>1576</v>
      </c>
      <c r="D205" s="25" t="s">
        <v>12</v>
      </c>
      <c r="E205" s="25" t="s">
        <v>52</v>
      </c>
      <c r="F205" s="26">
        <v>486</v>
      </c>
      <c r="G205" s="26">
        <f t="shared" si="101"/>
        <v>12.5885</v>
      </c>
      <c r="H205" s="26">
        <f t="shared" si="137"/>
        <v>15.96</v>
      </c>
      <c r="I205" s="26">
        <f t="shared" si="138"/>
        <v>7756.56</v>
      </c>
      <c r="J205" s="65" t="e">
        <f>IF(B205&lt;&gt;0,VLOOKUP(B205,#REF!,4,FALSE),"")</f>
        <v>#REF!</v>
      </c>
      <c r="K205" s="362" t="s">
        <v>3270</v>
      </c>
      <c r="L205" s="65">
        <f t="shared" si="103"/>
        <v>-2.2215000000000007</v>
      </c>
      <c r="M205" s="65">
        <f t="shared" si="104"/>
        <v>6118.0109999999995</v>
      </c>
      <c r="N205" s="65"/>
      <c r="O205" s="65">
        <f t="shared" si="105"/>
        <v>7756.56</v>
      </c>
      <c r="P205" s="65" t="e">
        <f>IF(B205&lt;&gt;0,VLOOKUP(B205,#REF!,2,FALSE),"")</f>
        <v>#REF!</v>
      </c>
      <c r="Q205" s="62">
        <v>216</v>
      </c>
      <c r="R205" s="62">
        <f t="shared" si="132"/>
        <v>-270</v>
      </c>
      <c r="AD205" s="221"/>
      <c r="AE205" s="481"/>
      <c r="AF205" s="481"/>
      <c r="AG205" s="481"/>
      <c r="AH205" s="481"/>
      <c r="AI205" s="873">
        <f t="shared" si="142"/>
        <v>14.02</v>
      </c>
      <c r="AJ205" s="26">
        <f t="shared" si="140"/>
        <v>17.78</v>
      </c>
      <c r="AK205" s="26">
        <f t="shared" si="143"/>
        <v>8641.08</v>
      </c>
      <c r="AL205" s="224"/>
    </row>
    <row r="206" spans="1:38" ht="48.75" customHeight="1">
      <c r="A206" s="25" t="s">
        <v>830</v>
      </c>
      <c r="B206" s="24">
        <v>89449</v>
      </c>
      <c r="C206" s="23" t="s">
        <v>1577</v>
      </c>
      <c r="D206" s="25" t="s">
        <v>12</v>
      </c>
      <c r="E206" s="25" t="s">
        <v>52</v>
      </c>
      <c r="F206" s="26">
        <v>216</v>
      </c>
      <c r="G206" s="26">
        <f t="shared" si="101"/>
        <v>14.466999999999999</v>
      </c>
      <c r="H206" s="26">
        <f t="shared" si="137"/>
        <v>18.350000000000001</v>
      </c>
      <c r="I206" s="26">
        <f t="shared" si="138"/>
        <v>3963.6</v>
      </c>
      <c r="J206" s="65" t="e">
        <f>IF(B206&lt;&gt;0,VLOOKUP(B206,#REF!,4,FALSE),"")</f>
        <v>#REF!</v>
      </c>
      <c r="K206" s="362" t="s">
        <v>1861</v>
      </c>
      <c r="L206" s="65">
        <f t="shared" si="103"/>
        <v>-2.5530000000000008</v>
      </c>
      <c r="M206" s="65">
        <f t="shared" si="104"/>
        <v>3124.8719999999998</v>
      </c>
      <c r="N206" s="65"/>
      <c r="O206" s="65">
        <f t="shared" si="105"/>
        <v>3963.6000000000004</v>
      </c>
      <c r="P206" s="65" t="e">
        <f>IF(B206&lt;&gt;0,VLOOKUP(B206,#REF!,2,FALSE),"")</f>
        <v>#REF!</v>
      </c>
      <c r="Q206" s="2">
        <v>216</v>
      </c>
      <c r="R206" s="62">
        <f t="shared" si="132"/>
        <v>0</v>
      </c>
      <c r="AD206" s="21"/>
      <c r="AE206" s="481"/>
      <c r="AF206" s="481"/>
      <c r="AG206" s="481"/>
      <c r="AH206" s="481"/>
      <c r="AI206" s="873">
        <f t="shared" si="142"/>
        <v>16.12</v>
      </c>
      <c r="AJ206" s="26">
        <f t="shared" si="140"/>
        <v>20.440000000000001</v>
      </c>
      <c r="AK206" s="26">
        <f t="shared" si="143"/>
        <v>4415.04</v>
      </c>
    </row>
    <row r="207" spans="1:38" s="45" customFormat="1" ht="45">
      <c r="A207" s="25" t="s">
        <v>831</v>
      </c>
      <c r="B207" s="24">
        <v>89451</v>
      </c>
      <c r="C207" s="23" t="s">
        <v>1578</v>
      </c>
      <c r="D207" s="25" t="s">
        <v>12</v>
      </c>
      <c r="E207" s="25" t="s">
        <v>52</v>
      </c>
      <c r="F207" s="26">
        <v>216</v>
      </c>
      <c r="G207" s="26">
        <f t="shared" si="101"/>
        <v>39.856499999999997</v>
      </c>
      <c r="H207" s="26">
        <f t="shared" si="137"/>
        <v>50.54</v>
      </c>
      <c r="I207" s="26">
        <f t="shared" si="138"/>
        <v>10916.64</v>
      </c>
      <c r="J207" s="65" t="e">
        <f>IF(B207&lt;&gt;0,VLOOKUP(B207,#REF!,4,FALSE),"")</f>
        <v>#REF!</v>
      </c>
      <c r="K207" s="362" t="s">
        <v>3271</v>
      </c>
      <c r="L207" s="65">
        <f t="shared" si="103"/>
        <v>-7.0335000000000036</v>
      </c>
      <c r="M207" s="65">
        <f t="shared" si="104"/>
        <v>8609.003999999999</v>
      </c>
      <c r="N207" s="65"/>
      <c r="O207" s="65">
        <f t="shared" si="105"/>
        <v>10916.64</v>
      </c>
      <c r="P207" s="65" t="e">
        <f>IF(B207&lt;&gt;0,VLOOKUP(B207,#REF!,2,FALSE),"")</f>
        <v>#REF!</v>
      </c>
      <c r="Q207" s="45">
        <v>2</v>
      </c>
      <c r="R207" s="62">
        <f t="shared" si="132"/>
        <v>-214</v>
      </c>
      <c r="AD207" s="56"/>
      <c r="AE207" s="481"/>
      <c r="AF207" s="481"/>
      <c r="AG207" s="481"/>
      <c r="AH207" s="481"/>
      <c r="AI207" s="873">
        <f t="shared" si="142"/>
        <v>44.4</v>
      </c>
      <c r="AJ207" s="26">
        <f t="shared" si="140"/>
        <v>56.3</v>
      </c>
      <c r="AK207" s="26">
        <f t="shared" si="143"/>
        <v>12160.8</v>
      </c>
      <c r="AL207" s="724"/>
    </row>
    <row r="208" spans="1:38" s="45" customFormat="1" ht="39.75" customHeight="1">
      <c r="A208" s="25" t="s">
        <v>832</v>
      </c>
      <c r="B208" s="24">
        <v>11880</v>
      </c>
      <c r="C208" s="23" t="s">
        <v>121</v>
      </c>
      <c r="D208" s="25" t="s">
        <v>1915</v>
      </c>
      <c r="E208" s="25" t="s">
        <v>17</v>
      </c>
      <c r="F208" s="26">
        <v>2</v>
      </c>
      <c r="G208" s="26">
        <f t="shared" si="101"/>
        <v>63.605499999999999</v>
      </c>
      <c r="H208" s="26">
        <f t="shared" si="137"/>
        <v>80.66</v>
      </c>
      <c r="I208" s="26">
        <f t="shared" si="138"/>
        <v>161.32</v>
      </c>
      <c r="J208" s="64">
        <f>'COMPOSIÇÃO DE CUSTOS'!G500</f>
        <v>63.61</v>
      </c>
      <c r="K208" s="362">
        <v>74.83</v>
      </c>
      <c r="L208" s="65">
        <f t="shared" si="103"/>
        <v>-11.224499999999999</v>
      </c>
      <c r="M208" s="65">
        <f t="shared" si="104"/>
        <v>127.211</v>
      </c>
      <c r="N208" s="65"/>
      <c r="O208" s="65">
        <f t="shared" si="105"/>
        <v>161.32</v>
      </c>
      <c r="P208" s="65" t="e">
        <f>IF(B208&lt;&gt;0,VLOOKUP(B208,#REF!,2,FALSE),"")</f>
        <v>#REF!</v>
      </c>
      <c r="Q208" s="45">
        <v>55</v>
      </c>
      <c r="R208" s="62">
        <f t="shared" si="132"/>
        <v>53</v>
      </c>
      <c r="AD208" s="56"/>
      <c r="AE208" s="481"/>
      <c r="AF208" s="481"/>
      <c r="AG208" s="481"/>
      <c r="AH208" s="481"/>
      <c r="AI208" s="873">
        <f t="shared" si="142"/>
        <v>70.86</v>
      </c>
      <c r="AJ208" s="26">
        <f t="shared" si="140"/>
        <v>89.86</v>
      </c>
      <c r="AK208" s="26">
        <f t="shared" si="143"/>
        <v>179.72</v>
      </c>
      <c r="AL208" s="724"/>
    </row>
    <row r="209" spans="1:38" s="28" customFormat="1" ht="30">
      <c r="A209" s="25" t="s">
        <v>833</v>
      </c>
      <c r="B209" s="24">
        <v>7752</v>
      </c>
      <c r="C209" s="23" t="s">
        <v>122</v>
      </c>
      <c r="D209" s="25" t="s">
        <v>1915</v>
      </c>
      <c r="E209" s="25" t="s">
        <v>17</v>
      </c>
      <c r="F209" s="26">
        <v>55</v>
      </c>
      <c r="G209" s="26">
        <f t="shared" si="101"/>
        <v>64.336500000000001</v>
      </c>
      <c r="H209" s="26">
        <f t="shared" si="137"/>
        <v>81.59</v>
      </c>
      <c r="I209" s="26">
        <f t="shared" si="138"/>
        <v>4487.45</v>
      </c>
      <c r="J209" s="64">
        <f>'COMPOSIÇÃO DE CUSTOS'!G507</f>
        <v>64.34</v>
      </c>
      <c r="K209" s="362">
        <v>75.69</v>
      </c>
      <c r="L209" s="65">
        <f t="shared" si="103"/>
        <v>-11.353499999999997</v>
      </c>
      <c r="M209" s="65">
        <f t="shared" si="104"/>
        <v>3538.5075000000002</v>
      </c>
      <c r="N209" s="65"/>
      <c r="O209" s="65">
        <f t="shared" si="105"/>
        <v>4487.45</v>
      </c>
      <c r="P209" s="65" t="e">
        <f>IF(B209&lt;&gt;0,VLOOKUP(B209,#REF!,2,FALSE),"")</f>
        <v>#REF!</v>
      </c>
      <c r="Q209" s="28">
        <v>162</v>
      </c>
      <c r="R209" s="62">
        <f t="shared" si="132"/>
        <v>107</v>
      </c>
      <c r="AD209" s="370"/>
      <c r="AE209" s="481"/>
      <c r="AF209" s="481"/>
      <c r="AG209" s="481"/>
      <c r="AH209" s="481"/>
      <c r="AI209" s="873">
        <f t="shared" si="142"/>
        <v>71.67</v>
      </c>
      <c r="AJ209" s="26">
        <f t="shared" si="140"/>
        <v>90.88</v>
      </c>
      <c r="AK209" s="26">
        <f t="shared" si="143"/>
        <v>4998.3999999999996</v>
      </c>
      <c r="AL209" s="787"/>
    </row>
    <row r="210" spans="1:38" s="28" customFormat="1" ht="45">
      <c r="A210" s="25" t="s">
        <v>834</v>
      </c>
      <c r="B210" s="24">
        <v>89425</v>
      </c>
      <c r="C210" s="23" t="s">
        <v>1579</v>
      </c>
      <c r="D210" s="25" t="s">
        <v>12</v>
      </c>
      <c r="E210" s="25" t="s">
        <v>17</v>
      </c>
      <c r="F210" s="26">
        <v>162</v>
      </c>
      <c r="G210" s="26">
        <f t="shared" si="101"/>
        <v>11.866000000000001</v>
      </c>
      <c r="H210" s="26">
        <f t="shared" si="137"/>
        <v>15.05</v>
      </c>
      <c r="I210" s="26">
        <f t="shared" si="138"/>
        <v>2438.1</v>
      </c>
      <c r="J210" s="64" t="e">
        <f>IF(B210&lt;&gt;0,VLOOKUP(B210,#REF!,4,FALSE),"")</f>
        <v>#REF!</v>
      </c>
      <c r="K210" s="362" t="s">
        <v>1868</v>
      </c>
      <c r="L210" s="65">
        <f t="shared" si="103"/>
        <v>-2.0939999999999994</v>
      </c>
      <c r="M210" s="65">
        <f t="shared" si="104"/>
        <v>1922.2920000000001</v>
      </c>
      <c r="N210" s="65"/>
      <c r="O210" s="65">
        <f t="shared" si="105"/>
        <v>2438.1</v>
      </c>
      <c r="P210" s="65" t="e">
        <f>IF(B210&lt;&gt;0,VLOOKUP(B210,#REF!,2,FALSE),"")</f>
        <v>#REF!</v>
      </c>
      <c r="Q210" s="28">
        <v>19</v>
      </c>
      <c r="R210" s="62">
        <f t="shared" si="132"/>
        <v>-143</v>
      </c>
      <c r="AD210" s="370"/>
      <c r="AE210" s="481"/>
      <c r="AF210" s="481"/>
      <c r="AG210" s="481"/>
      <c r="AH210" s="481"/>
      <c r="AI210" s="873">
        <f t="shared" si="142"/>
        <v>13.22</v>
      </c>
      <c r="AJ210" s="26">
        <f t="shared" si="140"/>
        <v>16.760000000000002</v>
      </c>
      <c r="AK210" s="26">
        <f t="shared" si="143"/>
        <v>2715.12</v>
      </c>
      <c r="AL210" s="787"/>
    </row>
    <row r="211" spans="1:38" ht="45">
      <c r="A211" s="25" t="s">
        <v>835</v>
      </c>
      <c r="B211" s="24">
        <v>89432</v>
      </c>
      <c r="C211" s="23" t="s">
        <v>1580</v>
      </c>
      <c r="D211" s="25" t="s">
        <v>12</v>
      </c>
      <c r="E211" s="25" t="s">
        <v>17</v>
      </c>
      <c r="F211" s="26">
        <v>19</v>
      </c>
      <c r="G211" s="26">
        <f t="shared" si="101"/>
        <v>25.610499999999998</v>
      </c>
      <c r="H211" s="26">
        <f t="shared" si="137"/>
        <v>32.479999999999997</v>
      </c>
      <c r="I211" s="26">
        <f t="shared" si="138"/>
        <v>617.12</v>
      </c>
      <c r="J211" s="64" t="e">
        <f>IF(B211&lt;&gt;0,VLOOKUP(B211,#REF!,4,FALSE),"")</f>
        <v>#REF!</v>
      </c>
      <c r="K211" s="362" t="s">
        <v>3282</v>
      </c>
      <c r="L211" s="65">
        <f t="shared" si="103"/>
        <v>-4.5195000000000007</v>
      </c>
      <c r="M211" s="65">
        <f t="shared" si="104"/>
        <v>486.59949999999998</v>
      </c>
      <c r="N211" s="65"/>
      <c r="O211" s="65">
        <f t="shared" si="105"/>
        <v>617.11999999999989</v>
      </c>
      <c r="P211" s="65" t="e">
        <f>IF(B211&lt;&gt;0,VLOOKUP(B211,#REF!,2,FALSE),"")</f>
        <v>#REF!</v>
      </c>
      <c r="Q211" s="2">
        <v>75</v>
      </c>
      <c r="R211" s="62">
        <f t="shared" si="132"/>
        <v>56</v>
      </c>
      <c r="AD211" s="21"/>
      <c r="AE211" s="481"/>
      <c r="AF211" s="481"/>
      <c r="AG211" s="481"/>
      <c r="AH211" s="481"/>
      <c r="AI211" s="873">
        <f t="shared" si="142"/>
        <v>28.53</v>
      </c>
      <c r="AJ211" s="26">
        <f t="shared" si="140"/>
        <v>36.18</v>
      </c>
      <c r="AK211" s="26">
        <f t="shared" si="143"/>
        <v>687.42</v>
      </c>
    </row>
    <row r="212" spans="1:38" ht="45">
      <c r="A212" s="25" t="s">
        <v>836</v>
      </c>
      <c r="B212" s="24" t="s">
        <v>2095</v>
      </c>
      <c r="C212" s="23" t="s">
        <v>123</v>
      </c>
      <c r="D212" s="25" t="s">
        <v>1915</v>
      </c>
      <c r="E212" s="25" t="s">
        <v>17</v>
      </c>
      <c r="F212" s="26">
        <v>75</v>
      </c>
      <c r="G212" s="26">
        <f t="shared" si="101"/>
        <v>28.713000000000001</v>
      </c>
      <c r="H212" s="26">
        <f t="shared" si="137"/>
        <v>36.409999999999997</v>
      </c>
      <c r="I212" s="26">
        <f t="shared" si="138"/>
        <v>2730.75</v>
      </c>
      <c r="J212" s="64">
        <f>'COMPOSIÇÃO DE CUSTOS'!G517</f>
        <v>28.71</v>
      </c>
      <c r="K212" s="362">
        <v>33.78</v>
      </c>
      <c r="L212" s="65">
        <f t="shared" si="103"/>
        <v>-5.0670000000000002</v>
      </c>
      <c r="M212" s="65">
        <f t="shared" si="104"/>
        <v>2153.4749999999999</v>
      </c>
      <c r="N212" s="65"/>
      <c r="O212" s="65">
        <f t="shared" si="105"/>
        <v>2730.7499999999995</v>
      </c>
      <c r="P212" s="65" t="e">
        <f>IF(B212&lt;&gt;0,VLOOKUP(B212,#REF!,2,FALSE),"")</f>
        <v>#REF!</v>
      </c>
      <c r="Q212" s="2">
        <v>28</v>
      </c>
      <c r="R212" s="62">
        <f t="shared" si="132"/>
        <v>-47</v>
      </c>
      <c r="AD212" s="21"/>
      <c r="AE212" s="481"/>
      <c r="AF212" s="481"/>
      <c r="AG212" s="481"/>
      <c r="AH212" s="481"/>
      <c r="AI212" s="873">
        <f t="shared" si="142"/>
        <v>31.99</v>
      </c>
      <c r="AJ212" s="26">
        <f t="shared" si="140"/>
        <v>40.57</v>
      </c>
      <c r="AK212" s="26">
        <f t="shared" si="143"/>
        <v>3042.75</v>
      </c>
    </row>
    <row r="213" spans="1:38" ht="45">
      <c r="A213" s="25" t="s">
        <v>837</v>
      </c>
      <c r="B213" s="24">
        <v>89577</v>
      </c>
      <c r="C213" s="23" t="s">
        <v>1581</v>
      </c>
      <c r="D213" s="25" t="s">
        <v>12</v>
      </c>
      <c r="E213" s="25" t="s">
        <v>17</v>
      </c>
      <c r="F213" s="26">
        <v>28</v>
      </c>
      <c r="G213" s="26">
        <f t="shared" si="101"/>
        <v>29.724499999999999</v>
      </c>
      <c r="H213" s="26">
        <f t="shared" si="137"/>
        <v>37.69</v>
      </c>
      <c r="I213" s="26">
        <f t="shared" si="138"/>
        <v>1055.32</v>
      </c>
      <c r="J213" s="64" t="e">
        <f>IF(B213&lt;&gt;0,VLOOKUP(B213,#REF!,4,FALSE),"")</f>
        <v>#REF!</v>
      </c>
      <c r="K213" s="362" t="s">
        <v>3190</v>
      </c>
      <c r="L213" s="65">
        <f t="shared" si="103"/>
        <v>-5.2454999999999998</v>
      </c>
      <c r="M213" s="65">
        <f t="shared" si="104"/>
        <v>832.28599999999994</v>
      </c>
      <c r="N213" s="65"/>
      <c r="O213" s="65">
        <f t="shared" si="105"/>
        <v>1055.32</v>
      </c>
      <c r="P213" s="65" t="e">
        <f>IF(B213&lt;&gt;0,VLOOKUP(B213,#REF!,2,FALSE),"")</f>
        <v>#REF!</v>
      </c>
      <c r="Q213" s="2">
        <v>3</v>
      </c>
      <c r="R213" s="62">
        <f t="shared" si="132"/>
        <v>-25</v>
      </c>
      <c r="AD213" s="21"/>
      <c r="AE213" s="481"/>
      <c r="AF213" s="481"/>
      <c r="AG213" s="481"/>
      <c r="AH213" s="481"/>
      <c r="AI213" s="873">
        <f t="shared" si="142"/>
        <v>33.11</v>
      </c>
      <c r="AJ213" s="26">
        <f t="shared" si="140"/>
        <v>41.99</v>
      </c>
      <c r="AK213" s="26">
        <f t="shared" si="143"/>
        <v>1175.72</v>
      </c>
    </row>
    <row r="214" spans="1:38" ht="45">
      <c r="A214" s="25" t="s">
        <v>838</v>
      </c>
      <c r="B214" s="24" t="s">
        <v>2098</v>
      </c>
      <c r="C214" s="23" t="s">
        <v>1582</v>
      </c>
      <c r="D214" s="25" t="s">
        <v>1915</v>
      </c>
      <c r="E214" s="25" t="s">
        <v>17</v>
      </c>
      <c r="F214" s="26">
        <v>3</v>
      </c>
      <c r="G214" s="26">
        <f t="shared" ref="G214:G277" si="144">K214-(K214*$L$14)</f>
        <v>5.0830000000000002</v>
      </c>
      <c r="H214" s="26">
        <f t="shared" si="137"/>
        <v>6.45</v>
      </c>
      <c r="I214" s="26">
        <f t="shared" si="138"/>
        <v>19.350000000000001</v>
      </c>
      <c r="J214" s="64">
        <f>'COMPOSIÇÃO DE CUSTOS'!G528</f>
        <v>5.08</v>
      </c>
      <c r="K214" s="362">
        <v>5.98</v>
      </c>
      <c r="L214" s="65">
        <f t="shared" ref="L214:L277" si="145">G214-K214</f>
        <v>-0.89700000000000024</v>
      </c>
      <c r="M214" s="65">
        <f t="shared" ref="M214:M277" si="146">F214*G214</f>
        <v>15.249000000000001</v>
      </c>
      <c r="N214" s="65"/>
      <c r="O214" s="65">
        <f t="shared" ref="O214:O277" si="147">F214*H214</f>
        <v>19.350000000000001</v>
      </c>
      <c r="P214" s="65" t="e">
        <f>IF(B214&lt;&gt;0,VLOOKUP(B214,#REF!,2,FALSE),"")</f>
        <v>#REF!</v>
      </c>
      <c r="Q214" s="2">
        <v>8</v>
      </c>
      <c r="R214" s="62">
        <f t="shared" si="132"/>
        <v>5</v>
      </c>
      <c r="AD214" s="21"/>
      <c r="AE214" s="481"/>
      <c r="AF214" s="481"/>
      <c r="AG214" s="481"/>
      <c r="AH214" s="481"/>
      <c r="AI214" s="873">
        <f t="shared" si="142"/>
        <v>5.66</v>
      </c>
      <c r="AJ214" s="26">
        <f t="shared" si="140"/>
        <v>7.18</v>
      </c>
      <c r="AK214" s="26">
        <f t="shared" si="143"/>
        <v>21.54</v>
      </c>
    </row>
    <row r="215" spans="1:38" ht="45">
      <c r="A215" s="25" t="s">
        <v>839</v>
      </c>
      <c r="B215" s="24" t="s">
        <v>2099</v>
      </c>
      <c r="C215" s="23" t="s">
        <v>1583</v>
      </c>
      <c r="D215" s="25" t="s">
        <v>1915</v>
      </c>
      <c r="E215" s="25" t="s">
        <v>17</v>
      </c>
      <c r="F215" s="26">
        <v>8</v>
      </c>
      <c r="G215" s="26">
        <f t="shared" si="144"/>
        <v>7.7860000000000005</v>
      </c>
      <c r="H215" s="26">
        <f t="shared" si="137"/>
        <v>9.8699999999999992</v>
      </c>
      <c r="I215" s="26">
        <f t="shared" si="138"/>
        <v>78.959999999999994</v>
      </c>
      <c r="J215" s="64">
        <f>'COMPOSIÇÃO DE CUSTOS'!G538</f>
        <v>7.79</v>
      </c>
      <c r="K215" s="362">
        <v>9.16</v>
      </c>
      <c r="L215" s="65">
        <f t="shared" si="145"/>
        <v>-1.3739999999999997</v>
      </c>
      <c r="M215" s="65">
        <f t="shared" si="146"/>
        <v>62.288000000000004</v>
      </c>
      <c r="N215" s="65"/>
      <c r="O215" s="65">
        <f t="shared" si="147"/>
        <v>78.959999999999994</v>
      </c>
      <c r="P215" s="65" t="e">
        <f>IF(B215&lt;&gt;0,VLOOKUP(B215,#REF!,2,FALSE),"")</f>
        <v>#REF!</v>
      </c>
      <c r="Q215" s="2">
        <v>6</v>
      </c>
      <c r="R215" s="62">
        <f t="shared" si="132"/>
        <v>-2</v>
      </c>
      <c r="AD215" s="21"/>
      <c r="AE215" s="481"/>
      <c r="AF215" s="481"/>
      <c r="AG215" s="481"/>
      <c r="AH215" s="481"/>
      <c r="AI215" s="873">
        <f t="shared" si="142"/>
        <v>8.67</v>
      </c>
      <c r="AJ215" s="26">
        <f t="shared" si="140"/>
        <v>10.99</v>
      </c>
      <c r="AK215" s="26">
        <f t="shared" si="143"/>
        <v>87.92</v>
      </c>
    </row>
    <row r="216" spans="1:38" ht="45">
      <c r="A216" s="25" t="s">
        <v>840</v>
      </c>
      <c r="B216" s="24">
        <v>90375</v>
      </c>
      <c r="C216" s="23" t="s">
        <v>1584</v>
      </c>
      <c r="D216" s="25" t="s">
        <v>12</v>
      </c>
      <c r="E216" s="25" t="s">
        <v>17</v>
      </c>
      <c r="F216" s="26">
        <v>6</v>
      </c>
      <c r="G216" s="26">
        <f t="shared" si="144"/>
        <v>6.0350000000000001</v>
      </c>
      <c r="H216" s="26">
        <f t="shared" si="137"/>
        <v>7.65</v>
      </c>
      <c r="I216" s="26">
        <f t="shared" si="138"/>
        <v>45.9</v>
      </c>
      <c r="J216" s="64" t="e">
        <f>IF(B216&lt;&gt;0,VLOOKUP(B216,#REF!,4,FALSE),"")</f>
        <v>#REF!</v>
      </c>
      <c r="K216" s="362" t="s">
        <v>1910</v>
      </c>
      <c r="L216" s="65">
        <f t="shared" si="145"/>
        <v>-1.0649999999999995</v>
      </c>
      <c r="M216" s="65">
        <f t="shared" si="146"/>
        <v>36.21</v>
      </c>
      <c r="N216" s="65"/>
      <c r="O216" s="65">
        <f t="shared" si="147"/>
        <v>45.900000000000006</v>
      </c>
      <c r="P216" s="65" t="e">
        <f>IF(B216&lt;&gt;0,VLOOKUP(B216,#REF!,2,FALSE),"")</f>
        <v>#REF!</v>
      </c>
      <c r="Q216" s="2">
        <v>3</v>
      </c>
      <c r="R216" s="62">
        <f t="shared" si="132"/>
        <v>-3</v>
      </c>
      <c r="AD216" s="21"/>
      <c r="AE216" s="481"/>
      <c r="AF216" s="481"/>
      <c r="AG216" s="481"/>
      <c r="AH216" s="481"/>
      <c r="AI216" s="873">
        <f t="shared" si="142"/>
        <v>6.72</v>
      </c>
      <c r="AJ216" s="26">
        <f t="shared" si="140"/>
        <v>8.52</v>
      </c>
      <c r="AK216" s="26">
        <f t="shared" si="143"/>
        <v>51.12</v>
      </c>
    </row>
    <row r="217" spans="1:38" ht="45">
      <c r="A217" s="25" t="s">
        <v>841</v>
      </c>
      <c r="B217" s="24" t="s">
        <v>2102</v>
      </c>
      <c r="C217" s="23" t="s">
        <v>1585</v>
      </c>
      <c r="D217" s="25" t="s">
        <v>1915</v>
      </c>
      <c r="E217" s="25" t="s">
        <v>17</v>
      </c>
      <c r="F217" s="26">
        <v>3</v>
      </c>
      <c r="G217" s="26">
        <f t="shared" si="144"/>
        <v>9.1715</v>
      </c>
      <c r="H217" s="26">
        <f t="shared" si="137"/>
        <v>11.63</v>
      </c>
      <c r="I217" s="26">
        <f t="shared" si="138"/>
        <v>34.89</v>
      </c>
      <c r="J217" s="64">
        <f>'COMPOSIÇÃO DE CUSTOS'!G549</f>
        <v>9.17</v>
      </c>
      <c r="K217" s="362">
        <v>10.79</v>
      </c>
      <c r="L217" s="65">
        <f t="shared" si="145"/>
        <v>-1.6184999999999992</v>
      </c>
      <c r="M217" s="65">
        <f t="shared" si="146"/>
        <v>27.514499999999998</v>
      </c>
      <c r="N217" s="65"/>
      <c r="O217" s="65">
        <f t="shared" si="147"/>
        <v>34.89</v>
      </c>
      <c r="P217" s="65" t="e">
        <f>IF(B217&lt;&gt;0,VLOOKUP(B217,#REF!,2,FALSE),"")</f>
        <v>#REF!</v>
      </c>
      <c r="Q217" s="2">
        <v>3</v>
      </c>
      <c r="R217" s="62">
        <f t="shared" si="132"/>
        <v>0</v>
      </c>
      <c r="AD217" s="21"/>
      <c r="AE217" s="481"/>
      <c r="AF217" s="481"/>
      <c r="AG217" s="481"/>
      <c r="AH217" s="481"/>
      <c r="AI217" s="873">
        <f t="shared" si="142"/>
        <v>10.220000000000001</v>
      </c>
      <c r="AJ217" s="26">
        <f t="shared" si="140"/>
        <v>12.96</v>
      </c>
      <c r="AK217" s="26">
        <f t="shared" si="143"/>
        <v>38.880000000000003</v>
      </c>
    </row>
    <row r="218" spans="1:38" ht="45">
      <c r="A218" s="25" t="s">
        <v>842</v>
      </c>
      <c r="B218" s="24" t="s">
        <v>2104</v>
      </c>
      <c r="C218" s="23" t="s">
        <v>1586</v>
      </c>
      <c r="D218" s="25" t="s">
        <v>1915</v>
      </c>
      <c r="E218" s="25" t="s">
        <v>17</v>
      </c>
      <c r="F218" s="26">
        <v>3</v>
      </c>
      <c r="G218" s="26">
        <f t="shared" si="144"/>
        <v>7.242</v>
      </c>
      <c r="H218" s="26">
        <f t="shared" si="137"/>
        <v>9.18</v>
      </c>
      <c r="I218" s="26">
        <f t="shared" si="138"/>
        <v>27.54</v>
      </c>
      <c r="J218" s="64">
        <f>'COMPOSIÇÃO DE CUSTOS'!G559</f>
        <v>7.24</v>
      </c>
      <c r="K218" s="362">
        <v>8.52</v>
      </c>
      <c r="L218" s="65">
        <f t="shared" si="145"/>
        <v>-1.2779999999999996</v>
      </c>
      <c r="M218" s="65">
        <f t="shared" si="146"/>
        <v>21.725999999999999</v>
      </c>
      <c r="N218" s="65"/>
      <c r="O218" s="65">
        <f t="shared" si="147"/>
        <v>27.54</v>
      </c>
      <c r="P218" s="65" t="e">
        <f>IF(B218&lt;&gt;0,VLOOKUP(B218,#REF!,2,FALSE),"")</f>
        <v>#REF!</v>
      </c>
      <c r="Q218" s="2">
        <v>21</v>
      </c>
      <c r="R218" s="62">
        <f t="shared" si="132"/>
        <v>18</v>
      </c>
      <c r="AD218" s="21"/>
      <c r="AE218" s="481"/>
      <c r="AF218" s="481"/>
      <c r="AG218" s="481"/>
      <c r="AH218" s="481"/>
      <c r="AI218" s="873">
        <f t="shared" si="142"/>
        <v>8.07</v>
      </c>
      <c r="AJ218" s="26">
        <f t="shared" si="140"/>
        <v>10.23</v>
      </c>
      <c r="AK218" s="26">
        <f t="shared" si="143"/>
        <v>30.69</v>
      </c>
    </row>
    <row r="219" spans="1:38" ht="45">
      <c r="A219" s="25" t="s">
        <v>843</v>
      </c>
      <c r="B219" s="24">
        <v>89408</v>
      </c>
      <c r="C219" s="23" t="s">
        <v>1587</v>
      </c>
      <c r="D219" s="25" t="s">
        <v>12</v>
      </c>
      <c r="E219" s="25" t="s">
        <v>17</v>
      </c>
      <c r="F219" s="26">
        <v>21</v>
      </c>
      <c r="G219" s="26">
        <f t="shared" si="144"/>
        <v>3.8334999999999999</v>
      </c>
      <c r="H219" s="26">
        <f t="shared" si="137"/>
        <v>4.8600000000000003</v>
      </c>
      <c r="I219" s="26">
        <f t="shared" si="138"/>
        <v>102.06</v>
      </c>
      <c r="J219" s="65" t="e">
        <f>IF(B219&lt;&gt;0,VLOOKUP(B219,#REF!,4,FALSE),"")</f>
        <v>#REF!</v>
      </c>
      <c r="K219" s="362" t="s">
        <v>2650</v>
      </c>
      <c r="L219" s="65">
        <f t="shared" si="145"/>
        <v>-0.67649999999999988</v>
      </c>
      <c r="M219" s="65">
        <f t="shared" si="146"/>
        <v>80.503500000000003</v>
      </c>
      <c r="N219" s="65"/>
      <c r="O219" s="65">
        <f t="shared" si="147"/>
        <v>102.06</v>
      </c>
      <c r="P219" s="65" t="e">
        <f>IF(B219&lt;&gt;0,VLOOKUP(B219,#REF!,2,FALSE),"")</f>
        <v>#REF!</v>
      </c>
      <c r="Q219" s="2">
        <v>9</v>
      </c>
      <c r="R219" s="62">
        <f t="shared" si="132"/>
        <v>-12</v>
      </c>
      <c r="AD219" s="21"/>
      <c r="AE219" s="481"/>
      <c r="AF219" s="481"/>
      <c r="AG219" s="481"/>
      <c r="AH219" s="481"/>
      <c r="AI219" s="873">
        <f t="shared" si="142"/>
        <v>4.2699999999999996</v>
      </c>
      <c r="AJ219" s="26">
        <f t="shared" si="140"/>
        <v>5.41</v>
      </c>
      <c r="AK219" s="26">
        <f t="shared" si="143"/>
        <v>113.61</v>
      </c>
    </row>
    <row r="220" spans="1:38" ht="45">
      <c r="A220" s="25" t="s">
        <v>844</v>
      </c>
      <c r="B220" s="24">
        <v>89413</v>
      </c>
      <c r="C220" s="23" t="s">
        <v>1588</v>
      </c>
      <c r="D220" s="25" t="s">
        <v>12</v>
      </c>
      <c r="E220" s="25" t="s">
        <v>17</v>
      </c>
      <c r="F220" s="26">
        <v>9</v>
      </c>
      <c r="G220" s="26">
        <f t="shared" si="144"/>
        <v>5.8990000000000009</v>
      </c>
      <c r="H220" s="26">
        <f t="shared" si="137"/>
        <v>7.48</v>
      </c>
      <c r="I220" s="26">
        <f t="shared" si="138"/>
        <v>67.319999999999993</v>
      </c>
      <c r="J220" s="65" t="e">
        <f>IF(B220&lt;&gt;0,VLOOKUP(B220,#REF!,4,FALSE),"")</f>
        <v>#REF!</v>
      </c>
      <c r="K220" s="362" t="s">
        <v>1852</v>
      </c>
      <c r="L220" s="65">
        <f t="shared" si="145"/>
        <v>-1.0409999999999995</v>
      </c>
      <c r="M220" s="65">
        <f t="shared" si="146"/>
        <v>53.091000000000008</v>
      </c>
      <c r="N220" s="65"/>
      <c r="O220" s="65">
        <f t="shared" si="147"/>
        <v>67.320000000000007</v>
      </c>
      <c r="P220" s="65" t="e">
        <f>IF(B220&lt;&gt;0,VLOOKUP(B220,#REF!,2,FALSE),"")</f>
        <v>#REF!</v>
      </c>
      <c r="Q220" s="2">
        <v>2</v>
      </c>
      <c r="R220" s="62">
        <f t="shared" si="132"/>
        <v>-7</v>
      </c>
      <c r="AD220" s="21"/>
      <c r="AE220" s="481"/>
      <c r="AF220" s="481"/>
      <c r="AG220" s="481"/>
      <c r="AH220" s="481"/>
      <c r="AI220" s="873">
        <f t="shared" si="142"/>
        <v>6.57</v>
      </c>
      <c r="AJ220" s="26">
        <f t="shared" si="140"/>
        <v>8.33</v>
      </c>
      <c r="AK220" s="26">
        <f t="shared" si="143"/>
        <v>74.97</v>
      </c>
    </row>
    <row r="221" spans="1:38" ht="45">
      <c r="A221" s="25" t="s">
        <v>845</v>
      </c>
      <c r="B221" s="24">
        <v>89497</v>
      </c>
      <c r="C221" s="23" t="s">
        <v>1589</v>
      </c>
      <c r="D221" s="25" t="s">
        <v>12</v>
      </c>
      <c r="E221" s="25" t="s">
        <v>17</v>
      </c>
      <c r="F221" s="26">
        <v>2</v>
      </c>
      <c r="G221" s="26">
        <f t="shared" si="144"/>
        <v>8.5084999999999997</v>
      </c>
      <c r="H221" s="26">
        <f t="shared" si="137"/>
        <v>10.79</v>
      </c>
      <c r="I221" s="26">
        <f t="shared" si="138"/>
        <v>21.58</v>
      </c>
      <c r="J221" s="65" t="e">
        <f>IF(B221&lt;&gt;0,VLOOKUP(B221,#REF!,4,FALSE),"")</f>
        <v>#REF!</v>
      </c>
      <c r="K221" s="362" t="s">
        <v>1908</v>
      </c>
      <c r="L221" s="65">
        <f t="shared" si="145"/>
        <v>-1.5015000000000001</v>
      </c>
      <c r="M221" s="65">
        <f t="shared" si="146"/>
        <v>17.016999999999999</v>
      </c>
      <c r="N221" s="65"/>
      <c r="O221" s="65">
        <f t="shared" si="147"/>
        <v>21.58</v>
      </c>
      <c r="P221" s="65" t="e">
        <f>IF(B221&lt;&gt;0,VLOOKUP(B221,#REF!,2,FALSE),"")</f>
        <v>#REF!</v>
      </c>
      <c r="Q221" s="2">
        <v>2</v>
      </c>
      <c r="R221" s="62">
        <f t="shared" si="132"/>
        <v>0</v>
      </c>
      <c r="AD221" s="21"/>
      <c r="AE221" s="481"/>
      <c r="AF221" s="481"/>
      <c r="AG221" s="481"/>
      <c r="AH221" s="481"/>
      <c r="AI221" s="873">
        <f t="shared" si="142"/>
        <v>9.48</v>
      </c>
      <c r="AJ221" s="26">
        <f t="shared" si="140"/>
        <v>12.02</v>
      </c>
      <c r="AK221" s="26">
        <f t="shared" si="143"/>
        <v>24.04</v>
      </c>
    </row>
    <row r="222" spans="1:38" s="28" customFormat="1" ht="45">
      <c r="A222" s="25" t="s">
        <v>846</v>
      </c>
      <c r="B222" s="24">
        <v>89501</v>
      </c>
      <c r="C222" s="23" t="s">
        <v>1590</v>
      </c>
      <c r="D222" s="25" t="s">
        <v>12</v>
      </c>
      <c r="E222" s="25" t="s">
        <v>17</v>
      </c>
      <c r="F222" s="26">
        <v>2</v>
      </c>
      <c r="G222" s="26">
        <f t="shared" si="144"/>
        <v>10.1065</v>
      </c>
      <c r="H222" s="26">
        <f t="shared" si="137"/>
        <v>12.82</v>
      </c>
      <c r="I222" s="26">
        <f t="shared" si="138"/>
        <v>25.64</v>
      </c>
      <c r="J222" s="65" t="e">
        <f>IF(B222&lt;&gt;0,VLOOKUP(B222,#REF!,4,FALSE),"")</f>
        <v>#REF!</v>
      </c>
      <c r="K222" s="362" t="s">
        <v>1873</v>
      </c>
      <c r="L222" s="65">
        <f t="shared" si="145"/>
        <v>-1.7835000000000001</v>
      </c>
      <c r="M222" s="65">
        <f t="shared" si="146"/>
        <v>20.213000000000001</v>
      </c>
      <c r="N222" s="65"/>
      <c r="O222" s="65">
        <f t="shared" si="147"/>
        <v>25.64</v>
      </c>
      <c r="P222" s="65" t="e">
        <f>IF(B222&lt;&gt;0,VLOOKUP(B222,#REF!,2,FALSE),"")</f>
        <v>#REF!</v>
      </c>
      <c r="Q222" s="28">
        <v>3</v>
      </c>
      <c r="R222" s="62">
        <f t="shared" si="132"/>
        <v>1</v>
      </c>
      <c r="AD222" s="370"/>
      <c r="AE222" s="481"/>
      <c r="AF222" s="481"/>
      <c r="AG222" s="481"/>
      <c r="AH222" s="481"/>
      <c r="AI222" s="873">
        <f t="shared" si="142"/>
        <v>11.26</v>
      </c>
      <c r="AJ222" s="26">
        <f t="shared" si="140"/>
        <v>14.28</v>
      </c>
      <c r="AK222" s="26">
        <f t="shared" si="143"/>
        <v>28.56</v>
      </c>
      <c r="AL222" s="787"/>
    </row>
    <row r="223" spans="1:38" s="28" customFormat="1" ht="45">
      <c r="A223" s="25" t="s">
        <v>847</v>
      </c>
      <c r="B223" s="24">
        <v>89513</v>
      </c>
      <c r="C223" s="23" t="s">
        <v>1591</v>
      </c>
      <c r="D223" s="25" t="s">
        <v>12</v>
      </c>
      <c r="E223" s="25" t="s">
        <v>17</v>
      </c>
      <c r="F223" s="26">
        <v>3</v>
      </c>
      <c r="G223" s="26">
        <f t="shared" si="144"/>
        <v>93.848500000000001</v>
      </c>
      <c r="H223" s="26">
        <f t="shared" si="137"/>
        <v>119.01</v>
      </c>
      <c r="I223" s="26">
        <f t="shared" si="138"/>
        <v>357.03</v>
      </c>
      <c r="J223" s="65" t="e">
        <f>IF(B223&lt;&gt;0,VLOOKUP(B223,#REF!,4,FALSE),"")</f>
        <v>#REF!</v>
      </c>
      <c r="K223" s="362" t="s">
        <v>3283</v>
      </c>
      <c r="L223" s="65">
        <f t="shared" si="145"/>
        <v>-16.561499999999995</v>
      </c>
      <c r="M223" s="65">
        <f t="shared" si="146"/>
        <v>281.5455</v>
      </c>
      <c r="N223" s="65"/>
      <c r="O223" s="65">
        <f t="shared" si="147"/>
        <v>357.03000000000003</v>
      </c>
      <c r="P223" s="65" t="e">
        <f>IF(B223&lt;&gt;0,VLOOKUP(B223,#REF!,2,FALSE),"")</f>
        <v>#REF!</v>
      </c>
      <c r="Q223" s="28">
        <v>55</v>
      </c>
      <c r="R223" s="62">
        <f t="shared" si="132"/>
        <v>52</v>
      </c>
      <c r="AD223" s="370"/>
      <c r="AE223" s="481"/>
      <c r="AF223" s="481"/>
      <c r="AG223" s="481"/>
      <c r="AH223" s="481"/>
      <c r="AI223" s="873">
        <f t="shared" si="142"/>
        <v>104.55</v>
      </c>
      <c r="AJ223" s="26">
        <f t="shared" si="140"/>
        <v>132.58000000000001</v>
      </c>
      <c r="AK223" s="26">
        <f t="shared" si="143"/>
        <v>397.74</v>
      </c>
      <c r="AL223" s="787"/>
    </row>
    <row r="224" spans="1:38" ht="45">
      <c r="A224" s="25" t="s">
        <v>848</v>
      </c>
      <c r="B224" s="24">
        <v>89409</v>
      </c>
      <c r="C224" s="23" t="s">
        <v>1592</v>
      </c>
      <c r="D224" s="25" t="s">
        <v>12</v>
      </c>
      <c r="E224" s="25" t="s">
        <v>17</v>
      </c>
      <c r="F224" s="26">
        <v>55</v>
      </c>
      <c r="G224" s="26">
        <f t="shared" si="144"/>
        <v>4.5389999999999997</v>
      </c>
      <c r="H224" s="26">
        <f t="shared" si="137"/>
        <v>5.76</v>
      </c>
      <c r="I224" s="26">
        <f t="shared" si="138"/>
        <v>316.8</v>
      </c>
      <c r="J224" s="65" t="e">
        <f>IF(B224&lt;&gt;0,VLOOKUP(B224,#REF!,4,FALSE),"")</f>
        <v>#REF!</v>
      </c>
      <c r="K224" s="362" t="s">
        <v>3116</v>
      </c>
      <c r="L224" s="65">
        <f t="shared" si="145"/>
        <v>-0.80100000000000016</v>
      </c>
      <c r="M224" s="65">
        <f t="shared" si="146"/>
        <v>249.64499999999998</v>
      </c>
      <c r="N224" s="65"/>
      <c r="O224" s="65">
        <f t="shared" si="147"/>
        <v>316.8</v>
      </c>
      <c r="P224" s="65" t="e">
        <f>IF(B224&lt;&gt;0,VLOOKUP(B224,#REF!,2,FALSE),"")</f>
        <v>#REF!</v>
      </c>
      <c r="Q224" s="2">
        <v>18</v>
      </c>
      <c r="R224" s="62">
        <f t="shared" si="132"/>
        <v>-37</v>
      </c>
      <c r="AD224" s="21"/>
      <c r="AE224" s="481"/>
      <c r="AF224" s="481"/>
      <c r="AG224" s="481"/>
      <c r="AH224" s="481"/>
      <c r="AI224" s="873">
        <f t="shared" si="142"/>
        <v>5.0599999999999996</v>
      </c>
      <c r="AJ224" s="26">
        <f t="shared" si="140"/>
        <v>6.42</v>
      </c>
      <c r="AK224" s="26">
        <f t="shared" si="143"/>
        <v>353.1</v>
      </c>
    </row>
    <row r="225" spans="1:38" ht="45">
      <c r="A225" s="25" t="s">
        <v>849</v>
      </c>
      <c r="B225" s="24">
        <v>89440</v>
      </c>
      <c r="C225" s="23" t="s">
        <v>1593</v>
      </c>
      <c r="D225" s="25" t="s">
        <v>12</v>
      </c>
      <c r="E225" s="25" t="s">
        <v>17</v>
      </c>
      <c r="F225" s="26">
        <v>18</v>
      </c>
      <c r="G225" s="26">
        <f t="shared" si="144"/>
        <v>5.5419999999999998</v>
      </c>
      <c r="H225" s="26">
        <f t="shared" si="137"/>
        <v>7.03</v>
      </c>
      <c r="I225" s="26">
        <f t="shared" si="138"/>
        <v>126.54</v>
      </c>
      <c r="J225" s="65" t="e">
        <f>IF(B225&lt;&gt;0,VLOOKUP(B225,#REF!,4,FALSE),"")</f>
        <v>#REF!</v>
      </c>
      <c r="K225" s="362" t="s">
        <v>3115</v>
      </c>
      <c r="L225" s="65">
        <f t="shared" si="145"/>
        <v>-0.97799999999999976</v>
      </c>
      <c r="M225" s="65">
        <f t="shared" si="146"/>
        <v>99.756</v>
      </c>
      <c r="N225" s="65"/>
      <c r="O225" s="65">
        <f t="shared" si="147"/>
        <v>126.54</v>
      </c>
      <c r="P225" s="65" t="e">
        <f>IF(B225&lt;&gt;0,VLOOKUP(B225,#REF!,2,FALSE),"")</f>
        <v>#REF!</v>
      </c>
      <c r="Q225" s="2">
        <v>3</v>
      </c>
      <c r="R225" s="62">
        <f t="shared" si="132"/>
        <v>-15</v>
      </c>
      <c r="AD225" s="21"/>
      <c r="AE225" s="481"/>
      <c r="AF225" s="481"/>
      <c r="AG225" s="481"/>
      <c r="AH225" s="481"/>
      <c r="AI225" s="873">
        <f t="shared" si="142"/>
        <v>6.17</v>
      </c>
      <c r="AJ225" s="26">
        <f t="shared" si="140"/>
        <v>7.82</v>
      </c>
      <c r="AK225" s="26">
        <f t="shared" si="143"/>
        <v>140.76</v>
      </c>
    </row>
    <row r="226" spans="1:38" s="28" customFormat="1" ht="45">
      <c r="A226" s="25" t="s">
        <v>850</v>
      </c>
      <c r="B226" s="24">
        <v>89443</v>
      </c>
      <c r="C226" s="23" t="s">
        <v>1594</v>
      </c>
      <c r="D226" s="25" t="s">
        <v>12</v>
      </c>
      <c r="E226" s="25" t="s">
        <v>17</v>
      </c>
      <c r="F226" s="26">
        <v>3</v>
      </c>
      <c r="G226" s="26">
        <f t="shared" si="144"/>
        <v>9.2565000000000008</v>
      </c>
      <c r="H226" s="26">
        <f t="shared" si="137"/>
        <v>11.74</v>
      </c>
      <c r="I226" s="26">
        <f t="shared" si="138"/>
        <v>35.22</v>
      </c>
      <c r="J226" s="65" t="e">
        <f>IF(B226&lt;&gt;0,VLOOKUP(B226,#REF!,4,FALSE),"")</f>
        <v>#REF!</v>
      </c>
      <c r="K226" s="362" t="s">
        <v>3114</v>
      </c>
      <c r="L226" s="65">
        <f t="shared" si="145"/>
        <v>-1.6334999999999997</v>
      </c>
      <c r="M226" s="65">
        <f t="shared" si="146"/>
        <v>27.769500000000001</v>
      </c>
      <c r="N226" s="65"/>
      <c r="O226" s="65">
        <f t="shared" si="147"/>
        <v>35.22</v>
      </c>
      <c r="P226" s="65" t="e">
        <f>IF(B226&lt;&gt;0,VLOOKUP(B226,#REF!,2,FALSE),"")</f>
        <v>#REF!</v>
      </c>
      <c r="Q226" s="28">
        <v>2</v>
      </c>
      <c r="R226" s="62">
        <f t="shared" si="132"/>
        <v>-1</v>
      </c>
      <c r="AD226" s="370"/>
      <c r="AE226" s="481"/>
      <c r="AF226" s="481"/>
      <c r="AG226" s="481"/>
      <c r="AH226" s="481"/>
      <c r="AI226" s="873">
        <f t="shared" si="142"/>
        <v>10.31</v>
      </c>
      <c r="AJ226" s="26">
        <f t="shared" si="140"/>
        <v>13.07</v>
      </c>
      <c r="AK226" s="26">
        <f t="shared" si="143"/>
        <v>39.21</v>
      </c>
      <c r="AL226" s="787"/>
    </row>
    <row r="227" spans="1:38" s="62" customFormat="1" ht="45">
      <c r="A227" s="25" t="s">
        <v>851</v>
      </c>
      <c r="B227" s="24">
        <v>89625</v>
      </c>
      <c r="C227" s="23" t="s">
        <v>1595</v>
      </c>
      <c r="D227" s="25" t="s">
        <v>12</v>
      </c>
      <c r="E227" s="25" t="s">
        <v>17</v>
      </c>
      <c r="F227" s="26">
        <v>2</v>
      </c>
      <c r="G227" s="26">
        <f t="shared" si="144"/>
        <v>16.234999999999999</v>
      </c>
      <c r="H227" s="26">
        <f t="shared" si="137"/>
        <v>20.59</v>
      </c>
      <c r="I227" s="26">
        <f t="shared" si="138"/>
        <v>41.18</v>
      </c>
      <c r="J227" s="65" t="e">
        <f>IF(B227&lt;&gt;0,VLOOKUP(B227,#REF!,4,FALSE),"")</f>
        <v>#REF!</v>
      </c>
      <c r="K227" s="362" t="s">
        <v>3236</v>
      </c>
      <c r="L227" s="65">
        <f t="shared" si="145"/>
        <v>-2.865000000000002</v>
      </c>
      <c r="M227" s="65">
        <f t="shared" si="146"/>
        <v>32.47</v>
      </c>
      <c r="N227" s="65"/>
      <c r="O227" s="65">
        <f t="shared" si="147"/>
        <v>41.18</v>
      </c>
      <c r="P227" s="65" t="e">
        <f>IF(B227&lt;&gt;0,VLOOKUP(B227,#REF!,2,FALSE),"")</f>
        <v>#REF!</v>
      </c>
      <c r="Q227" s="62">
        <v>7</v>
      </c>
      <c r="R227" s="62">
        <f t="shared" si="132"/>
        <v>5</v>
      </c>
      <c r="AD227" s="221"/>
      <c r="AE227" s="481"/>
      <c r="AF227" s="481"/>
      <c r="AG227" s="481"/>
      <c r="AH227" s="481"/>
      <c r="AI227" s="873">
        <f t="shared" si="142"/>
        <v>18.09</v>
      </c>
      <c r="AJ227" s="26">
        <f t="shared" si="140"/>
        <v>22.94</v>
      </c>
      <c r="AK227" s="26">
        <f t="shared" si="143"/>
        <v>45.88</v>
      </c>
      <c r="AL227" s="224"/>
    </row>
    <row r="228" spans="1:38" s="28" customFormat="1" ht="60">
      <c r="A228" s="25" t="s">
        <v>852</v>
      </c>
      <c r="B228" s="24" t="s">
        <v>2106</v>
      </c>
      <c r="C228" s="23" t="s">
        <v>1596</v>
      </c>
      <c r="D228" s="25" t="s">
        <v>1915</v>
      </c>
      <c r="E228" s="25" t="s">
        <v>17</v>
      </c>
      <c r="F228" s="26">
        <v>7</v>
      </c>
      <c r="G228" s="26">
        <f t="shared" si="144"/>
        <v>11.135</v>
      </c>
      <c r="H228" s="26">
        <f t="shared" si="137"/>
        <v>14.12</v>
      </c>
      <c r="I228" s="26">
        <f t="shared" si="138"/>
        <v>98.84</v>
      </c>
      <c r="J228" s="64">
        <f>'COMPOSIÇÃO DE CUSTOS'!G570</f>
        <v>11.13</v>
      </c>
      <c r="K228" s="362">
        <v>13.1</v>
      </c>
      <c r="L228" s="65">
        <f t="shared" si="145"/>
        <v>-1.9649999999999999</v>
      </c>
      <c r="M228" s="65">
        <f t="shared" si="146"/>
        <v>77.944999999999993</v>
      </c>
      <c r="N228" s="65"/>
      <c r="O228" s="65">
        <f t="shared" si="147"/>
        <v>98.839999999999989</v>
      </c>
      <c r="P228" s="65" t="e">
        <f>IF(B228&lt;&gt;0,VLOOKUP(B228,#REF!,2,FALSE),"")</f>
        <v>#REF!</v>
      </c>
      <c r="Q228" s="28">
        <v>3</v>
      </c>
      <c r="R228" s="62">
        <f t="shared" si="132"/>
        <v>-4</v>
      </c>
      <c r="AD228" s="370"/>
      <c r="AE228" s="481"/>
      <c r="AF228" s="481"/>
      <c r="AG228" s="481"/>
      <c r="AH228" s="481"/>
      <c r="AI228" s="873">
        <f t="shared" si="142"/>
        <v>12.4</v>
      </c>
      <c r="AJ228" s="26">
        <f t="shared" si="140"/>
        <v>15.72</v>
      </c>
      <c r="AK228" s="26">
        <f t="shared" si="143"/>
        <v>110.04</v>
      </c>
      <c r="AL228" s="787"/>
    </row>
    <row r="229" spans="1:38" s="28" customFormat="1" ht="60">
      <c r="A229" s="25" t="s">
        <v>853</v>
      </c>
      <c r="B229" s="24" t="s">
        <v>2109</v>
      </c>
      <c r="C229" s="23" t="s">
        <v>1597</v>
      </c>
      <c r="D229" s="25" t="s">
        <v>1915</v>
      </c>
      <c r="E229" s="25" t="s">
        <v>17</v>
      </c>
      <c r="F229" s="26">
        <v>3</v>
      </c>
      <c r="G229" s="26">
        <f t="shared" si="144"/>
        <v>14.773</v>
      </c>
      <c r="H229" s="26">
        <f t="shared" si="137"/>
        <v>18.73</v>
      </c>
      <c r="I229" s="26">
        <f t="shared" si="138"/>
        <v>56.19</v>
      </c>
      <c r="J229" s="64">
        <f>'COMPOSIÇÃO DE CUSTOS'!G580</f>
        <v>14.76</v>
      </c>
      <c r="K229" s="362">
        <v>17.38</v>
      </c>
      <c r="L229" s="65">
        <f t="shared" si="145"/>
        <v>-2.6069999999999993</v>
      </c>
      <c r="M229" s="65">
        <f t="shared" si="146"/>
        <v>44.319000000000003</v>
      </c>
      <c r="N229" s="65"/>
      <c r="O229" s="65">
        <f t="shared" si="147"/>
        <v>56.19</v>
      </c>
      <c r="P229" s="65" t="e">
        <f>IF(B229&lt;&gt;0,VLOOKUP(B229,#REF!,2,FALSE),"")</f>
        <v>#REF!</v>
      </c>
      <c r="Q229" s="28">
        <v>4</v>
      </c>
      <c r="R229" s="62">
        <f t="shared" si="132"/>
        <v>1</v>
      </c>
      <c r="AD229" s="370"/>
      <c r="AE229" s="481"/>
      <c r="AF229" s="481"/>
      <c r="AG229" s="481"/>
      <c r="AH229" s="481"/>
      <c r="AI229" s="873">
        <f t="shared" si="142"/>
        <v>16.46</v>
      </c>
      <c r="AJ229" s="26">
        <f t="shared" si="140"/>
        <v>20.87</v>
      </c>
      <c r="AK229" s="26">
        <f t="shared" si="143"/>
        <v>62.61</v>
      </c>
      <c r="AL229" s="787"/>
    </row>
    <row r="230" spans="1:38" s="62" customFormat="1" ht="60">
      <c r="A230" s="25" t="s">
        <v>854</v>
      </c>
      <c r="B230" s="24" t="s">
        <v>2110</v>
      </c>
      <c r="C230" s="23" t="s">
        <v>1598</v>
      </c>
      <c r="D230" s="25" t="s">
        <v>1915</v>
      </c>
      <c r="E230" s="25" t="s">
        <v>17</v>
      </c>
      <c r="F230" s="26">
        <v>4</v>
      </c>
      <c r="G230" s="26">
        <f t="shared" si="144"/>
        <v>22.057500000000001</v>
      </c>
      <c r="H230" s="26">
        <f t="shared" si="137"/>
        <v>27.97</v>
      </c>
      <c r="I230" s="26">
        <f t="shared" si="138"/>
        <v>111.88</v>
      </c>
      <c r="J230" s="64">
        <f>'COMPOSIÇÃO DE CUSTOS'!G590</f>
        <v>22.05</v>
      </c>
      <c r="K230" s="362">
        <v>25.95</v>
      </c>
      <c r="L230" s="65">
        <f t="shared" si="145"/>
        <v>-3.8924999999999983</v>
      </c>
      <c r="M230" s="65">
        <f t="shared" si="146"/>
        <v>88.23</v>
      </c>
      <c r="N230" s="65"/>
      <c r="O230" s="65">
        <f t="shared" si="147"/>
        <v>111.88</v>
      </c>
      <c r="P230" s="65" t="e">
        <f>IF(B230&lt;&gt;0,VLOOKUP(B230,#REF!,2,FALSE),"")</f>
        <v>#REF!</v>
      </c>
      <c r="R230" s="62">
        <f t="shared" si="132"/>
        <v>-4</v>
      </c>
      <c r="AD230" s="221"/>
      <c r="AE230" s="481"/>
      <c r="AF230" s="481"/>
      <c r="AG230" s="481"/>
      <c r="AH230" s="481"/>
      <c r="AI230" s="873">
        <f t="shared" si="142"/>
        <v>24.57</v>
      </c>
      <c r="AJ230" s="26">
        <f t="shared" si="140"/>
        <v>31.16</v>
      </c>
      <c r="AK230" s="26">
        <f t="shared" si="143"/>
        <v>124.64</v>
      </c>
      <c r="AL230" s="224"/>
    </row>
    <row r="231" spans="1:38">
      <c r="A231" s="77" t="s">
        <v>855</v>
      </c>
      <c r="B231" s="139"/>
      <c r="C231" s="340" t="s">
        <v>124</v>
      </c>
      <c r="D231" s="341"/>
      <c r="E231" s="341"/>
      <c r="F231" s="341"/>
      <c r="G231" s="26"/>
      <c r="H231" s="341"/>
      <c r="I231" s="96"/>
      <c r="J231" s="65" t="str">
        <f>IF(B231&lt;&gt;0,VLOOKUP(B231,#REF!,4,FALSE),"")</f>
        <v/>
      </c>
      <c r="K231" s="362" t="s">
        <v>1892</v>
      </c>
      <c r="L231" s="65"/>
      <c r="M231" s="65">
        <f t="shared" si="146"/>
        <v>0</v>
      </c>
      <c r="N231" s="65"/>
      <c r="O231" s="65">
        <f t="shared" si="147"/>
        <v>0</v>
      </c>
      <c r="P231" s="65" t="str">
        <f>IF(B231&lt;&gt;0,VLOOKUP(B231,#REF!,2,FALSE),"")</f>
        <v/>
      </c>
      <c r="Q231" s="2">
        <v>21</v>
      </c>
      <c r="R231" s="62">
        <f t="shared" si="132"/>
        <v>21</v>
      </c>
      <c r="AD231" s="21"/>
      <c r="AE231" s="481"/>
      <c r="AF231" s="481"/>
      <c r="AG231" s="481"/>
      <c r="AH231" s="481"/>
      <c r="AI231" s="873"/>
      <c r="AJ231" s="26"/>
      <c r="AK231" s="26"/>
    </row>
    <row r="232" spans="1:38" s="34" customFormat="1" ht="75">
      <c r="A232" s="472" t="s">
        <v>856</v>
      </c>
      <c r="B232" s="475">
        <v>86888</v>
      </c>
      <c r="C232" s="471" t="s">
        <v>125</v>
      </c>
      <c r="D232" s="472" t="s">
        <v>1915</v>
      </c>
      <c r="E232" s="472" t="s">
        <v>17</v>
      </c>
      <c r="F232" s="473">
        <v>21</v>
      </c>
      <c r="G232" s="473">
        <f t="shared" si="144"/>
        <v>871.65800000000002</v>
      </c>
      <c r="H232" s="473">
        <f t="shared" ref="H232:H249" si="148">ROUND(G232*(1+$J$13),2)</f>
        <v>1105.3499999999999</v>
      </c>
      <c r="I232" s="473">
        <f t="shared" ref="I232:I249" si="149">ROUND(H232*F232,2)</f>
        <v>23212.35</v>
      </c>
      <c r="J232" s="474">
        <f>'COMPOSIÇÃO DE CUSTOS'!G602</f>
        <v>871.66</v>
      </c>
      <c r="K232" s="378">
        <v>1025.48</v>
      </c>
      <c r="L232" s="47">
        <f t="shared" si="145"/>
        <v>-153.822</v>
      </c>
      <c r="M232" s="47">
        <f t="shared" si="146"/>
        <v>18304.817999999999</v>
      </c>
      <c r="N232" s="47"/>
      <c r="O232" s="47">
        <f t="shared" si="147"/>
        <v>23212.35</v>
      </c>
      <c r="P232" s="47" t="e">
        <f>IF(B232&lt;&gt;0,VLOOKUP(B232,#REF!,2,FALSE),"")</f>
        <v>#REF!</v>
      </c>
      <c r="Q232" s="34">
        <v>12</v>
      </c>
      <c r="R232" s="34">
        <f t="shared" si="132"/>
        <v>-9</v>
      </c>
      <c r="AD232" s="577"/>
      <c r="AE232" s="502"/>
      <c r="AF232" s="502"/>
      <c r="AG232" s="502"/>
      <c r="AH232" s="502"/>
      <c r="AI232" s="872">
        <f>AL232</f>
        <v>832.64</v>
      </c>
      <c r="AJ232" s="473">
        <f>ROUND(AI232*(1+$J$13),2)</f>
        <v>1055.8699999999999</v>
      </c>
      <c r="AK232" s="473">
        <f>ROUND(AJ232*F232,2)</f>
        <v>22173.27</v>
      </c>
      <c r="AL232" s="788">
        <f>'PLANILHA ORÇA - CORREGEDORIA'!BG279</f>
        <v>832.64</v>
      </c>
    </row>
    <row r="233" spans="1:38" ht="45">
      <c r="A233" s="25" t="s">
        <v>857</v>
      </c>
      <c r="B233" s="24">
        <v>95547</v>
      </c>
      <c r="C233" s="23" t="s">
        <v>1599</v>
      </c>
      <c r="D233" s="25" t="s">
        <v>12</v>
      </c>
      <c r="E233" s="25" t="s">
        <v>17</v>
      </c>
      <c r="F233" s="26">
        <v>12</v>
      </c>
      <c r="G233" s="26">
        <f t="shared" si="144"/>
        <v>48.152500000000003</v>
      </c>
      <c r="H233" s="26">
        <f t="shared" si="148"/>
        <v>61.06</v>
      </c>
      <c r="I233" s="26">
        <f t="shared" si="149"/>
        <v>732.72</v>
      </c>
      <c r="J233" s="64" t="e">
        <f>IF(B233&lt;&gt;0,VLOOKUP(B233,#REF!,4,FALSE),"")</f>
        <v>#REF!</v>
      </c>
      <c r="K233" s="362" t="s">
        <v>3178</v>
      </c>
      <c r="L233" s="65">
        <f t="shared" si="145"/>
        <v>-8.4974999999999952</v>
      </c>
      <c r="M233" s="65">
        <f t="shared" si="146"/>
        <v>577.83000000000004</v>
      </c>
      <c r="N233" s="65"/>
      <c r="O233" s="65">
        <f t="shared" si="147"/>
        <v>732.72</v>
      </c>
      <c r="P233" s="65" t="e">
        <f>IF(B233&lt;&gt;0,VLOOKUP(B233,#REF!,2,FALSE),"")</f>
        <v>#REF!</v>
      </c>
      <c r="Q233" s="2">
        <v>12</v>
      </c>
      <c r="R233" s="62">
        <f t="shared" si="132"/>
        <v>0</v>
      </c>
      <c r="AD233" s="21"/>
      <c r="AE233" s="481"/>
      <c r="AF233" s="481"/>
      <c r="AG233" s="481"/>
      <c r="AH233" s="481"/>
      <c r="AI233" s="873">
        <f t="shared" si="142"/>
        <v>53.64</v>
      </c>
      <c r="AJ233" s="26">
        <f t="shared" si="140"/>
        <v>68.02</v>
      </c>
      <c r="AK233" s="26">
        <f t="shared" si="143"/>
        <v>816.24</v>
      </c>
    </row>
    <row r="234" spans="1:38" ht="30">
      <c r="A234" s="25" t="s">
        <v>858</v>
      </c>
      <c r="B234" s="24">
        <v>95542</v>
      </c>
      <c r="C234" s="23" t="s">
        <v>1602</v>
      </c>
      <c r="D234" s="25" t="s">
        <v>12</v>
      </c>
      <c r="E234" s="25" t="s">
        <v>17</v>
      </c>
      <c r="F234" s="26">
        <v>12</v>
      </c>
      <c r="G234" s="26">
        <f t="shared" si="144"/>
        <v>40.392000000000003</v>
      </c>
      <c r="H234" s="26">
        <f t="shared" si="148"/>
        <v>51.22</v>
      </c>
      <c r="I234" s="26">
        <f t="shared" si="149"/>
        <v>614.64</v>
      </c>
      <c r="J234" s="64" t="e">
        <f>IF(B234&lt;&gt;0,VLOOKUP(B234,#REF!,4,FALSE),"")</f>
        <v>#REF!</v>
      </c>
      <c r="K234" s="362" t="s">
        <v>3110</v>
      </c>
      <c r="L234" s="65">
        <f t="shared" si="145"/>
        <v>-7.1280000000000001</v>
      </c>
      <c r="M234" s="65">
        <f t="shared" si="146"/>
        <v>484.70400000000006</v>
      </c>
      <c r="N234" s="65"/>
      <c r="O234" s="65">
        <f t="shared" si="147"/>
        <v>614.64</v>
      </c>
      <c r="P234" s="65" t="e">
        <f>IF(B234&lt;&gt;0,VLOOKUP(B234,#REF!,2,FALSE),"")</f>
        <v>#REF!</v>
      </c>
      <c r="Q234" s="2">
        <v>16</v>
      </c>
      <c r="R234" s="62">
        <f t="shared" si="132"/>
        <v>4</v>
      </c>
      <c r="AD234" s="21"/>
      <c r="AE234" s="481"/>
      <c r="AF234" s="481"/>
      <c r="AG234" s="481"/>
      <c r="AH234" s="481"/>
      <c r="AI234" s="873">
        <f t="shared" si="142"/>
        <v>45</v>
      </c>
      <c r="AJ234" s="26">
        <f t="shared" si="140"/>
        <v>57.06</v>
      </c>
      <c r="AK234" s="26">
        <f t="shared" si="143"/>
        <v>684.72</v>
      </c>
    </row>
    <row r="235" spans="1:38" ht="45">
      <c r="A235" s="25" t="s">
        <v>859</v>
      </c>
      <c r="B235" s="24">
        <v>86895</v>
      </c>
      <c r="C235" s="23" t="s">
        <v>1600</v>
      </c>
      <c r="D235" s="25" t="s">
        <v>1915</v>
      </c>
      <c r="E235" s="25" t="s">
        <v>17</v>
      </c>
      <c r="F235" s="26">
        <v>16</v>
      </c>
      <c r="G235" s="26">
        <f t="shared" si="144"/>
        <v>804.54200000000003</v>
      </c>
      <c r="H235" s="26">
        <f t="shared" si="148"/>
        <v>1020.24</v>
      </c>
      <c r="I235" s="26">
        <f t="shared" si="149"/>
        <v>16323.84</v>
      </c>
      <c r="J235" s="64">
        <f>'COMPOSIÇÃO DE CUSTOS'!G614</f>
        <v>804.55</v>
      </c>
      <c r="K235" s="362">
        <v>946.52</v>
      </c>
      <c r="L235" s="65">
        <f t="shared" si="145"/>
        <v>-141.97799999999995</v>
      </c>
      <c r="M235" s="65">
        <f t="shared" si="146"/>
        <v>12872.672</v>
      </c>
      <c r="N235" s="65"/>
      <c r="O235" s="65">
        <f t="shared" si="147"/>
        <v>16323.84</v>
      </c>
      <c r="P235" s="65" t="e">
        <f>IF(B235&lt;&gt;0,VLOOKUP(B235,#REF!,2,FALSE),"")</f>
        <v>#REF!</v>
      </c>
      <c r="Q235" s="2">
        <v>7</v>
      </c>
      <c r="R235" s="62">
        <f t="shared" si="132"/>
        <v>-9</v>
      </c>
      <c r="AD235" s="21"/>
      <c r="AE235" s="481"/>
      <c r="AF235" s="481"/>
      <c r="AG235" s="481"/>
      <c r="AH235" s="481"/>
      <c r="AI235" s="873">
        <f t="shared" si="142"/>
        <v>896.27</v>
      </c>
      <c r="AJ235" s="26">
        <f t="shared" si="140"/>
        <v>1136.56</v>
      </c>
      <c r="AK235" s="26">
        <f t="shared" si="143"/>
        <v>18184.96</v>
      </c>
    </row>
    <row r="236" spans="1:38" ht="30">
      <c r="A236" s="25" t="s">
        <v>860</v>
      </c>
      <c r="B236" s="24" t="s">
        <v>127</v>
      </c>
      <c r="C236" s="23" t="s">
        <v>128</v>
      </c>
      <c r="D236" s="25" t="s">
        <v>70</v>
      </c>
      <c r="E236" s="25" t="s">
        <v>17</v>
      </c>
      <c r="F236" s="26">
        <v>7</v>
      </c>
      <c r="G236" s="26">
        <f t="shared" si="144"/>
        <v>514.70049999999992</v>
      </c>
      <c r="H236" s="26">
        <f t="shared" si="148"/>
        <v>652.69000000000005</v>
      </c>
      <c r="I236" s="26">
        <f t="shared" si="149"/>
        <v>4568.83</v>
      </c>
      <c r="J236" s="64">
        <f>'COMPOSIÇÃO DE CUSTOS'!G628</f>
        <v>514.71</v>
      </c>
      <c r="K236" s="362">
        <v>605.53</v>
      </c>
      <c r="L236" s="65">
        <f t="shared" si="145"/>
        <v>-90.829500000000053</v>
      </c>
      <c r="M236" s="65">
        <f t="shared" si="146"/>
        <v>3602.9034999999994</v>
      </c>
      <c r="N236" s="65"/>
      <c r="O236" s="65">
        <f t="shared" si="147"/>
        <v>4568.83</v>
      </c>
      <c r="P236" s="65" t="e">
        <f>IF(B236&lt;&gt;0,VLOOKUP(B236,#REF!,2,FALSE),"")</f>
        <v>#REF!</v>
      </c>
      <c r="Q236" s="2">
        <v>18</v>
      </c>
      <c r="R236" s="62">
        <f t="shared" si="132"/>
        <v>11</v>
      </c>
      <c r="AD236" s="21"/>
      <c r="AE236" s="481"/>
      <c r="AF236" s="481"/>
      <c r="AG236" s="481"/>
      <c r="AH236" s="481"/>
      <c r="AI236" s="873">
        <f t="shared" si="142"/>
        <v>573.38</v>
      </c>
      <c r="AJ236" s="26">
        <f t="shared" si="140"/>
        <v>727.1</v>
      </c>
      <c r="AK236" s="26">
        <f t="shared" si="143"/>
        <v>5089.7</v>
      </c>
    </row>
    <row r="237" spans="1:38" ht="30">
      <c r="A237" s="25" t="s">
        <v>861</v>
      </c>
      <c r="B237" s="24">
        <v>36796</v>
      </c>
      <c r="C237" s="23" t="s">
        <v>508</v>
      </c>
      <c r="D237" s="25" t="s">
        <v>12</v>
      </c>
      <c r="E237" s="25" t="s">
        <v>17</v>
      </c>
      <c r="F237" s="26">
        <v>18</v>
      </c>
      <c r="G237" s="26">
        <f t="shared" si="144"/>
        <v>155.66899999999998</v>
      </c>
      <c r="H237" s="26">
        <f t="shared" si="148"/>
        <v>197.4</v>
      </c>
      <c r="I237" s="26">
        <f t="shared" si="149"/>
        <v>3553.2</v>
      </c>
      <c r="J237" s="65" t="e">
        <f>IF(B237&lt;&gt;0,VLOOKUP(B237,#REF!,4,FALSE),"")</f>
        <v>#REF!</v>
      </c>
      <c r="K237" s="362" t="s">
        <v>3130</v>
      </c>
      <c r="L237" s="65">
        <f t="shared" si="145"/>
        <v>-27.471000000000004</v>
      </c>
      <c r="M237" s="65">
        <f t="shared" si="146"/>
        <v>2802.0419999999995</v>
      </c>
      <c r="N237" s="65"/>
      <c r="O237" s="65">
        <f t="shared" si="147"/>
        <v>3553.2000000000003</v>
      </c>
      <c r="P237" s="65" t="e">
        <f>IF(B237&lt;&gt;0,VLOOKUP(B237,#REF!,2,FALSE),"")</f>
        <v>#REF!</v>
      </c>
      <c r="Q237" s="2">
        <v>5</v>
      </c>
      <c r="R237" s="62">
        <f t="shared" si="132"/>
        <v>-13</v>
      </c>
      <c r="AD237" s="21"/>
      <c r="AE237" s="481"/>
      <c r="AF237" s="481"/>
      <c r="AG237" s="481"/>
      <c r="AH237" s="481"/>
      <c r="AI237" s="873">
        <f t="shared" si="142"/>
        <v>173.42</v>
      </c>
      <c r="AJ237" s="26">
        <f t="shared" si="140"/>
        <v>219.91</v>
      </c>
      <c r="AK237" s="26">
        <f t="shared" si="143"/>
        <v>3958.38</v>
      </c>
    </row>
    <row r="238" spans="1:38" ht="30">
      <c r="A238" s="25" t="s">
        <v>862</v>
      </c>
      <c r="B238" s="24">
        <v>86881</v>
      </c>
      <c r="C238" s="23" t="s">
        <v>129</v>
      </c>
      <c r="D238" s="25" t="s">
        <v>12</v>
      </c>
      <c r="E238" s="25" t="s">
        <v>17</v>
      </c>
      <c r="F238" s="26">
        <v>5</v>
      </c>
      <c r="G238" s="26">
        <f t="shared" si="144"/>
        <v>102.02549999999999</v>
      </c>
      <c r="H238" s="26">
        <f t="shared" si="148"/>
        <v>129.38</v>
      </c>
      <c r="I238" s="26">
        <f t="shared" si="149"/>
        <v>646.9</v>
      </c>
      <c r="J238" s="65" t="e">
        <f>IF(B238&lt;&gt;0,VLOOKUP(B238,#REF!,4,FALSE),"")</f>
        <v>#REF!</v>
      </c>
      <c r="K238" s="362" t="s">
        <v>3176</v>
      </c>
      <c r="L238" s="65">
        <f t="shared" si="145"/>
        <v>-18.004500000000007</v>
      </c>
      <c r="M238" s="65">
        <f t="shared" si="146"/>
        <v>510.12749999999994</v>
      </c>
      <c r="N238" s="65"/>
      <c r="O238" s="65">
        <f t="shared" si="147"/>
        <v>646.9</v>
      </c>
      <c r="P238" s="65" t="e">
        <f>IF(B238&lt;&gt;0,VLOOKUP(B238,#REF!,2,FALSE),"")</f>
        <v>#REF!</v>
      </c>
      <c r="Q238" s="2">
        <v>16</v>
      </c>
      <c r="R238" s="62">
        <f t="shared" si="132"/>
        <v>11</v>
      </c>
      <c r="AD238" s="21"/>
      <c r="AE238" s="481"/>
      <c r="AF238" s="481"/>
      <c r="AG238" s="481"/>
      <c r="AH238" s="481"/>
      <c r="AI238" s="873">
        <f t="shared" si="142"/>
        <v>113.66</v>
      </c>
      <c r="AJ238" s="26">
        <f t="shared" si="140"/>
        <v>144.13</v>
      </c>
      <c r="AK238" s="26">
        <f t="shared" si="143"/>
        <v>720.65</v>
      </c>
    </row>
    <row r="239" spans="1:38" ht="30">
      <c r="A239" s="25" t="s">
        <v>863</v>
      </c>
      <c r="B239" s="24">
        <v>86881</v>
      </c>
      <c r="C239" s="23" t="s">
        <v>1601</v>
      </c>
      <c r="D239" s="25" t="s">
        <v>12</v>
      </c>
      <c r="E239" s="25" t="s">
        <v>17</v>
      </c>
      <c r="F239" s="26">
        <v>16</v>
      </c>
      <c r="G239" s="26">
        <f t="shared" si="144"/>
        <v>102.02549999999999</v>
      </c>
      <c r="H239" s="26">
        <f t="shared" si="148"/>
        <v>129.38</v>
      </c>
      <c r="I239" s="26">
        <f t="shared" si="149"/>
        <v>2070.08</v>
      </c>
      <c r="J239" s="65" t="e">
        <f>IF(B239&lt;&gt;0,VLOOKUP(B239,#REF!,4,FALSE),"")</f>
        <v>#REF!</v>
      </c>
      <c r="K239" s="362" t="s">
        <v>3176</v>
      </c>
      <c r="L239" s="65">
        <f t="shared" si="145"/>
        <v>-18.004500000000007</v>
      </c>
      <c r="M239" s="65">
        <f t="shared" si="146"/>
        <v>1632.4079999999999</v>
      </c>
      <c r="N239" s="65"/>
      <c r="O239" s="65">
        <f t="shared" si="147"/>
        <v>2070.08</v>
      </c>
      <c r="P239" s="65" t="e">
        <f>IF(B239&lt;&gt;0,VLOOKUP(B239,#REF!,2,FALSE),"")</f>
        <v>#REF!</v>
      </c>
      <c r="Q239" s="2">
        <v>1</v>
      </c>
      <c r="R239" s="62">
        <f t="shared" si="132"/>
        <v>-15</v>
      </c>
      <c r="AD239" s="21"/>
      <c r="AE239" s="481"/>
      <c r="AF239" s="481"/>
      <c r="AG239" s="481"/>
      <c r="AH239" s="481"/>
      <c r="AI239" s="873">
        <f t="shared" si="142"/>
        <v>113.66</v>
      </c>
      <c r="AJ239" s="26">
        <f t="shared" si="140"/>
        <v>144.13</v>
      </c>
      <c r="AK239" s="26">
        <f t="shared" si="143"/>
        <v>2306.08</v>
      </c>
    </row>
    <row r="240" spans="1:38" ht="45">
      <c r="A240" s="25" t="s">
        <v>864</v>
      </c>
      <c r="B240" s="24">
        <v>2024</v>
      </c>
      <c r="C240" s="23" t="s">
        <v>1992</v>
      </c>
      <c r="D240" s="25" t="s">
        <v>44</v>
      </c>
      <c r="E240" s="25" t="s">
        <v>17</v>
      </c>
      <c r="F240" s="26">
        <v>1</v>
      </c>
      <c r="G240" s="26">
        <f t="shared" si="144"/>
        <v>328.185</v>
      </c>
      <c r="H240" s="26">
        <f t="shared" si="148"/>
        <v>416.17</v>
      </c>
      <c r="I240" s="26">
        <f t="shared" si="149"/>
        <v>416.17</v>
      </c>
      <c r="J240" s="64">
        <f>'COMPOSIÇÃO DE CUSTOS'!G2081</f>
        <v>328.18</v>
      </c>
      <c r="K240" s="362">
        <v>386.1</v>
      </c>
      <c r="L240" s="65">
        <f t="shared" si="145"/>
        <v>-57.91500000000002</v>
      </c>
      <c r="M240" s="65">
        <f t="shared" si="146"/>
        <v>328.185</v>
      </c>
      <c r="N240" s="65"/>
      <c r="O240" s="65">
        <f t="shared" si="147"/>
        <v>416.17</v>
      </c>
      <c r="P240" s="65" t="e">
        <f>IF(B240&lt;&gt;0,VLOOKUP(B240,#REF!,2,FALSE),"")</f>
        <v>#REF!</v>
      </c>
      <c r="Q240" s="2">
        <v>12</v>
      </c>
      <c r="R240" s="62">
        <f t="shared" si="132"/>
        <v>11</v>
      </c>
      <c r="AD240" s="21"/>
      <c r="AE240" s="481"/>
      <c r="AF240" s="481"/>
      <c r="AG240" s="481"/>
      <c r="AH240" s="481"/>
      <c r="AI240" s="873">
        <f t="shared" si="142"/>
        <v>365.6</v>
      </c>
      <c r="AJ240" s="26">
        <f t="shared" si="140"/>
        <v>463.62</v>
      </c>
      <c r="AK240" s="26">
        <f t="shared" si="143"/>
        <v>463.62</v>
      </c>
    </row>
    <row r="241" spans="1:38" ht="30">
      <c r="A241" s="250" t="s">
        <v>3551</v>
      </c>
      <c r="B241" s="24">
        <v>95544</v>
      </c>
      <c r="C241" s="470" t="s">
        <v>3556</v>
      </c>
      <c r="D241" s="25" t="s">
        <v>12</v>
      </c>
      <c r="E241" s="25" t="s">
        <v>17</v>
      </c>
      <c r="F241" s="26">
        <v>12</v>
      </c>
      <c r="G241" s="26">
        <f t="shared" si="144"/>
        <v>51.076500000000003</v>
      </c>
      <c r="H241" s="26">
        <f t="shared" si="148"/>
        <v>64.77</v>
      </c>
      <c r="I241" s="26">
        <f t="shared" si="149"/>
        <v>777.24</v>
      </c>
      <c r="J241" s="64" t="e">
        <f>IF(B241&lt;&gt;0,VLOOKUP(B241,#REF!,4,FALSE),"")</f>
        <v>#REF!</v>
      </c>
      <c r="K241" s="362" t="s">
        <v>3127</v>
      </c>
      <c r="L241" s="65">
        <f t="shared" si="145"/>
        <v>-9.0135000000000005</v>
      </c>
      <c r="M241" s="65">
        <f t="shared" si="146"/>
        <v>612.91800000000001</v>
      </c>
      <c r="N241" s="65"/>
      <c r="O241" s="65">
        <f t="shared" si="147"/>
        <v>777.24</v>
      </c>
      <c r="P241" s="65" t="e">
        <f>IF(B241&lt;&gt;0,VLOOKUP(B241,#REF!,2,FALSE),"")</f>
        <v>#REF!</v>
      </c>
      <c r="Q241" s="2">
        <v>21</v>
      </c>
      <c r="R241" s="62">
        <f t="shared" si="132"/>
        <v>9</v>
      </c>
      <c r="AD241" s="21"/>
      <c r="AE241" s="481"/>
      <c r="AF241" s="481"/>
      <c r="AG241" s="481"/>
      <c r="AH241" s="481"/>
      <c r="AI241" s="873">
        <f t="shared" si="142"/>
        <v>56.9</v>
      </c>
      <c r="AJ241" s="26">
        <f t="shared" si="140"/>
        <v>72.150000000000006</v>
      </c>
      <c r="AK241" s="26">
        <f t="shared" si="143"/>
        <v>865.8</v>
      </c>
    </row>
    <row r="242" spans="1:38" s="28" customFormat="1">
      <c r="A242" s="25" t="s">
        <v>866</v>
      </c>
      <c r="B242" s="24">
        <v>9502</v>
      </c>
      <c r="C242" s="23" t="s">
        <v>130</v>
      </c>
      <c r="D242" s="25" t="s">
        <v>44</v>
      </c>
      <c r="E242" s="25" t="s">
        <v>17</v>
      </c>
      <c r="F242" s="26">
        <v>21</v>
      </c>
      <c r="G242" s="26">
        <f t="shared" si="144"/>
        <v>191.22450000000001</v>
      </c>
      <c r="H242" s="26">
        <f t="shared" si="148"/>
        <v>242.49</v>
      </c>
      <c r="I242" s="26">
        <f t="shared" si="149"/>
        <v>5092.29</v>
      </c>
      <c r="J242" s="64">
        <f>'COMPOSIÇÃO DE CUSTOS'!G1862</f>
        <v>191.22</v>
      </c>
      <c r="K242" s="362">
        <v>224.97</v>
      </c>
      <c r="L242" s="65">
        <f t="shared" si="145"/>
        <v>-33.745499999999993</v>
      </c>
      <c r="M242" s="65">
        <f t="shared" si="146"/>
        <v>4015.7145</v>
      </c>
      <c r="N242" s="65"/>
      <c r="O242" s="65">
        <f t="shared" si="147"/>
        <v>5092.29</v>
      </c>
      <c r="P242" s="65" t="e">
        <f>IF(B242&lt;&gt;0,VLOOKUP(B242,#REF!,2,FALSE),"")</f>
        <v>#REF!</v>
      </c>
      <c r="Q242" s="28">
        <v>2</v>
      </c>
      <c r="R242" s="62">
        <f t="shared" si="132"/>
        <v>-19</v>
      </c>
      <c r="AD242" s="370"/>
      <c r="AE242" s="481"/>
      <c r="AF242" s="481"/>
      <c r="AG242" s="481"/>
      <c r="AH242" s="481"/>
      <c r="AI242" s="873">
        <f t="shared" si="142"/>
        <v>213.03</v>
      </c>
      <c r="AJ242" s="26">
        <f t="shared" si="140"/>
        <v>270.14</v>
      </c>
      <c r="AK242" s="26">
        <f t="shared" si="143"/>
        <v>5672.94</v>
      </c>
      <c r="AL242" s="787"/>
    </row>
    <row r="243" spans="1:38" ht="75">
      <c r="A243" s="25" t="s">
        <v>867</v>
      </c>
      <c r="B243" s="24">
        <v>86923</v>
      </c>
      <c r="C243" s="23" t="s">
        <v>1603</v>
      </c>
      <c r="D243" s="25" t="s">
        <v>12</v>
      </c>
      <c r="E243" s="25" t="s">
        <v>17</v>
      </c>
      <c r="F243" s="26">
        <v>2</v>
      </c>
      <c r="G243" s="26">
        <f t="shared" si="144"/>
        <v>368.51750000000004</v>
      </c>
      <c r="H243" s="26">
        <f t="shared" si="148"/>
        <v>467.32</v>
      </c>
      <c r="I243" s="26">
        <f t="shared" si="149"/>
        <v>934.64</v>
      </c>
      <c r="J243" s="64" t="e">
        <f>IF(B243&lt;&gt;0,VLOOKUP(B243,#REF!,4,FALSE),"")</f>
        <v>#REF!</v>
      </c>
      <c r="K243" s="362" t="s">
        <v>3295</v>
      </c>
      <c r="L243" s="65">
        <f t="shared" si="145"/>
        <v>-65.03249999999997</v>
      </c>
      <c r="M243" s="65">
        <f t="shared" si="146"/>
        <v>737.03500000000008</v>
      </c>
      <c r="N243" s="65"/>
      <c r="O243" s="65">
        <f t="shared" si="147"/>
        <v>934.64</v>
      </c>
      <c r="P243" s="65" t="e">
        <f>IF(B243&lt;&gt;0,VLOOKUP(B243,#REF!,2,FALSE),"")</f>
        <v>#REF!</v>
      </c>
      <c r="Q243" s="2">
        <v>1</v>
      </c>
      <c r="R243" s="62">
        <f t="shared" si="132"/>
        <v>-1</v>
      </c>
      <c r="AD243" s="21"/>
      <c r="AE243" s="481"/>
      <c r="AF243" s="481"/>
      <c r="AG243" s="481"/>
      <c r="AH243" s="481"/>
      <c r="AI243" s="873">
        <f t="shared" si="142"/>
        <v>410.53</v>
      </c>
      <c r="AJ243" s="26">
        <f t="shared" si="140"/>
        <v>520.59</v>
      </c>
      <c r="AK243" s="26">
        <f t="shared" si="143"/>
        <v>1041.18</v>
      </c>
    </row>
    <row r="244" spans="1:38" ht="105">
      <c r="A244" s="25" t="s">
        <v>868</v>
      </c>
      <c r="B244" s="24">
        <v>93441</v>
      </c>
      <c r="C244" s="23" t="s">
        <v>1604</v>
      </c>
      <c r="D244" s="25" t="s">
        <v>12</v>
      </c>
      <c r="E244" s="25" t="s">
        <v>17</v>
      </c>
      <c r="F244" s="26">
        <v>1</v>
      </c>
      <c r="G244" s="26">
        <f t="shared" si="144"/>
        <v>661.6825</v>
      </c>
      <c r="H244" s="26">
        <f t="shared" si="148"/>
        <v>839.08</v>
      </c>
      <c r="I244" s="26">
        <f t="shared" si="149"/>
        <v>839.08</v>
      </c>
      <c r="J244" s="65" t="e">
        <f>IF(B244&lt;&gt;0,VLOOKUP(B244,#REF!,4,FALSE),"")</f>
        <v>#REF!</v>
      </c>
      <c r="K244" s="362" t="s">
        <v>3296</v>
      </c>
      <c r="L244" s="65">
        <f t="shared" si="145"/>
        <v>-116.76750000000004</v>
      </c>
      <c r="M244" s="65">
        <f t="shared" si="146"/>
        <v>661.6825</v>
      </c>
      <c r="N244" s="65"/>
      <c r="O244" s="65">
        <f t="shared" si="147"/>
        <v>839.08</v>
      </c>
      <c r="P244" s="65" t="e">
        <f>IF(B244&lt;&gt;0,VLOOKUP(B244,#REF!,2,FALSE),"")</f>
        <v>#REF!</v>
      </c>
      <c r="Q244" s="2">
        <v>4</v>
      </c>
      <c r="R244" s="62">
        <f t="shared" si="132"/>
        <v>3</v>
      </c>
      <c r="AD244" s="21"/>
      <c r="AE244" s="481"/>
      <c r="AF244" s="481"/>
      <c r="AG244" s="481"/>
      <c r="AH244" s="481"/>
      <c r="AI244" s="873">
        <f t="shared" si="142"/>
        <v>737.12</v>
      </c>
      <c r="AJ244" s="26">
        <f t="shared" si="140"/>
        <v>934.74</v>
      </c>
      <c r="AK244" s="26">
        <f t="shared" si="143"/>
        <v>934.74</v>
      </c>
    </row>
    <row r="245" spans="1:38" s="28" customFormat="1" ht="30">
      <c r="A245" s="250" t="s">
        <v>3552</v>
      </c>
      <c r="B245" s="24">
        <v>100858</v>
      </c>
      <c r="C245" s="470" t="s">
        <v>3774</v>
      </c>
      <c r="D245" s="25" t="s">
        <v>12</v>
      </c>
      <c r="E245" s="25" t="s">
        <v>17</v>
      </c>
      <c r="F245" s="26">
        <v>4</v>
      </c>
      <c r="G245" s="26">
        <f t="shared" si="144"/>
        <v>439.20350000000002</v>
      </c>
      <c r="H245" s="26">
        <f t="shared" si="148"/>
        <v>556.95000000000005</v>
      </c>
      <c r="I245" s="26">
        <f t="shared" si="149"/>
        <v>2227.8000000000002</v>
      </c>
      <c r="J245" s="65" t="e">
        <f>IF(B245&lt;&gt;0,VLOOKUP(B245,#REF!,4,FALSE),"")</f>
        <v>#REF!</v>
      </c>
      <c r="K245" s="362" t="s">
        <v>3297</v>
      </c>
      <c r="L245" s="65">
        <f t="shared" si="145"/>
        <v>-77.506500000000017</v>
      </c>
      <c r="M245" s="65">
        <f t="shared" si="146"/>
        <v>1756.8140000000001</v>
      </c>
      <c r="N245" s="65"/>
      <c r="O245" s="65">
        <f t="shared" si="147"/>
        <v>2227.8000000000002</v>
      </c>
      <c r="P245" s="65" t="e">
        <f>IF(B245&lt;&gt;0,VLOOKUP(B245,#REF!,2,FALSE),"")</f>
        <v>#REF!</v>
      </c>
      <c r="Q245" s="28">
        <v>1</v>
      </c>
      <c r="R245" s="62">
        <f t="shared" si="132"/>
        <v>-3</v>
      </c>
      <c r="AD245" s="370"/>
      <c r="AE245" s="481"/>
      <c r="AF245" s="481"/>
      <c r="AG245" s="481"/>
      <c r="AH245" s="481"/>
      <c r="AI245" s="873">
        <f t="shared" si="142"/>
        <v>489.28</v>
      </c>
      <c r="AJ245" s="26">
        <f t="shared" si="140"/>
        <v>620.46</v>
      </c>
      <c r="AK245" s="26">
        <f t="shared" si="143"/>
        <v>2481.84</v>
      </c>
      <c r="AL245" s="787"/>
    </row>
    <row r="246" spans="1:38" s="62" customFormat="1" ht="30">
      <c r="A246" s="25" t="s">
        <v>2683</v>
      </c>
      <c r="B246" s="24">
        <v>465</v>
      </c>
      <c r="C246" s="23" t="s">
        <v>2989</v>
      </c>
      <c r="D246" s="25" t="s">
        <v>44</v>
      </c>
      <c r="E246" s="25" t="s">
        <v>17</v>
      </c>
      <c r="F246" s="26">
        <v>1</v>
      </c>
      <c r="G246" s="26">
        <f t="shared" si="144"/>
        <v>6323.8980000000001</v>
      </c>
      <c r="H246" s="26">
        <f t="shared" si="148"/>
        <v>8019.34</v>
      </c>
      <c r="I246" s="26">
        <f t="shared" si="149"/>
        <v>8019.34</v>
      </c>
      <c r="J246" s="64" t="e">
        <f>IF(B246&lt;&gt;0,VLOOKUP(B246,#REF!,2,FALSE),"")</f>
        <v>#REF!</v>
      </c>
      <c r="K246" s="362">
        <v>7439.88</v>
      </c>
      <c r="L246" s="65">
        <f t="shared" si="145"/>
        <v>-1115.982</v>
      </c>
      <c r="M246" s="65">
        <f t="shared" si="146"/>
        <v>6323.8980000000001</v>
      </c>
      <c r="N246" s="65"/>
      <c r="O246" s="65">
        <f t="shared" si="147"/>
        <v>8019.34</v>
      </c>
      <c r="P246" s="65" t="e">
        <f>IF(B246&lt;&gt;0,VLOOKUP(B246,#REF!,2,FALSE),"")</f>
        <v>#REF!</v>
      </c>
      <c r="Q246" s="62">
        <v>1</v>
      </c>
      <c r="R246" s="62">
        <f t="shared" si="132"/>
        <v>0</v>
      </c>
      <c r="AD246" s="221"/>
      <c r="AE246" s="481"/>
      <c r="AF246" s="481"/>
      <c r="AG246" s="481"/>
      <c r="AH246" s="481"/>
      <c r="AI246" s="873">
        <f t="shared" si="142"/>
        <v>7044.88</v>
      </c>
      <c r="AJ246" s="26">
        <f t="shared" si="140"/>
        <v>8933.61</v>
      </c>
      <c r="AK246" s="26">
        <f t="shared" si="143"/>
        <v>8933.61</v>
      </c>
      <c r="AL246" s="224"/>
    </row>
    <row r="247" spans="1:38" s="27" customFormat="1" ht="30">
      <c r="A247" s="250" t="s">
        <v>3553</v>
      </c>
      <c r="B247" s="24">
        <v>37105</v>
      </c>
      <c r="C247" s="470" t="s">
        <v>3775</v>
      </c>
      <c r="D247" s="25" t="s">
        <v>12</v>
      </c>
      <c r="E247" s="25" t="s">
        <v>17</v>
      </c>
      <c r="F247" s="26">
        <v>1</v>
      </c>
      <c r="G247" s="26">
        <f t="shared" si="144"/>
        <v>1906.9494999999997</v>
      </c>
      <c r="H247" s="26">
        <f t="shared" si="148"/>
        <v>2418.1999999999998</v>
      </c>
      <c r="I247" s="26">
        <f t="shared" si="149"/>
        <v>2418.1999999999998</v>
      </c>
      <c r="J247" s="64" t="e">
        <f>IF(B247&lt;&gt;0,VLOOKUP(B247,#REF!,4,FALSE),"")</f>
        <v>#REF!</v>
      </c>
      <c r="K247" s="362" t="s">
        <v>3317</v>
      </c>
      <c r="L247" s="65">
        <f t="shared" si="145"/>
        <v>-336.52050000000008</v>
      </c>
      <c r="M247" s="65">
        <f t="shared" si="146"/>
        <v>1906.9494999999997</v>
      </c>
      <c r="N247" s="65"/>
      <c r="O247" s="65">
        <f t="shared" si="147"/>
        <v>2418.1999999999998</v>
      </c>
      <c r="P247" s="65" t="e">
        <f>IF(B247&lt;&gt;0,VLOOKUP(B247,#REF!,2,FALSE),"")</f>
        <v>#REF!</v>
      </c>
      <c r="Q247" s="27">
        <v>12</v>
      </c>
      <c r="R247" s="62">
        <f t="shared" si="132"/>
        <v>11</v>
      </c>
      <c r="AD247" s="552"/>
      <c r="AE247" s="481"/>
      <c r="AF247" s="481"/>
      <c r="AG247" s="481"/>
      <c r="AH247" s="481"/>
      <c r="AI247" s="873">
        <f t="shared" si="142"/>
        <v>2124.36</v>
      </c>
      <c r="AJ247" s="26">
        <f t="shared" si="140"/>
        <v>2693.9</v>
      </c>
      <c r="AK247" s="26">
        <f t="shared" si="143"/>
        <v>2693.9</v>
      </c>
      <c r="AL247" s="790"/>
    </row>
    <row r="248" spans="1:38" s="27" customFormat="1" ht="30">
      <c r="A248" s="25" t="s">
        <v>2721</v>
      </c>
      <c r="B248" s="24">
        <v>8492</v>
      </c>
      <c r="C248" s="23" t="s">
        <v>131</v>
      </c>
      <c r="D248" s="25" t="s">
        <v>44</v>
      </c>
      <c r="E248" s="25" t="s">
        <v>17</v>
      </c>
      <c r="F248" s="26">
        <v>12</v>
      </c>
      <c r="G248" s="26">
        <f t="shared" si="144"/>
        <v>147.084</v>
      </c>
      <c r="H248" s="26">
        <f t="shared" si="148"/>
        <v>186.52</v>
      </c>
      <c r="I248" s="26">
        <f t="shared" si="149"/>
        <v>2238.2399999999998</v>
      </c>
      <c r="J248" s="64">
        <f>'COMPOSIÇÃO DE CUSTOS'!G2066</f>
        <v>147.09</v>
      </c>
      <c r="K248" s="362">
        <v>173.04</v>
      </c>
      <c r="L248" s="65">
        <f t="shared" si="145"/>
        <v>-25.955999999999989</v>
      </c>
      <c r="M248" s="65">
        <f t="shared" si="146"/>
        <v>1765.008</v>
      </c>
      <c r="N248" s="65"/>
      <c r="O248" s="65">
        <f t="shared" si="147"/>
        <v>2238.2400000000002</v>
      </c>
      <c r="P248" s="65" t="e">
        <f>IF(B248&lt;&gt;0,VLOOKUP(B248,#REF!,2,FALSE),"")</f>
        <v>#REF!</v>
      </c>
      <c r="Q248" s="27">
        <v>6</v>
      </c>
      <c r="R248" s="62">
        <f t="shared" si="132"/>
        <v>-6</v>
      </c>
      <c r="AD248" s="552"/>
      <c r="AE248" s="481"/>
      <c r="AF248" s="481"/>
      <c r="AG248" s="481"/>
      <c r="AH248" s="481"/>
      <c r="AI248" s="873">
        <f t="shared" si="142"/>
        <v>163.85</v>
      </c>
      <c r="AJ248" s="26">
        <f t="shared" si="140"/>
        <v>207.78</v>
      </c>
      <c r="AK248" s="26">
        <f t="shared" si="143"/>
        <v>2493.36</v>
      </c>
      <c r="AL248" s="790"/>
    </row>
    <row r="249" spans="1:38" s="27" customFormat="1" ht="30">
      <c r="A249" s="25" t="s">
        <v>2722</v>
      </c>
      <c r="B249" s="24">
        <v>12122</v>
      </c>
      <c r="C249" s="23" t="s">
        <v>132</v>
      </c>
      <c r="D249" s="25" t="s">
        <v>44</v>
      </c>
      <c r="E249" s="25" t="s">
        <v>17</v>
      </c>
      <c r="F249" s="26">
        <v>6</v>
      </c>
      <c r="G249" s="26">
        <f t="shared" si="144"/>
        <v>140.45400000000001</v>
      </c>
      <c r="H249" s="26">
        <f t="shared" si="148"/>
        <v>178.11</v>
      </c>
      <c r="I249" s="26">
        <f t="shared" si="149"/>
        <v>1068.6600000000001</v>
      </c>
      <c r="J249" s="64">
        <f>'COMPOSIÇÃO DE CUSTOS'!G2072</f>
        <v>140.46</v>
      </c>
      <c r="K249" s="362">
        <v>165.24</v>
      </c>
      <c r="L249" s="65">
        <f t="shared" si="145"/>
        <v>-24.786000000000001</v>
      </c>
      <c r="M249" s="65">
        <f t="shared" si="146"/>
        <v>842.72400000000005</v>
      </c>
      <c r="N249" s="65"/>
      <c r="O249" s="65">
        <f t="shared" si="147"/>
        <v>1068.6600000000001</v>
      </c>
      <c r="P249" s="65" t="e">
        <f>IF(B249&lt;&gt;0,VLOOKUP(B249,#REF!,2,FALSE),"")</f>
        <v>#REF!</v>
      </c>
      <c r="R249" s="62">
        <f t="shared" ref="R249:R312" si="150">Q249-F249</f>
        <v>-6</v>
      </c>
      <c r="AD249" s="552"/>
      <c r="AE249" s="481"/>
      <c r="AF249" s="481"/>
      <c r="AG249" s="481"/>
      <c r="AH249" s="481"/>
      <c r="AI249" s="873">
        <f t="shared" si="142"/>
        <v>156.47</v>
      </c>
      <c r="AJ249" s="26">
        <f t="shared" si="140"/>
        <v>198.42</v>
      </c>
      <c r="AK249" s="26">
        <f t="shared" si="143"/>
        <v>1190.52</v>
      </c>
      <c r="AL249" s="790"/>
    </row>
    <row r="250" spans="1:38" s="27" customFormat="1">
      <c r="A250" s="77" t="s">
        <v>869</v>
      </c>
      <c r="B250" s="139"/>
      <c r="C250" s="340" t="s">
        <v>133</v>
      </c>
      <c r="D250" s="341"/>
      <c r="E250" s="341"/>
      <c r="F250" s="341"/>
      <c r="G250" s="26"/>
      <c r="H250" s="341"/>
      <c r="I250" s="96"/>
      <c r="J250" s="65" t="str">
        <f>IF(B250&lt;&gt;0,VLOOKUP(B250,#REF!,4,FALSE),"")</f>
        <v/>
      </c>
      <c r="K250" s="362" t="s">
        <v>1892</v>
      </c>
      <c r="L250" s="65"/>
      <c r="M250" s="65">
        <f t="shared" si="146"/>
        <v>0</v>
      </c>
      <c r="N250" s="65"/>
      <c r="O250" s="65">
        <f t="shared" si="147"/>
        <v>0</v>
      </c>
      <c r="P250" s="65" t="str">
        <f>IF(B250&lt;&gt;0,VLOOKUP(B250,#REF!,2,FALSE),"")</f>
        <v/>
      </c>
      <c r="Q250" s="27">
        <v>11</v>
      </c>
      <c r="R250" s="62">
        <f t="shared" si="150"/>
        <v>11</v>
      </c>
      <c r="AD250" s="552"/>
      <c r="AE250" s="481"/>
      <c r="AF250" s="481"/>
      <c r="AG250" s="481"/>
      <c r="AH250" s="481"/>
      <c r="AI250" s="873"/>
      <c r="AJ250" s="26"/>
      <c r="AK250" s="26"/>
      <c r="AL250" s="790"/>
    </row>
    <row r="251" spans="1:38" s="27" customFormat="1" ht="45">
      <c r="A251" s="25" t="s">
        <v>870</v>
      </c>
      <c r="B251" s="24">
        <v>89985</v>
      </c>
      <c r="C251" s="23" t="s">
        <v>1605</v>
      </c>
      <c r="D251" s="25" t="s">
        <v>12</v>
      </c>
      <c r="E251" s="25" t="s">
        <v>17</v>
      </c>
      <c r="F251" s="26">
        <v>11</v>
      </c>
      <c r="G251" s="26">
        <f t="shared" si="144"/>
        <v>61.506</v>
      </c>
      <c r="H251" s="26">
        <f>ROUND(G251*(1+$J$13),2)</f>
        <v>78</v>
      </c>
      <c r="I251" s="26">
        <f t="shared" ref="I251" si="151">ROUND(H251*F251,2)</f>
        <v>858</v>
      </c>
      <c r="J251" s="65" t="e">
        <f>IF(B251&lt;&gt;0,VLOOKUP(B251,#REF!,4,FALSE),"")</f>
        <v>#REF!</v>
      </c>
      <c r="K251" s="362" t="s">
        <v>3298</v>
      </c>
      <c r="L251" s="65">
        <f t="shared" si="145"/>
        <v>-10.853999999999999</v>
      </c>
      <c r="M251" s="65">
        <f t="shared" si="146"/>
        <v>676.56600000000003</v>
      </c>
      <c r="N251" s="65"/>
      <c r="O251" s="65">
        <f t="shared" si="147"/>
        <v>858</v>
      </c>
      <c r="P251" s="65" t="e">
        <f>IF(B251&lt;&gt;0,VLOOKUP(B251,#REF!,2,FALSE),"")</f>
        <v>#REF!</v>
      </c>
      <c r="R251" s="62">
        <f t="shared" si="150"/>
        <v>-11</v>
      </c>
      <c r="AD251" s="552"/>
      <c r="AE251" s="481"/>
      <c r="AF251" s="481"/>
      <c r="AG251" s="481"/>
      <c r="AH251" s="481"/>
      <c r="AI251" s="873">
        <f t="shared" si="142"/>
        <v>68.52</v>
      </c>
      <c r="AJ251" s="26">
        <f t="shared" si="140"/>
        <v>86.89</v>
      </c>
      <c r="AK251" s="26">
        <f t="shared" si="143"/>
        <v>955.79</v>
      </c>
      <c r="AL251" s="790"/>
    </row>
    <row r="252" spans="1:38" s="27" customFormat="1">
      <c r="A252" s="77" t="s">
        <v>871</v>
      </c>
      <c r="B252" s="139"/>
      <c r="C252" s="340" t="s">
        <v>134</v>
      </c>
      <c r="D252" s="341"/>
      <c r="E252" s="341"/>
      <c r="F252" s="341"/>
      <c r="G252" s="26"/>
      <c r="H252" s="341"/>
      <c r="I252" s="96"/>
      <c r="J252" s="65" t="str">
        <f>IF(B252&lt;&gt;0,VLOOKUP(B252,#REF!,4,FALSE),"")</f>
        <v/>
      </c>
      <c r="K252" s="362" t="s">
        <v>1892</v>
      </c>
      <c r="L252" s="65"/>
      <c r="M252" s="65">
        <f t="shared" si="146"/>
        <v>0</v>
      </c>
      <c r="N252" s="65"/>
      <c r="O252" s="65">
        <f t="shared" si="147"/>
        <v>0</v>
      </c>
      <c r="P252" s="65" t="str">
        <f>IF(B252&lt;&gt;0,VLOOKUP(B252,#REF!,2,FALSE),"")</f>
        <v/>
      </c>
      <c r="Q252" s="27">
        <v>2</v>
      </c>
      <c r="R252" s="62">
        <f t="shared" si="150"/>
        <v>2</v>
      </c>
      <c r="AD252" s="552"/>
      <c r="AE252" s="481"/>
      <c r="AF252" s="481"/>
      <c r="AG252" s="481"/>
      <c r="AH252" s="481"/>
      <c r="AI252" s="873"/>
      <c r="AJ252" s="26"/>
      <c r="AK252" s="26"/>
      <c r="AL252" s="790"/>
    </row>
    <row r="253" spans="1:38" s="27" customFormat="1" ht="45">
      <c r="A253" s="25" t="s">
        <v>872</v>
      </c>
      <c r="B253" s="24">
        <v>89353</v>
      </c>
      <c r="C253" s="23" t="s">
        <v>1606</v>
      </c>
      <c r="D253" s="25" t="s">
        <v>12</v>
      </c>
      <c r="E253" s="25" t="s">
        <v>17</v>
      </c>
      <c r="F253" s="26">
        <v>2</v>
      </c>
      <c r="G253" s="26">
        <f t="shared" si="144"/>
        <v>28.984999999999999</v>
      </c>
      <c r="H253" s="26">
        <f t="shared" ref="H253:H258" si="152">ROUND(G253*(1+$J$13),2)</f>
        <v>36.76</v>
      </c>
      <c r="I253" s="26">
        <f t="shared" ref="I253:I258" si="153">ROUND(H253*F253,2)</f>
        <v>73.52</v>
      </c>
      <c r="J253" s="65" t="e">
        <f>IF(B253&lt;&gt;0,VLOOKUP(B253,#REF!,4,FALSE),"")</f>
        <v>#REF!</v>
      </c>
      <c r="K253" s="362" t="s">
        <v>3288</v>
      </c>
      <c r="L253" s="65">
        <f t="shared" si="145"/>
        <v>-5.115000000000002</v>
      </c>
      <c r="M253" s="65">
        <f t="shared" si="146"/>
        <v>57.97</v>
      </c>
      <c r="N253" s="65"/>
      <c r="O253" s="65">
        <f t="shared" si="147"/>
        <v>73.52</v>
      </c>
      <c r="P253" s="65" t="e">
        <f>IF(B253&lt;&gt;0,VLOOKUP(B253,#REF!,2,FALSE),"")</f>
        <v>#REF!</v>
      </c>
      <c r="Q253" s="27">
        <v>13</v>
      </c>
      <c r="R253" s="62">
        <f t="shared" si="150"/>
        <v>11</v>
      </c>
      <c r="AD253" s="552"/>
      <c r="AE253" s="481"/>
      <c r="AF253" s="481"/>
      <c r="AG253" s="481"/>
      <c r="AH253" s="481"/>
      <c r="AI253" s="873">
        <f t="shared" si="142"/>
        <v>32.29</v>
      </c>
      <c r="AJ253" s="26">
        <f t="shared" si="140"/>
        <v>40.950000000000003</v>
      </c>
      <c r="AK253" s="26">
        <f t="shared" si="143"/>
        <v>81.900000000000006</v>
      </c>
      <c r="AL253" s="790"/>
    </row>
    <row r="254" spans="1:38" s="27" customFormat="1" ht="75">
      <c r="A254" s="25" t="s">
        <v>873</v>
      </c>
      <c r="B254" s="24">
        <v>94495</v>
      </c>
      <c r="C254" s="23" t="s">
        <v>1607</v>
      </c>
      <c r="D254" s="25" t="s">
        <v>12</v>
      </c>
      <c r="E254" s="25" t="s">
        <v>17</v>
      </c>
      <c r="F254" s="26">
        <v>13</v>
      </c>
      <c r="G254" s="26">
        <f t="shared" si="144"/>
        <v>57.638500000000001</v>
      </c>
      <c r="H254" s="26">
        <f t="shared" si="152"/>
        <v>73.09</v>
      </c>
      <c r="I254" s="26">
        <f t="shared" si="153"/>
        <v>950.17</v>
      </c>
      <c r="J254" s="65" t="e">
        <f>IF(B254&lt;&gt;0,VLOOKUP(B254,#REF!,4,FALSE),"")</f>
        <v>#REF!</v>
      </c>
      <c r="K254" s="362" t="s">
        <v>3300</v>
      </c>
      <c r="L254" s="65">
        <f t="shared" si="145"/>
        <v>-10.171500000000002</v>
      </c>
      <c r="M254" s="65">
        <f t="shared" si="146"/>
        <v>749.30050000000006</v>
      </c>
      <c r="N254" s="65"/>
      <c r="O254" s="65">
        <f t="shared" si="147"/>
        <v>950.17000000000007</v>
      </c>
      <c r="P254" s="65" t="e">
        <f>IF(B254&lt;&gt;0,VLOOKUP(B254,#REF!,2,FALSE),"")</f>
        <v>#REF!</v>
      </c>
      <c r="Q254" s="27">
        <v>7</v>
      </c>
      <c r="R254" s="62">
        <f t="shared" si="150"/>
        <v>-6</v>
      </c>
      <c r="AD254" s="552"/>
      <c r="AE254" s="481"/>
      <c r="AF254" s="481"/>
      <c r="AG254" s="481"/>
      <c r="AH254" s="481"/>
      <c r="AI254" s="873">
        <f t="shared" si="142"/>
        <v>64.209999999999994</v>
      </c>
      <c r="AJ254" s="26">
        <f t="shared" si="140"/>
        <v>81.42</v>
      </c>
      <c r="AK254" s="26">
        <f t="shared" si="143"/>
        <v>1058.46</v>
      </c>
      <c r="AL254" s="790"/>
    </row>
    <row r="255" spans="1:38" s="27" customFormat="1" ht="90">
      <c r="A255" s="25" t="s">
        <v>874</v>
      </c>
      <c r="B255" s="24">
        <v>94793</v>
      </c>
      <c r="C255" s="23" t="s">
        <v>1608</v>
      </c>
      <c r="D255" s="25" t="s">
        <v>12</v>
      </c>
      <c r="E255" s="25" t="s">
        <v>17</v>
      </c>
      <c r="F255" s="26">
        <v>7</v>
      </c>
      <c r="G255" s="26">
        <f t="shared" si="144"/>
        <v>118.88100000000001</v>
      </c>
      <c r="H255" s="26">
        <f t="shared" si="152"/>
        <v>150.75</v>
      </c>
      <c r="I255" s="26">
        <f t="shared" si="153"/>
        <v>1055.25</v>
      </c>
      <c r="J255" s="65" t="e">
        <f>IF(B255&lt;&gt;0,VLOOKUP(B255,#REF!,4,FALSE),"")</f>
        <v>#REF!</v>
      </c>
      <c r="K255" s="362" t="s">
        <v>3303</v>
      </c>
      <c r="L255" s="65">
        <f t="shared" si="145"/>
        <v>-20.978999999999999</v>
      </c>
      <c r="M255" s="65">
        <f t="shared" si="146"/>
        <v>832.16700000000014</v>
      </c>
      <c r="N255" s="65"/>
      <c r="O255" s="65">
        <f t="shared" si="147"/>
        <v>1055.25</v>
      </c>
      <c r="P255" s="65" t="e">
        <f>IF(B255&lt;&gt;0,VLOOKUP(B255,#REF!,2,FALSE),"")</f>
        <v>#REF!</v>
      </c>
      <c r="Q255" s="27">
        <v>3</v>
      </c>
      <c r="R255" s="62">
        <f t="shared" si="150"/>
        <v>-4</v>
      </c>
      <c r="AD255" s="552"/>
      <c r="AE255" s="481"/>
      <c r="AF255" s="481"/>
      <c r="AG255" s="481"/>
      <c r="AH255" s="481"/>
      <c r="AI255" s="873">
        <f t="shared" si="142"/>
        <v>132.43</v>
      </c>
      <c r="AJ255" s="26">
        <f t="shared" si="140"/>
        <v>167.93</v>
      </c>
      <c r="AK255" s="26">
        <f t="shared" si="143"/>
        <v>1175.51</v>
      </c>
      <c r="AL255" s="790"/>
    </row>
    <row r="256" spans="1:38" s="27" customFormat="1" ht="75">
      <c r="A256" s="25" t="s">
        <v>875</v>
      </c>
      <c r="B256" s="24">
        <v>94497</v>
      </c>
      <c r="C256" s="23" t="s">
        <v>1609</v>
      </c>
      <c r="D256" s="25" t="s">
        <v>12</v>
      </c>
      <c r="E256" s="25" t="s">
        <v>17</v>
      </c>
      <c r="F256" s="26">
        <v>3</v>
      </c>
      <c r="G256" s="26">
        <f t="shared" si="144"/>
        <v>84.974500000000006</v>
      </c>
      <c r="H256" s="26">
        <f t="shared" si="152"/>
        <v>107.76</v>
      </c>
      <c r="I256" s="26">
        <f t="shared" si="153"/>
        <v>323.27999999999997</v>
      </c>
      <c r="J256" s="65" t="e">
        <f>IF(B256&lt;&gt;0,VLOOKUP(B256,#REF!,4,FALSE),"")</f>
        <v>#REF!</v>
      </c>
      <c r="K256" s="362" t="s">
        <v>3301</v>
      </c>
      <c r="L256" s="65">
        <f t="shared" si="145"/>
        <v>-14.995499999999993</v>
      </c>
      <c r="M256" s="65">
        <f t="shared" si="146"/>
        <v>254.92350000000002</v>
      </c>
      <c r="N256" s="65"/>
      <c r="O256" s="65">
        <f t="shared" si="147"/>
        <v>323.28000000000003</v>
      </c>
      <c r="P256" s="65" t="e">
        <f>IF(B256&lt;&gt;0,VLOOKUP(B256,#REF!,2,FALSE),"")</f>
        <v>#REF!</v>
      </c>
      <c r="Q256" s="27">
        <v>7</v>
      </c>
      <c r="R256" s="62">
        <f t="shared" si="150"/>
        <v>4</v>
      </c>
      <c r="AD256" s="552"/>
      <c r="AE256" s="481"/>
      <c r="AF256" s="481"/>
      <c r="AG256" s="481"/>
      <c r="AH256" s="481"/>
      <c r="AI256" s="873">
        <f t="shared" si="142"/>
        <v>94.66</v>
      </c>
      <c r="AJ256" s="26">
        <f t="shared" si="140"/>
        <v>120.04</v>
      </c>
      <c r="AK256" s="26">
        <f t="shared" si="143"/>
        <v>360.12</v>
      </c>
      <c r="AL256" s="790"/>
    </row>
    <row r="257" spans="1:38" ht="45">
      <c r="A257" s="25" t="s">
        <v>876</v>
      </c>
      <c r="B257" s="24">
        <v>89987</v>
      </c>
      <c r="C257" s="23" t="s">
        <v>1610</v>
      </c>
      <c r="D257" s="25" t="s">
        <v>12</v>
      </c>
      <c r="E257" s="25" t="s">
        <v>17</v>
      </c>
      <c r="F257" s="26">
        <v>7</v>
      </c>
      <c r="G257" s="26">
        <f t="shared" si="144"/>
        <v>64.778499999999994</v>
      </c>
      <c r="H257" s="26">
        <f t="shared" si="152"/>
        <v>82.15</v>
      </c>
      <c r="I257" s="26">
        <f t="shared" si="153"/>
        <v>575.04999999999995</v>
      </c>
      <c r="J257" s="65" t="e">
        <f>IF(B257&lt;&gt;0,VLOOKUP(B257,#REF!,4,FALSE),"")</f>
        <v>#REF!</v>
      </c>
      <c r="K257" s="362" t="s">
        <v>3299</v>
      </c>
      <c r="L257" s="65">
        <f t="shared" si="145"/>
        <v>-11.4315</v>
      </c>
      <c r="M257" s="65">
        <f t="shared" si="146"/>
        <v>453.44949999999994</v>
      </c>
      <c r="N257" s="65"/>
      <c r="O257" s="65">
        <f t="shared" si="147"/>
        <v>575.05000000000007</v>
      </c>
      <c r="P257" s="65" t="e">
        <f>IF(B257&lt;&gt;0,VLOOKUP(B257,#REF!,2,FALSE),"")</f>
        <v>#REF!</v>
      </c>
      <c r="Q257" s="2">
        <v>13</v>
      </c>
      <c r="R257" s="62">
        <f t="shared" si="150"/>
        <v>6</v>
      </c>
      <c r="AD257" s="21"/>
      <c r="AE257" s="481"/>
      <c r="AF257" s="481"/>
      <c r="AG257" s="481"/>
      <c r="AH257" s="481"/>
      <c r="AI257" s="873">
        <f t="shared" si="142"/>
        <v>72.16</v>
      </c>
      <c r="AJ257" s="26">
        <f t="shared" si="140"/>
        <v>91.51</v>
      </c>
      <c r="AK257" s="26">
        <f t="shared" si="143"/>
        <v>640.57000000000005</v>
      </c>
    </row>
    <row r="258" spans="1:38" s="27" customFormat="1" ht="90">
      <c r="A258" s="25" t="s">
        <v>877</v>
      </c>
      <c r="B258" s="24">
        <v>94792</v>
      </c>
      <c r="C258" s="23" t="s">
        <v>1611</v>
      </c>
      <c r="D258" s="25" t="s">
        <v>12</v>
      </c>
      <c r="E258" s="25" t="s">
        <v>17</v>
      </c>
      <c r="F258" s="26">
        <v>13</v>
      </c>
      <c r="G258" s="26">
        <f t="shared" si="144"/>
        <v>90.873499999999993</v>
      </c>
      <c r="H258" s="26">
        <f t="shared" si="152"/>
        <v>115.24</v>
      </c>
      <c r="I258" s="26">
        <f t="shared" si="153"/>
        <v>1498.12</v>
      </c>
      <c r="J258" s="65" t="e">
        <f>IF(B258&lt;&gt;0,VLOOKUP(B258,#REF!,4,FALSE),"")</f>
        <v>#REF!</v>
      </c>
      <c r="K258" s="362" t="s">
        <v>3213</v>
      </c>
      <c r="L258" s="65">
        <f t="shared" si="145"/>
        <v>-16.036500000000004</v>
      </c>
      <c r="M258" s="65">
        <f t="shared" si="146"/>
        <v>1181.3554999999999</v>
      </c>
      <c r="N258" s="65"/>
      <c r="O258" s="65">
        <f t="shared" si="147"/>
        <v>1498.12</v>
      </c>
      <c r="P258" s="65" t="e">
        <f>IF(B258&lt;&gt;0,VLOOKUP(B258,#REF!,2,FALSE),"")</f>
        <v>#REF!</v>
      </c>
      <c r="R258" s="62">
        <f t="shared" si="150"/>
        <v>-13</v>
      </c>
      <c r="AD258" s="552"/>
      <c r="AE258" s="481"/>
      <c r="AF258" s="481"/>
      <c r="AG258" s="481"/>
      <c r="AH258" s="481"/>
      <c r="AI258" s="873">
        <f t="shared" si="142"/>
        <v>101.23</v>
      </c>
      <c r="AJ258" s="26">
        <f t="shared" si="140"/>
        <v>128.37</v>
      </c>
      <c r="AK258" s="26">
        <f t="shared" si="143"/>
        <v>1668.81</v>
      </c>
      <c r="AL258" s="790"/>
    </row>
    <row r="259" spans="1:38" s="27" customFormat="1" ht="26.25" customHeight="1">
      <c r="A259" s="77" t="s">
        <v>878</v>
      </c>
      <c r="B259" s="139"/>
      <c r="C259" s="340" t="s">
        <v>135</v>
      </c>
      <c r="D259" s="341"/>
      <c r="E259" s="341"/>
      <c r="F259" s="341"/>
      <c r="G259" s="26"/>
      <c r="H259" s="341"/>
      <c r="I259" s="96"/>
      <c r="J259" s="65" t="str">
        <f>IF(B259&lt;&gt;0,VLOOKUP(B259,#REF!,4,FALSE),"")</f>
        <v/>
      </c>
      <c r="K259" s="362" t="s">
        <v>1892</v>
      </c>
      <c r="L259" s="65"/>
      <c r="M259" s="65"/>
      <c r="N259" s="65"/>
      <c r="O259" s="65">
        <f t="shared" si="147"/>
        <v>0</v>
      </c>
      <c r="P259" s="65" t="str">
        <f>IF(B259&lt;&gt;0,VLOOKUP(B259,#REF!,2,FALSE),"")</f>
        <v/>
      </c>
      <c r="Q259" s="27">
        <v>3</v>
      </c>
      <c r="R259" s="62">
        <f t="shared" si="150"/>
        <v>3</v>
      </c>
      <c r="AD259" s="552"/>
      <c r="AE259" s="481"/>
      <c r="AF259" s="481"/>
      <c r="AG259" s="481"/>
      <c r="AH259" s="481"/>
      <c r="AI259" s="873"/>
      <c r="AJ259" s="26"/>
      <c r="AK259" s="26"/>
      <c r="AL259" s="790"/>
    </row>
    <row r="260" spans="1:38" s="27" customFormat="1" ht="30">
      <c r="A260" s="25" t="s">
        <v>879</v>
      </c>
      <c r="B260" s="24">
        <v>102137</v>
      </c>
      <c r="C260" s="23" t="s">
        <v>136</v>
      </c>
      <c r="D260" s="25" t="s">
        <v>12</v>
      </c>
      <c r="E260" s="25" t="s">
        <v>17</v>
      </c>
      <c r="F260" s="26">
        <v>3</v>
      </c>
      <c r="G260" s="26">
        <f t="shared" si="144"/>
        <v>52.028500000000001</v>
      </c>
      <c r="H260" s="26">
        <f>ROUND(G260*(1+$J$13),2)</f>
        <v>65.98</v>
      </c>
      <c r="I260" s="26">
        <f t="shared" ref="I260:I264" si="154">ROUND(H260*F260,2)</f>
        <v>197.94</v>
      </c>
      <c r="J260" s="65" t="e">
        <f>IF(B260&lt;&gt;0,VLOOKUP(B260,#REF!,4,FALSE),"")</f>
        <v>#REF!</v>
      </c>
      <c r="K260" s="362" t="s">
        <v>3291</v>
      </c>
      <c r="L260" s="65">
        <f t="shared" si="145"/>
        <v>-9.1814999999999998</v>
      </c>
      <c r="M260" s="65">
        <f t="shared" si="146"/>
        <v>156.0855</v>
      </c>
      <c r="N260" s="65"/>
      <c r="O260" s="65">
        <f t="shared" si="147"/>
        <v>197.94</v>
      </c>
      <c r="P260" s="65" t="e">
        <f>IF(B260&lt;&gt;0,VLOOKUP(B260,#REF!,2,FALSE),"")</f>
        <v>#REF!</v>
      </c>
      <c r="Q260" s="27">
        <v>3</v>
      </c>
      <c r="R260" s="62">
        <f t="shared" si="150"/>
        <v>0</v>
      </c>
      <c r="AD260" s="552"/>
      <c r="AE260" s="481"/>
      <c r="AF260" s="481"/>
      <c r="AG260" s="481"/>
      <c r="AH260" s="481"/>
      <c r="AI260" s="873">
        <f t="shared" si="142"/>
        <v>57.96</v>
      </c>
      <c r="AJ260" s="26">
        <f t="shared" si="140"/>
        <v>73.5</v>
      </c>
      <c r="AK260" s="26">
        <f t="shared" si="143"/>
        <v>220.5</v>
      </c>
      <c r="AL260" s="790"/>
    </row>
    <row r="261" spans="1:38" s="27" customFormat="1" ht="45">
      <c r="A261" s="25" t="s">
        <v>880</v>
      </c>
      <c r="B261" s="24">
        <v>94797</v>
      </c>
      <c r="C261" s="23" t="s">
        <v>1612</v>
      </c>
      <c r="D261" s="25" t="s">
        <v>12</v>
      </c>
      <c r="E261" s="25" t="s">
        <v>17</v>
      </c>
      <c r="F261" s="26">
        <v>3</v>
      </c>
      <c r="G261" s="26">
        <f t="shared" si="144"/>
        <v>21.9895</v>
      </c>
      <c r="H261" s="26">
        <f>ROUND(G261*(1+$J$13),2)</f>
        <v>27.88</v>
      </c>
      <c r="I261" s="26">
        <f t="shared" si="154"/>
        <v>83.64</v>
      </c>
      <c r="J261" s="65" t="e">
        <f>IF(B261&lt;&gt;0,VLOOKUP(B261,#REF!,4,FALSE),"")</f>
        <v>#REF!</v>
      </c>
      <c r="K261" s="362" t="s">
        <v>3179</v>
      </c>
      <c r="L261" s="65">
        <f t="shared" si="145"/>
        <v>-3.8805000000000014</v>
      </c>
      <c r="M261" s="65">
        <f t="shared" si="146"/>
        <v>65.968500000000006</v>
      </c>
      <c r="N261" s="65"/>
      <c r="O261" s="65">
        <f t="shared" si="147"/>
        <v>83.64</v>
      </c>
      <c r="P261" s="65" t="e">
        <f>IF(B261&lt;&gt;0,VLOOKUP(B261,#REF!,2,FALSE),"")</f>
        <v>#REF!</v>
      </c>
      <c r="Q261" s="27">
        <v>2</v>
      </c>
      <c r="R261" s="62">
        <f t="shared" si="150"/>
        <v>-1</v>
      </c>
      <c r="AD261" s="552"/>
      <c r="AE261" s="481"/>
      <c r="AF261" s="481"/>
      <c r="AG261" s="481"/>
      <c r="AH261" s="481"/>
      <c r="AI261" s="873">
        <f t="shared" si="142"/>
        <v>24.5</v>
      </c>
      <c r="AJ261" s="26">
        <f t="shared" ref="AJ261:AJ324" si="155">ROUND(AI261*(1+$J$13),2)</f>
        <v>31.07</v>
      </c>
      <c r="AK261" s="26">
        <f t="shared" si="143"/>
        <v>93.21</v>
      </c>
      <c r="AL261" s="790"/>
    </row>
    <row r="262" spans="1:38" ht="31.5" customHeight="1">
      <c r="A262" s="25" t="s">
        <v>2477</v>
      </c>
      <c r="B262" s="24">
        <v>102118</v>
      </c>
      <c r="C262" s="23" t="s">
        <v>137</v>
      </c>
      <c r="D262" s="25" t="s">
        <v>12</v>
      </c>
      <c r="E262" s="25" t="s">
        <v>17</v>
      </c>
      <c r="F262" s="26">
        <v>2</v>
      </c>
      <c r="G262" s="26">
        <f t="shared" si="144"/>
        <v>1675.7325000000001</v>
      </c>
      <c r="H262" s="26">
        <f>ROUND(G262*(1+$J$13),2)</f>
        <v>2125</v>
      </c>
      <c r="I262" s="26">
        <f t="shared" si="154"/>
        <v>4250</v>
      </c>
      <c r="J262" s="65" t="e">
        <f>IF(B262&lt;&gt;0,VLOOKUP(B262,#REF!,4,FALSE),"")</f>
        <v>#REF!</v>
      </c>
      <c r="K262" s="362" t="s">
        <v>3307</v>
      </c>
      <c r="L262" s="65">
        <f t="shared" si="145"/>
        <v>-295.71749999999997</v>
      </c>
      <c r="M262" s="65">
        <f t="shared" si="146"/>
        <v>3351.4650000000001</v>
      </c>
      <c r="N262" s="65"/>
      <c r="O262" s="65">
        <f t="shared" si="147"/>
        <v>4250</v>
      </c>
      <c r="P262" s="65" t="e">
        <f>IF(B262&lt;&gt;0,VLOOKUP(B262,#REF!,2,FALSE),"")</f>
        <v>#REF!</v>
      </c>
      <c r="Q262" s="2">
        <v>2</v>
      </c>
      <c r="R262" s="62">
        <f t="shared" si="150"/>
        <v>0</v>
      </c>
      <c r="AD262" s="21"/>
      <c r="AE262" s="481"/>
      <c r="AF262" s="481"/>
      <c r="AG262" s="481"/>
      <c r="AH262" s="481"/>
      <c r="AI262" s="873">
        <f t="shared" ref="AI262:AI325" si="156">ROUND(G262*$AM$11,2)</f>
        <v>1866.78</v>
      </c>
      <c r="AJ262" s="26">
        <f t="shared" si="155"/>
        <v>2367.2600000000002</v>
      </c>
      <c r="AK262" s="26">
        <f t="shared" ref="AK262:AK325" si="157">ROUND(AJ262*F262,2)</f>
        <v>4734.5200000000004</v>
      </c>
    </row>
    <row r="263" spans="1:38" s="28" customFormat="1" ht="30">
      <c r="A263" s="25" t="s">
        <v>2626</v>
      </c>
      <c r="B263" s="24">
        <v>102116</v>
      </c>
      <c r="C263" s="23" t="s">
        <v>138</v>
      </c>
      <c r="D263" s="25" t="s">
        <v>12</v>
      </c>
      <c r="E263" s="25" t="s">
        <v>17</v>
      </c>
      <c r="F263" s="26">
        <v>2</v>
      </c>
      <c r="G263" s="26">
        <f t="shared" si="144"/>
        <v>1221.9855</v>
      </c>
      <c r="H263" s="26">
        <f>ROUND(G263*(1+$J$13),2)</f>
        <v>1549.6</v>
      </c>
      <c r="I263" s="26">
        <f t="shared" si="154"/>
        <v>3099.2</v>
      </c>
      <c r="J263" s="65" t="e">
        <f>IF(B263&lt;&gt;0,VLOOKUP(B263,#REF!,4,FALSE),"")</f>
        <v>#REF!</v>
      </c>
      <c r="K263" s="362" t="s">
        <v>3306</v>
      </c>
      <c r="L263" s="65">
        <f t="shared" si="145"/>
        <v>-215.64450000000011</v>
      </c>
      <c r="M263" s="65">
        <f t="shared" si="146"/>
        <v>2443.971</v>
      </c>
      <c r="N263" s="65"/>
      <c r="O263" s="65">
        <f t="shared" si="147"/>
        <v>3099.2</v>
      </c>
      <c r="P263" s="65" t="e">
        <f>IF(B263&lt;&gt;0,VLOOKUP(B263,#REF!,2,FALSE),"")</f>
        <v>#REF!</v>
      </c>
      <c r="Q263" s="28">
        <v>1</v>
      </c>
      <c r="R263" s="62">
        <f t="shared" si="150"/>
        <v>-1</v>
      </c>
      <c r="AD263" s="370"/>
      <c r="AE263" s="481"/>
      <c r="AF263" s="481"/>
      <c r="AG263" s="481"/>
      <c r="AH263" s="481"/>
      <c r="AI263" s="873">
        <f t="shared" si="156"/>
        <v>1361.3</v>
      </c>
      <c r="AJ263" s="26">
        <f t="shared" si="155"/>
        <v>1726.26</v>
      </c>
      <c r="AK263" s="26">
        <f t="shared" si="157"/>
        <v>3452.52</v>
      </c>
      <c r="AL263" s="787"/>
    </row>
    <row r="264" spans="1:38" ht="30.75" customHeight="1">
      <c r="A264" s="25" t="s">
        <v>2723</v>
      </c>
      <c r="B264" s="24">
        <v>6801</v>
      </c>
      <c r="C264" s="23" t="s">
        <v>2724</v>
      </c>
      <c r="D264" s="25" t="s">
        <v>44</v>
      </c>
      <c r="E264" s="25" t="s">
        <v>17</v>
      </c>
      <c r="F264" s="26">
        <v>1</v>
      </c>
      <c r="G264" s="26">
        <f t="shared" si="144"/>
        <v>2888.9460000000004</v>
      </c>
      <c r="H264" s="26">
        <f>ROUND(G264*(1+$J$13),2)</f>
        <v>3663.47</v>
      </c>
      <c r="I264" s="26">
        <f t="shared" si="154"/>
        <v>3663.47</v>
      </c>
      <c r="J264" s="64">
        <f>'COMPOSIÇÃO DE CUSTOS'!G2306</f>
        <v>2888.94</v>
      </c>
      <c r="K264" s="362">
        <v>3398.76</v>
      </c>
      <c r="L264" s="65">
        <f t="shared" si="145"/>
        <v>-509.81399999999985</v>
      </c>
      <c r="M264" s="65">
        <f t="shared" si="146"/>
        <v>2888.9460000000004</v>
      </c>
      <c r="N264" s="65"/>
      <c r="O264" s="65">
        <f t="shared" si="147"/>
        <v>3663.47</v>
      </c>
      <c r="P264" s="65" t="e">
        <f>IF(B264&lt;&gt;0,VLOOKUP(B264,#REF!,2,FALSE),"")</f>
        <v>#REF!</v>
      </c>
      <c r="R264" s="62">
        <f t="shared" si="150"/>
        <v>-1</v>
      </c>
      <c r="AD264" s="21"/>
      <c r="AE264" s="481"/>
      <c r="AF264" s="481"/>
      <c r="AG264" s="481"/>
      <c r="AH264" s="481"/>
      <c r="AI264" s="873">
        <f t="shared" si="156"/>
        <v>3218.31</v>
      </c>
      <c r="AJ264" s="26">
        <f t="shared" si="155"/>
        <v>4081.14</v>
      </c>
      <c r="AK264" s="26">
        <f t="shared" si="157"/>
        <v>4081.14</v>
      </c>
    </row>
    <row r="265" spans="1:38">
      <c r="A265" s="77" t="s">
        <v>881</v>
      </c>
      <c r="B265" s="139"/>
      <c r="C265" s="340" t="s">
        <v>139</v>
      </c>
      <c r="D265" s="341"/>
      <c r="E265" s="341"/>
      <c r="F265" s="341"/>
      <c r="G265" s="26"/>
      <c r="H265" s="341"/>
      <c r="I265" s="96"/>
      <c r="J265" s="65" t="str">
        <f>IF(B265&lt;&gt;0,VLOOKUP(B265,#REF!,4,FALSE),"")</f>
        <v/>
      </c>
      <c r="K265" s="362" t="s">
        <v>1892</v>
      </c>
      <c r="L265" s="65"/>
      <c r="M265" s="65">
        <f t="shared" si="146"/>
        <v>0</v>
      </c>
      <c r="N265" s="65"/>
      <c r="O265" s="65">
        <f t="shared" si="147"/>
        <v>0</v>
      </c>
      <c r="P265" s="65" t="str">
        <f>IF(B265&lt;&gt;0,VLOOKUP(B265,#REF!,2,FALSE),"")</f>
        <v/>
      </c>
      <c r="R265" s="62">
        <f t="shared" si="150"/>
        <v>0</v>
      </c>
      <c r="AD265" s="21"/>
      <c r="AE265" s="481"/>
      <c r="AF265" s="481"/>
      <c r="AG265" s="481"/>
      <c r="AH265" s="481"/>
      <c r="AI265" s="873"/>
      <c r="AJ265" s="26"/>
      <c r="AK265" s="26"/>
    </row>
    <row r="266" spans="1:38">
      <c r="A266" s="77" t="s">
        <v>882</v>
      </c>
      <c r="B266" s="139"/>
      <c r="C266" s="340" t="s">
        <v>140</v>
      </c>
      <c r="D266" s="341"/>
      <c r="E266" s="341"/>
      <c r="F266" s="341"/>
      <c r="G266" s="26"/>
      <c r="H266" s="341"/>
      <c r="I266" s="96"/>
      <c r="J266" s="65" t="str">
        <f>IF(B266&lt;&gt;0,VLOOKUP(B266,#REF!,4,FALSE),"")</f>
        <v/>
      </c>
      <c r="K266" s="362" t="s">
        <v>1892</v>
      </c>
      <c r="L266" s="65"/>
      <c r="M266" s="65">
        <f t="shared" si="146"/>
        <v>0</v>
      </c>
      <c r="N266" s="65"/>
      <c r="O266" s="65">
        <f t="shared" si="147"/>
        <v>0</v>
      </c>
      <c r="P266" s="65" t="str">
        <f>IF(B266&lt;&gt;0,VLOOKUP(B266,#REF!,2,FALSE),"")</f>
        <v/>
      </c>
      <c r="Q266" s="2">
        <v>35</v>
      </c>
      <c r="R266" s="62">
        <f t="shared" si="150"/>
        <v>35</v>
      </c>
      <c r="AD266" s="21"/>
      <c r="AE266" s="481"/>
      <c r="AF266" s="481"/>
      <c r="AG266" s="481"/>
      <c r="AH266" s="481"/>
      <c r="AI266" s="873"/>
      <c r="AJ266" s="26"/>
      <c r="AK266" s="26"/>
    </row>
    <row r="267" spans="1:38" ht="75">
      <c r="A267" s="25" t="s">
        <v>883</v>
      </c>
      <c r="B267" s="24">
        <v>91791</v>
      </c>
      <c r="C267" s="23" t="s">
        <v>1613</v>
      </c>
      <c r="D267" s="25" t="s">
        <v>12</v>
      </c>
      <c r="E267" s="25" t="s">
        <v>52</v>
      </c>
      <c r="F267" s="26">
        <v>35</v>
      </c>
      <c r="G267" s="26">
        <f t="shared" si="144"/>
        <v>67.184000000000012</v>
      </c>
      <c r="H267" s="26">
        <f t="shared" ref="H267:H286" si="158">ROUND(G267*(1+$J$13),2)</f>
        <v>85.2</v>
      </c>
      <c r="I267" s="26">
        <f t="shared" ref="I267:I286" si="159">ROUND(H267*F267,2)</f>
        <v>2982</v>
      </c>
      <c r="J267" s="65" t="e">
        <f>IF(B267&lt;&gt;0,VLOOKUP(B267,#REF!,4,FALSE),"")</f>
        <v>#REF!</v>
      </c>
      <c r="K267" s="362" t="s">
        <v>3277</v>
      </c>
      <c r="L267" s="65">
        <f t="shared" si="145"/>
        <v>-11.855999999999995</v>
      </c>
      <c r="M267" s="65">
        <f t="shared" si="146"/>
        <v>2351.4400000000005</v>
      </c>
      <c r="N267" s="65"/>
      <c r="O267" s="65">
        <f t="shared" si="147"/>
        <v>2982</v>
      </c>
      <c r="P267" s="65" t="e">
        <f>IF(B267&lt;&gt;0,VLOOKUP(B267,#REF!,2,FALSE),"")</f>
        <v>#REF!</v>
      </c>
      <c r="Q267" s="2">
        <v>36</v>
      </c>
      <c r="R267" s="62">
        <f t="shared" si="150"/>
        <v>1</v>
      </c>
      <c r="AD267" s="21"/>
      <c r="AE267" s="481"/>
      <c r="AF267" s="481"/>
      <c r="AG267" s="481"/>
      <c r="AH267" s="481"/>
      <c r="AI267" s="873">
        <f t="shared" si="156"/>
        <v>74.84</v>
      </c>
      <c r="AJ267" s="26">
        <f t="shared" si="155"/>
        <v>94.9</v>
      </c>
      <c r="AK267" s="26">
        <f t="shared" si="157"/>
        <v>3321.5</v>
      </c>
    </row>
    <row r="268" spans="1:38" ht="45">
      <c r="A268" s="25" t="s">
        <v>884</v>
      </c>
      <c r="B268" s="24">
        <v>89578</v>
      </c>
      <c r="C268" s="23" t="s">
        <v>1614</v>
      </c>
      <c r="D268" s="25" t="s">
        <v>12</v>
      </c>
      <c r="E268" s="25" t="s">
        <v>52</v>
      </c>
      <c r="F268" s="26">
        <v>36</v>
      </c>
      <c r="G268" s="26">
        <f t="shared" si="144"/>
        <v>31.866500000000002</v>
      </c>
      <c r="H268" s="26">
        <f t="shared" si="158"/>
        <v>40.409999999999997</v>
      </c>
      <c r="I268" s="26">
        <f t="shared" si="159"/>
        <v>1454.76</v>
      </c>
      <c r="J268" s="65" t="e">
        <f>IF(B268&lt;&gt;0,VLOOKUP(B268,#REF!,4,FALSE),"")</f>
        <v>#REF!</v>
      </c>
      <c r="K268" s="362" t="s">
        <v>3100</v>
      </c>
      <c r="L268" s="65">
        <f t="shared" si="145"/>
        <v>-5.6234999999999999</v>
      </c>
      <c r="M268" s="65">
        <f t="shared" si="146"/>
        <v>1147.194</v>
      </c>
      <c r="N268" s="65"/>
      <c r="O268" s="65">
        <f t="shared" si="147"/>
        <v>1454.7599999999998</v>
      </c>
      <c r="P268" s="65" t="e">
        <f>IF(B268&lt;&gt;0,VLOOKUP(B268,#REF!,2,FALSE),"")</f>
        <v>#REF!</v>
      </c>
      <c r="Q268" s="2">
        <v>43</v>
      </c>
      <c r="R268" s="62">
        <f t="shared" si="150"/>
        <v>7</v>
      </c>
      <c r="AD268" s="21"/>
      <c r="AE268" s="481"/>
      <c r="AF268" s="481"/>
      <c r="AG268" s="481"/>
      <c r="AH268" s="481"/>
      <c r="AI268" s="873">
        <f t="shared" si="156"/>
        <v>35.5</v>
      </c>
      <c r="AJ268" s="26">
        <f t="shared" si="155"/>
        <v>45.02</v>
      </c>
      <c r="AK268" s="26">
        <f t="shared" si="157"/>
        <v>1620.72</v>
      </c>
    </row>
    <row r="269" spans="1:38" ht="45">
      <c r="A269" s="25" t="s">
        <v>885</v>
      </c>
      <c r="B269" s="24">
        <v>89576</v>
      </c>
      <c r="C269" s="23" t="s">
        <v>1615</v>
      </c>
      <c r="D269" s="25" t="s">
        <v>12</v>
      </c>
      <c r="E269" s="25" t="s">
        <v>52</v>
      </c>
      <c r="F269" s="26">
        <v>43</v>
      </c>
      <c r="G269" s="26">
        <f t="shared" si="144"/>
        <v>18.436500000000002</v>
      </c>
      <c r="H269" s="26">
        <f t="shared" si="158"/>
        <v>23.38</v>
      </c>
      <c r="I269" s="26">
        <f t="shared" si="159"/>
        <v>1005.34</v>
      </c>
      <c r="J269" s="65" t="e">
        <f>IF(B269&lt;&gt;0,VLOOKUP(B269,#REF!,4,FALSE),"")</f>
        <v>#REF!</v>
      </c>
      <c r="K269" s="362" t="s">
        <v>3272</v>
      </c>
      <c r="L269" s="65">
        <f t="shared" si="145"/>
        <v>-3.2534999999999989</v>
      </c>
      <c r="M269" s="65">
        <f t="shared" si="146"/>
        <v>792.76950000000011</v>
      </c>
      <c r="N269" s="65"/>
      <c r="O269" s="65">
        <f t="shared" si="147"/>
        <v>1005.3399999999999</v>
      </c>
      <c r="P269" s="65" t="e">
        <f>IF(B269&lt;&gt;0,VLOOKUP(B269,#REF!,2,FALSE),"")</f>
        <v>#REF!</v>
      </c>
      <c r="Q269" s="2">
        <v>30</v>
      </c>
      <c r="R269" s="62">
        <f t="shared" si="150"/>
        <v>-13</v>
      </c>
      <c r="AD269" s="21"/>
      <c r="AE269" s="481"/>
      <c r="AF269" s="481"/>
      <c r="AG269" s="481"/>
      <c r="AH269" s="481"/>
      <c r="AI269" s="873">
        <f t="shared" si="156"/>
        <v>20.54</v>
      </c>
      <c r="AJ269" s="26">
        <f t="shared" si="155"/>
        <v>26.05</v>
      </c>
      <c r="AK269" s="26">
        <f t="shared" si="157"/>
        <v>1120.1500000000001</v>
      </c>
    </row>
    <row r="270" spans="1:38" ht="45">
      <c r="A270" s="25" t="s">
        <v>886</v>
      </c>
      <c r="B270" s="24">
        <v>10050</v>
      </c>
      <c r="C270" s="23" t="s">
        <v>1771</v>
      </c>
      <c r="D270" s="25" t="s">
        <v>44</v>
      </c>
      <c r="E270" s="25" t="s">
        <v>52</v>
      </c>
      <c r="F270" s="26">
        <v>30</v>
      </c>
      <c r="G270" s="26">
        <f t="shared" si="144"/>
        <v>754.851</v>
      </c>
      <c r="H270" s="26">
        <f t="shared" si="158"/>
        <v>957.23</v>
      </c>
      <c r="I270" s="26">
        <f t="shared" si="159"/>
        <v>28716.9</v>
      </c>
      <c r="J270" s="64">
        <f>'COMPOSIÇÃO DE CUSTOS'!G638</f>
        <v>754.85</v>
      </c>
      <c r="K270" s="362">
        <v>888.06</v>
      </c>
      <c r="L270" s="65">
        <f t="shared" si="145"/>
        <v>-133.20899999999995</v>
      </c>
      <c r="M270" s="65">
        <f t="shared" si="146"/>
        <v>22645.53</v>
      </c>
      <c r="N270" s="65"/>
      <c r="O270" s="65">
        <f t="shared" si="147"/>
        <v>28716.9</v>
      </c>
      <c r="P270" s="65" t="e">
        <f>IF(B270&lt;&gt;0,VLOOKUP(B270,#REF!,2,FALSE),"")</f>
        <v>#REF!</v>
      </c>
      <c r="Q270" s="2">
        <v>22</v>
      </c>
      <c r="R270" s="62">
        <f t="shared" si="150"/>
        <v>-8</v>
      </c>
      <c r="AD270" s="21"/>
      <c r="AE270" s="481"/>
      <c r="AF270" s="481"/>
      <c r="AG270" s="481"/>
      <c r="AH270" s="481"/>
      <c r="AI270" s="873">
        <f t="shared" si="156"/>
        <v>840.91</v>
      </c>
      <c r="AJ270" s="26">
        <f t="shared" si="155"/>
        <v>1066.3599999999999</v>
      </c>
      <c r="AK270" s="26">
        <f t="shared" si="157"/>
        <v>31990.799999999999</v>
      </c>
    </row>
    <row r="271" spans="1:38" s="28" customFormat="1" ht="45">
      <c r="A271" s="25" t="s">
        <v>887</v>
      </c>
      <c r="B271" s="24">
        <v>10049</v>
      </c>
      <c r="C271" s="23" t="s">
        <v>1772</v>
      </c>
      <c r="D271" s="25" t="s">
        <v>44</v>
      </c>
      <c r="E271" s="25" t="s">
        <v>52</v>
      </c>
      <c r="F271" s="26">
        <v>22</v>
      </c>
      <c r="G271" s="26">
        <f t="shared" si="144"/>
        <v>495.94950000000006</v>
      </c>
      <c r="H271" s="26">
        <f t="shared" si="158"/>
        <v>628.91</v>
      </c>
      <c r="I271" s="26">
        <f t="shared" si="159"/>
        <v>13836.02</v>
      </c>
      <c r="J271" s="64">
        <f>'COMPOSIÇÃO DE CUSTOS'!G646</f>
        <v>495.96</v>
      </c>
      <c r="K271" s="362">
        <v>583.47</v>
      </c>
      <c r="L271" s="65">
        <f t="shared" si="145"/>
        <v>-87.52049999999997</v>
      </c>
      <c r="M271" s="65">
        <f t="shared" si="146"/>
        <v>10910.889000000001</v>
      </c>
      <c r="N271" s="65"/>
      <c r="O271" s="65">
        <f t="shared" si="147"/>
        <v>13836.019999999999</v>
      </c>
      <c r="P271" s="65" t="e">
        <f>IF(B271&lt;&gt;0,VLOOKUP(B271,#REF!,2,FALSE),"")</f>
        <v>#REF!</v>
      </c>
      <c r="Q271" s="28">
        <v>15</v>
      </c>
      <c r="R271" s="62">
        <f t="shared" si="150"/>
        <v>-7</v>
      </c>
      <c r="AD271" s="370"/>
      <c r="AE271" s="481"/>
      <c r="AF271" s="481"/>
      <c r="AG271" s="481"/>
      <c r="AH271" s="481"/>
      <c r="AI271" s="873">
        <f t="shared" si="156"/>
        <v>552.49</v>
      </c>
      <c r="AJ271" s="26">
        <f t="shared" si="155"/>
        <v>700.61</v>
      </c>
      <c r="AK271" s="26">
        <f t="shared" si="157"/>
        <v>15413.42</v>
      </c>
      <c r="AL271" s="787"/>
    </row>
    <row r="272" spans="1:38" s="34" customFormat="1" ht="45">
      <c r="A272" s="472" t="s">
        <v>888</v>
      </c>
      <c r="B272" s="475">
        <v>10052</v>
      </c>
      <c r="C272" s="471" t="s">
        <v>2114</v>
      </c>
      <c r="D272" s="472" t="s">
        <v>44</v>
      </c>
      <c r="E272" s="472" t="s">
        <v>52</v>
      </c>
      <c r="F272" s="473">
        <v>15</v>
      </c>
      <c r="G272" s="473">
        <f t="shared" si="144"/>
        <v>1293.1644999999999</v>
      </c>
      <c r="H272" s="473">
        <f t="shared" si="158"/>
        <v>1639.86</v>
      </c>
      <c r="I272" s="473">
        <f t="shared" si="159"/>
        <v>24597.9</v>
      </c>
      <c r="J272" s="474">
        <f>'COMPOSIÇÃO DE CUSTOS'!G655</f>
        <v>1293.17</v>
      </c>
      <c r="K272" s="378">
        <v>1521.37</v>
      </c>
      <c r="L272" s="47">
        <f t="shared" si="145"/>
        <v>-228.20550000000003</v>
      </c>
      <c r="M272" s="47">
        <f t="shared" si="146"/>
        <v>19397.467499999999</v>
      </c>
      <c r="N272" s="47"/>
      <c r="O272" s="47">
        <f t="shared" si="147"/>
        <v>24597.899999999998</v>
      </c>
      <c r="P272" s="47" t="e">
        <f>IF(B272&lt;&gt;0,VLOOKUP(B272,#REF!,2,FALSE),"")</f>
        <v>#REF!</v>
      </c>
      <c r="Q272" s="34">
        <v>4</v>
      </c>
      <c r="R272" s="34">
        <f t="shared" si="150"/>
        <v>-11</v>
      </c>
      <c r="AD272" s="577"/>
      <c r="AE272" s="502"/>
      <c r="AF272" s="502"/>
      <c r="AG272" s="502"/>
      <c r="AH272" s="502"/>
      <c r="AI272" s="872">
        <f>AL272</f>
        <v>972.69</v>
      </c>
      <c r="AJ272" s="473">
        <f>ROUND(AI272*(1+$J$13),2)</f>
        <v>1233.47</v>
      </c>
      <c r="AK272" s="473">
        <f>ROUND(AJ272*F272,2)</f>
        <v>18502.05</v>
      </c>
      <c r="AL272" s="788">
        <f>'PLANILHA ORÇA - CORREGEDORIA'!BG316</f>
        <v>972.69</v>
      </c>
    </row>
    <row r="273" spans="1:38" s="28" customFormat="1" ht="60">
      <c r="A273" s="25" t="s">
        <v>889</v>
      </c>
      <c r="B273" s="24">
        <v>89590</v>
      </c>
      <c r="C273" s="23" t="s">
        <v>1616</v>
      </c>
      <c r="D273" s="25" t="s">
        <v>12</v>
      </c>
      <c r="E273" s="25" t="s">
        <v>17</v>
      </c>
      <c r="F273" s="26">
        <v>4</v>
      </c>
      <c r="G273" s="26">
        <f t="shared" si="144"/>
        <v>96.160499999999999</v>
      </c>
      <c r="H273" s="26">
        <f t="shared" si="158"/>
        <v>121.94</v>
      </c>
      <c r="I273" s="26">
        <f t="shared" si="159"/>
        <v>487.76</v>
      </c>
      <c r="J273" s="65" t="e">
        <f>IF(B273&lt;&gt;0,VLOOKUP(B273,#REF!,4,FALSE),"")</f>
        <v>#REF!</v>
      </c>
      <c r="K273" s="362" t="s">
        <v>3285</v>
      </c>
      <c r="L273" s="65">
        <f t="shared" si="145"/>
        <v>-16.969499999999996</v>
      </c>
      <c r="M273" s="65">
        <f t="shared" si="146"/>
        <v>384.642</v>
      </c>
      <c r="N273" s="65"/>
      <c r="O273" s="65">
        <f t="shared" si="147"/>
        <v>487.76</v>
      </c>
      <c r="P273" s="65" t="e">
        <f>IF(B273&lt;&gt;0,VLOOKUP(B273,#REF!,2,FALSE),"")</f>
        <v>#REF!</v>
      </c>
      <c r="Q273" s="28">
        <v>5</v>
      </c>
      <c r="R273" s="62">
        <f t="shared" si="150"/>
        <v>1</v>
      </c>
      <c r="AD273" s="370"/>
      <c r="AE273" s="481"/>
      <c r="AF273" s="481"/>
      <c r="AG273" s="481"/>
      <c r="AH273" s="481"/>
      <c r="AI273" s="873">
        <f t="shared" si="156"/>
        <v>107.12</v>
      </c>
      <c r="AJ273" s="26">
        <f t="shared" si="155"/>
        <v>135.84</v>
      </c>
      <c r="AK273" s="26">
        <f t="shared" si="157"/>
        <v>543.36</v>
      </c>
      <c r="AL273" s="787"/>
    </row>
    <row r="274" spans="1:38" s="45" customFormat="1" ht="60" customHeight="1">
      <c r="A274" s="25" t="s">
        <v>890</v>
      </c>
      <c r="B274" s="24">
        <v>89591</v>
      </c>
      <c r="C274" s="23" t="s">
        <v>1617</v>
      </c>
      <c r="D274" s="25" t="s">
        <v>12</v>
      </c>
      <c r="E274" s="25" t="s">
        <v>17</v>
      </c>
      <c r="F274" s="26">
        <v>5</v>
      </c>
      <c r="G274" s="26">
        <f t="shared" si="144"/>
        <v>78.727000000000004</v>
      </c>
      <c r="H274" s="26">
        <f t="shared" si="158"/>
        <v>99.83</v>
      </c>
      <c r="I274" s="26">
        <f t="shared" si="159"/>
        <v>499.15</v>
      </c>
      <c r="J274" s="65" t="e">
        <f>IF(B274&lt;&gt;0,VLOOKUP(B274,#REF!,4,FALSE),"")</f>
        <v>#REF!</v>
      </c>
      <c r="K274" s="362" t="s">
        <v>3189</v>
      </c>
      <c r="L274" s="65">
        <f t="shared" si="145"/>
        <v>-13.893000000000001</v>
      </c>
      <c r="M274" s="65">
        <f t="shared" si="146"/>
        <v>393.63499999999999</v>
      </c>
      <c r="N274" s="65"/>
      <c r="O274" s="65">
        <f t="shared" si="147"/>
        <v>499.15</v>
      </c>
      <c r="P274" s="65" t="e">
        <f>IF(B274&lt;&gt;0,VLOOKUP(B274,#REF!,2,FALSE),"")</f>
        <v>#REF!</v>
      </c>
      <c r="Q274" s="45">
        <v>5</v>
      </c>
      <c r="R274" s="62">
        <f t="shared" si="150"/>
        <v>0</v>
      </c>
      <c r="AD274" s="56"/>
      <c r="AE274" s="481"/>
      <c r="AF274" s="481"/>
      <c r="AG274" s="481"/>
      <c r="AH274" s="481"/>
      <c r="AI274" s="873">
        <f t="shared" si="156"/>
        <v>87.7</v>
      </c>
      <c r="AJ274" s="26">
        <f t="shared" si="155"/>
        <v>111.21</v>
      </c>
      <c r="AK274" s="26">
        <f t="shared" si="157"/>
        <v>556.04999999999995</v>
      </c>
      <c r="AL274" s="724"/>
    </row>
    <row r="275" spans="1:38" s="45" customFormat="1" ht="54" customHeight="1">
      <c r="A275" s="25" t="s">
        <v>891</v>
      </c>
      <c r="B275" s="24">
        <v>89584</v>
      </c>
      <c r="C275" s="23" t="s">
        <v>1618</v>
      </c>
      <c r="D275" s="25" t="s">
        <v>12</v>
      </c>
      <c r="E275" s="25" t="s">
        <v>17</v>
      </c>
      <c r="F275" s="26">
        <v>5</v>
      </c>
      <c r="G275" s="26">
        <f t="shared" si="144"/>
        <v>29.954000000000001</v>
      </c>
      <c r="H275" s="26">
        <f t="shared" si="158"/>
        <v>37.979999999999997</v>
      </c>
      <c r="I275" s="26">
        <f t="shared" si="159"/>
        <v>189.9</v>
      </c>
      <c r="J275" s="65" t="e">
        <f>IF(B275&lt;&gt;0,VLOOKUP(B275,#REF!,4,FALSE),"")</f>
        <v>#REF!</v>
      </c>
      <c r="K275" s="362" t="s">
        <v>3129</v>
      </c>
      <c r="L275" s="65">
        <f t="shared" si="145"/>
        <v>-5.2860000000000014</v>
      </c>
      <c r="M275" s="65">
        <f t="shared" si="146"/>
        <v>149.77000000000001</v>
      </c>
      <c r="N275" s="65"/>
      <c r="O275" s="65">
        <f t="shared" si="147"/>
        <v>189.89999999999998</v>
      </c>
      <c r="P275" s="65" t="e">
        <f>IF(B275&lt;&gt;0,VLOOKUP(B275,#REF!,2,FALSE),"")</f>
        <v>#REF!</v>
      </c>
      <c r="Q275" s="45">
        <v>3</v>
      </c>
      <c r="R275" s="62">
        <f t="shared" si="150"/>
        <v>-2</v>
      </c>
      <c r="AD275" s="56"/>
      <c r="AE275" s="481"/>
      <c r="AF275" s="481"/>
      <c r="AG275" s="481"/>
      <c r="AH275" s="481"/>
      <c r="AI275" s="873">
        <f t="shared" si="156"/>
        <v>33.369999999999997</v>
      </c>
      <c r="AJ275" s="26">
        <f t="shared" si="155"/>
        <v>42.32</v>
      </c>
      <c r="AK275" s="26">
        <f t="shared" si="157"/>
        <v>211.6</v>
      </c>
      <c r="AL275" s="724"/>
    </row>
    <row r="276" spans="1:38" s="28" customFormat="1" ht="54" customHeight="1">
      <c r="A276" s="25" t="s">
        <v>892</v>
      </c>
      <c r="B276" s="24">
        <v>89585</v>
      </c>
      <c r="C276" s="23" t="s">
        <v>1619</v>
      </c>
      <c r="D276" s="25" t="s">
        <v>12</v>
      </c>
      <c r="E276" s="25" t="s">
        <v>17</v>
      </c>
      <c r="F276" s="26">
        <v>3</v>
      </c>
      <c r="G276" s="26">
        <f t="shared" si="144"/>
        <v>23.885000000000002</v>
      </c>
      <c r="H276" s="26">
        <f t="shared" si="158"/>
        <v>30.29</v>
      </c>
      <c r="I276" s="26">
        <f t="shared" si="159"/>
        <v>90.87</v>
      </c>
      <c r="J276" s="65" t="e">
        <f>IF(B276&lt;&gt;0,VLOOKUP(B276,#REF!,4,FALSE),"")</f>
        <v>#REF!</v>
      </c>
      <c r="K276" s="362" t="s">
        <v>3284</v>
      </c>
      <c r="L276" s="65">
        <f t="shared" si="145"/>
        <v>-4.2149999999999999</v>
      </c>
      <c r="M276" s="65">
        <f t="shared" si="146"/>
        <v>71.655000000000001</v>
      </c>
      <c r="N276" s="65"/>
      <c r="O276" s="65">
        <f t="shared" si="147"/>
        <v>90.87</v>
      </c>
      <c r="P276" s="65" t="e">
        <f>IF(B276&lt;&gt;0,VLOOKUP(B276,#REF!,2,FALSE),"")</f>
        <v>#REF!</v>
      </c>
      <c r="Q276" s="28">
        <v>4</v>
      </c>
      <c r="R276" s="62">
        <f t="shared" si="150"/>
        <v>1</v>
      </c>
      <c r="AD276" s="370"/>
      <c r="AE276" s="481"/>
      <c r="AF276" s="481"/>
      <c r="AG276" s="481"/>
      <c r="AH276" s="481"/>
      <c r="AI276" s="873">
        <f t="shared" si="156"/>
        <v>26.61</v>
      </c>
      <c r="AJ276" s="26">
        <f t="shared" si="155"/>
        <v>33.74</v>
      </c>
      <c r="AK276" s="26">
        <f t="shared" si="157"/>
        <v>101.22</v>
      </c>
      <c r="AL276" s="787"/>
    </row>
    <row r="277" spans="1:38" s="28" customFormat="1" ht="50.25" customHeight="1">
      <c r="A277" s="25" t="s">
        <v>893</v>
      </c>
      <c r="B277" s="24">
        <v>89492</v>
      </c>
      <c r="C277" s="23" t="s">
        <v>1620</v>
      </c>
      <c r="D277" s="25" t="s">
        <v>12</v>
      </c>
      <c r="E277" s="25" t="s">
        <v>17</v>
      </c>
      <c r="F277" s="26">
        <v>4</v>
      </c>
      <c r="G277" s="26">
        <f t="shared" si="144"/>
        <v>4.9809999999999999</v>
      </c>
      <c r="H277" s="26">
        <f t="shared" si="158"/>
        <v>6.32</v>
      </c>
      <c r="I277" s="26">
        <f t="shared" si="159"/>
        <v>25.28</v>
      </c>
      <c r="J277" s="65" t="e">
        <f>IF(B277&lt;&gt;0,VLOOKUP(B277,#REF!,4,FALSE),"")</f>
        <v>#REF!</v>
      </c>
      <c r="K277" s="362" t="s">
        <v>3122</v>
      </c>
      <c r="L277" s="65">
        <f t="shared" si="145"/>
        <v>-0.87900000000000045</v>
      </c>
      <c r="M277" s="65">
        <f t="shared" si="146"/>
        <v>19.923999999999999</v>
      </c>
      <c r="N277" s="65"/>
      <c r="O277" s="65">
        <f t="shared" si="147"/>
        <v>25.28</v>
      </c>
      <c r="P277" s="65" t="e">
        <f>IF(B277&lt;&gt;0,VLOOKUP(B277,#REF!,2,FALSE),"")</f>
        <v>#REF!</v>
      </c>
      <c r="Q277" s="28">
        <v>4</v>
      </c>
      <c r="R277" s="62">
        <f t="shared" si="150"/>
        <v>0</v>
      </c>
      <c r="AD277" s="370"/>
      <c r="AE277" s="481"/>
      <c r="AF277" s="481"/>
      <c r="AG277" s="481"/>
      <c r="AH277" s="481"/>
      <c r="AI277" s="873">
        <f t="shared" si="156"/>
        <v>5.55</v>
      </c>
      <c r="AJ277" s="26">
        <f t="shared" si="155"/>
        <v>7.04</v>
      </c>
      <c r="AK277" s="26">
        <f t="shared" si="157"/>
        <v>28.16</v>
      </c>
      <c r="AL277" s="787"/>
    </row>
    <row r="278" spans="1:38" ht="45">
      <c r="A278" s="25" t="s">
        <v>894</v>
      </c>
      <c r="B278" s="24">
        <v>89513</v>
      </c>
      <c r="C278" s="23" t="s">
        <v>1591</v>
      </c>
      <c r="D278" s="25" t="s">
        <v>12</v>
      </c>
      <c r="E278" s="25" t="s">
        <v>17</v>
      </c>
      <c r="F278" s="26">
        <v>4</v>
      </c>
      <c r="G278" s="26">
        <f t="shared" ref="G278:G341" si="160">K278-(K278*$L$14)</f>
        <v>93.848500000000001</v>
      </c>
      <c r="H278" s="26">
        <f t="shared" si="158"/>
        <v>119.01</v>
      </c>
      <c r="I278" s="26">
        <f t="shared" si="159"/>
        <v>476.04</v>
      </c>
      <c r="J278" s="65" t="e">
        <f>IF(B278&lt;&gt;0,VLOOKUP(B278,#REF!,4,FALSE),"")</f>
        <v>#REF!</v>
      </c>
      <c r="K278" s="362" t="s">
        <v>3283</v>
      </c>
      <c r="L278" s="65">
        <f t="shared" ref="L278:L341" si="161">G278-K278</f>
        <v>-16.561499999999995</v>
      </c>
      <c r="M278" s="65">
        <f t="shared" ref="M278:M341" si="162">F278*G278</f>
        <v>375.39400000000001</v>
      </c>
      <c r="N278" s="65"/>
      <c r="O278" s="65">
        <f t="shared" ref="O278:O341" si="163">F278*H278</f>
        <v>476.04</v>
      </c>
      <c r="P278" s="65" t="e">
        <f>IF(B278&lt;&gt;0,VLOOKUP(B278,#REF!,2,FALSE),"")</f>
        <v>#REF!</v>
      </c>
      <c r="Q278" s="2">
        <v>2</v>
      </c>
      <c r="R278" s="62">
        <f t="shared" si="150"/>
        <v>-2</v>
      </c>
      <c r="AD278" s="21"/>
      <c r="AE278" s="481"/>
      <c r="AF278" s="481"/>
      <c r="AG278" s="481"/>
      <c r="AH278" s="481"/>
      <c r="AI278" s="873">
        <f t="shared" si="156"/>
        <v>104.55</v>
      </c>
      <c r="AJ278" s="26">
        <f t="shared" si="155"/>
        <v>132.58000000000001</v>
      </c>
      <c r="AK278" s="26">
        <f t="shared" si="157"/>
        <v>530.32000000000005</v>
      </c>
    </row>
    <row r="279" spans="1:38" ht="45">
      <c r="A279" s="25" t="s">
        <v>895</v>
      </c>
      <c r="B279" s="24">
        <v>89516</v>
      </c>
      <c r="C279" s="23" t="s">
        <v>1621</v>
      </c>
      <c r="D279" s="25" t="s">
        <v>12</v>
      </c>
      <c r="E279" s="25" t="s">
        <v>17</v>
      </c>
      <c r="F279" s="26">
        <v>2</v>
      </c>
      <c r="G279" s="26">
        <f t="shared" si="160"/>
        <v>6.0605000000000002</v>
      </c>
      <c r="H279" s="26">
        <f t="shared" si="158"/>
        <v>7.69</v>
      </c>
      <c r="I279" s="26">
        <f t="shared" si="159"/>
        <v>15.38</v>
      </c>
      <c r="J279" s="65" t="e">
        <f>IF(B279&lt;&gt;0,VLOOKUP(B279,#REF!,4,FALSE),"")</f>
        <v>#REF!</v>
      </c>
      <c r="K279" s="362" t="s">
        <v>1869</v>
      </c>
      <c r="L279" s="65">
        <f t="shared" si="161"/>
        <v>-1.0694999999999997</v>
      </c>
      <c r="M279" s="65">
        <f t="shared" si="162"/>
        <v>12.121</v>
      </c>
      <c r="N279" s="65"/>
      <c r="O279" s="65">
        <f t="shared" si="163"/>
        <v>15.38</v>
      </c>
      <c r="P279" s="65" t="e">
        <f>IF(B279&lt;&gt;0,VLOOKUP(B279,#REF!,2,FALSE),"")</f>
        <v>#REF!</v>
      </c>
      <c r="Q279" s="2">
        <v>2</v>
      </c>
      <c r="R279" s="62">
        <f t="shared" si="150"/>
        <v>0</v>
      </c>
      <c r="AD279" s="21"/>
      <c r="AE279" s="481"/>
      <c r="AF279" s="481"/>
      <c r="AG279" s="481"/>
      <c r="AH279" s="481"/>
      <c r="AI279" s="873">
        <f t="shared" si="156"/>
        <v>6.75</v>
      </c>
      <c r="AJ279" s="26">
        <f t="shared" si="155"/>
        <v>8.56</v>
      </c>
      <c r="AK279" s="26">
        <f t="shared" si="157"/>
        <v>17.12</v>
      </c>
    </row>
    <row r="280" spans="1:38" ht="60">
      <c r="A280" s="25" t="s">
        <v>896</v>
      </c>
      <c r="B280" s="24">
        <v>89582</v>
      </c>
      <c r="C280" s="23" t="s">
        <v>1622</v>
      </c>
      <c r="D280" s="25" t="s">
        <v>12</v>
      </c>
      <c r="E280" s="25" t="s">
        <v>17</v>
      </c>
      <c r="F280" s="26">
        <v>2</v>
      </c>
      <c r="G280" s="26">
        <f t="shared" si="160"/>
        <v>17.34</v>
      </c>
      <c r="H280" s="26">
        <f t="shared" si="158"/>
        <v>21.99</v>
      </c>
      <c r="I280" s="26">
        <f t="shared" si="159"/>
        <v>43.98</v>
      </c>
      <c r="J280" s="65" t="e">
        <f>IF(B280&lt;&gt;0,VLOOKUP(B280,#REF!,4,FALSE),"")</f>
        <v>#REF!</v>
      </c>
      <c r="K280" s="362" t="s">
        <v>3227</v>
      </c>
      <c r="L280" s="65">
        <f t="shared" si="161"/>
        <v>-3.0599999999999987</v>
      </c>
      <c r="M280" s="65">
        <f t="shared" si="162"/>
        <v>34.68</v>
      </c>
      <c r="N280" s="65"/>
      <c r="O280" s="65">
        <f t="shared" si="163"/>
        <v>43.98</v>
      </c>
      <c r="P280" s="65" t="e">
        <f>IF(B280&lt;&gt;0,VLOOKUP(B280,#REF!,2,FALSE),"")</f>
        <v>#REF!</v>
      </c>
      <c r="Q280" s="2">
        <v>5</v>
      </c>
      <c r="R280" s="62">
        <f t="shared" si="150"/>
        <v>3</v>
      </c>
      <c r="AD280" s="21"/>
      <c r="AE280" s="481"/>
      <c r="AF280" s="481"/>
      <c r="AG280" s="481"/>
      <c r="AH280" s="481"/>
      <c r="AI280" s="873">
        <f t="shared" si="156"/>
        <v>19.32</v>
      </c>
      <c r="AJ280" s="26">
        <f t="shared" si="155"/>
        <v>24.5</v>
      </c>
      <c r="AK280" s="26">
        <f t="shared" si="157"/>
        <v>49</v>
      </c>
    </row>
    <row r="281" spans="1:38" s="45" customFormat="1" ht="45">
      <c r="A281" s="25" t="s">
        <v>897</v>
      </c>
      <c r="B281" s="24">
        <v>89368</v>
      </c>
      <c r="C281" s="23" t="s">
        <v>1623</v>
      </c>
      <c r="D281" s="25" t="s">
        <v>12</v>
      </c>
      <c r="E281" s="25" t="s">
        <v>17</v>
      </c>
      <c r="F281" s="26">
        <v>5</v>
      </c>
      <c r="G281" s="26">
        <f t="shared" si="160"/>
        <v>9.8089999999999993</v>
      </c>
      <c r="H281" s="26">
        <f t="shared" si="158"/>
        <v>12.44</v>
      </c>
      <c r="I281" s="26">
        <f t="shared" si="159"/>
        <v>62.2</v>
      </c>
      <c r="J281" s="65" t="e">
        <f>IF(B281&lt;&gt;0,VLOOKUP(B281,#REF!,4,FALSE),"")</f>
        <v>#REF!</v>
      </c>
      <c r="K281" s="362" t="s">
        <v>3125</v>
      </c>
      <c r="L281" s="65">
        <f t="shared" si="161"/>
        <v>-1.7309999999999999</v>
      </c>
      <c r="M281" s="65">
        <f t="shared" si="162"/>
        <v>49.044999999999995</v>
      </c>
      <c r="N281" s="65"/>
      <c r="O281" s="65">
        <f t="shared" si="163"/>
        <v>62.199999999999996</v>
      </c>
      <c r="P281" s="65" t="e">
        <f>IF(B281&lt;&gt;0,VLOOKUP(B281,#REF!,2,FALSE),"")</f>
        <v>#REF!</v>
      </c>
      <c r="Q281" s="45">
        <v>5</v>
      </c>
      <c r="R281" s="62">
        <f t="shared" si="150"/>
        <v>0</v>
      </c>
      <c r="AD281" s="56"/>
      <c r="AE281" s="481"/>
      <c r="AF281" s="481"/>
      <c r="AG281" s="481"/>
      <c r="AH281" s="481"/>
      <c r="AI281" s="873">
        <f t="shared" si="156"/>
        <v>10.93</v>
      </c>
      <c r="AJ281" s="26">
        <f t="shared" si="155"/>
        <v>13.86</v>
      </c>
      <c r="AK281" s="26">
        <f t="shared" si="157"/>
        <v>69.3</v>
      </c>
      <c r="AL281" s="724"/>
    </row>
    <row r="282" spans="1:38" s="28" customFormat="1" ht="60">
      <c r="A282" s="25" t="s">
        <v>898</v>
      </c>
      <c r="B282" s="24">
        <v>89690</v>
      </c>
      <c r="C282" s="23" t="s">
        <v>1624</v>
      </c>
      <c r="D282" s="25" t="s">
        <v>12</v>
      </c>
      <c r="E282" s="25" t="s">
        <v>17</v>
      </c>
      <c r="F282" s="26">
        <v>5</v>
      </c>
      <c r="G282" s="26">
        <f t="shared" si="160"/>
        <v>55.360499999999995</v>
      </c>
      <c r="H282" s="26">
        <f t="shared" si="158"/>
        <v>70.2</v>
      </c>
      <c r="I282" s="26">
        <f t="shared" si="159"/>
        <v>351</v>
      </c>
      <c r="J282" s="65" t="e">
        <f>IF(B282&lt;&gt;0,VLOOKUP(B282,#REF!,4,FALSE),"")</f>
        <v>#REF!</v>
      </c>
      <c r="K282" s="362" t="s">
        <v>3287</v>
      </c>
      <c r="L282" s="65">
        <f t="shared" si="161"/>
        <v>-9.7695000000000007</v>
      </c>
      <c r="M282" s="65">
        <f t="shared" si="162"/>
        <v>276.80249999999995</v>
      </c>
      <c r="N282" s="65"/>
      <c r="O282" s="65">
        <f t="shared" si="163"/>
        <v>351</v>
      </c>
      <c r="P282" s="65" t="e">
        <f>IF(B282&lt;&gt;0,VLOOKUP(B282,#REF!,2,FALSE),"")</f>
        <v>#REF!</v>
      </c>
      <c r="Q282" s="28">
        <v>5</v>
      </c>
      <c r="R282" s="62">
        <f t="shared" si="150"/>
        <v>0</v>
      </c>
      <c r="AD282" s="370"/>
      <c r="AE282" s="481"/>
      <c r="AF282" s="481"/>
      <c r="AG282" s="481"/>
      <c r="AH282" s="481"/>
      <c r="AI282" s="873">
        <f t="shared" si="156"/>
        <v>61.67</v>
      </c>
      <c r="AJ282" s="26">
        <f t="shared" si="155"/>
        <v>78.2</v>
      </c>
      <c r="AK282" s="26">
        <f t="shared" si="157"/>
        <v>391</v>
      </c>
      <c r="AL282" s="787"/>
    </row>
    <row r="283" spans="1:38" s="45" customFormat="1" ht="45">
      <c r="A283" s="25" t="s">
        <v>899</v>
      </c>
      <c r="B283" s="24">
        <v>89574</v>
      </c>
      <c r="C283" s="23" t="s">
        <v>1625</v>
      </c>
      <c r="D283" s="25" t="s">
        <v>12</v>
      </c>
      <c r="E283" s="25" t="s">
        <v>17</v>
      </c>
      <c r="F283" s="26">
        <v>5</v>
      </c>
      <c r="G283" s="26">
        <f t="shared" si="160"/>
        <v>93.083500000000001</v>
      </c>
      <c r="H283" s="26">
        <f t="shared" si="158"/>
        <v>118.04</v>
      </c>
      <c r="I283" s="26">
        <f t="shared" si="159"/>
        <v>590.20000000000005</v>
      </c>
      <c r="J283" s="65" t="e">
        <f>IF(B283&lt;&gt;0,VLOOKUP(B283,#REF!,4,FALSE),"")</f>
        <v>#REF!</v>
      </c>
      <c r="K283" s="362" t="s">
        <v>3174</v>
      </c>
      <c r="L283" s="65">
        <f t="shared" si="161"/>
        <v>-16.426500000000004</v>
      </c>
      <c r="M283" s="65">
        <f t="shared" si="162"/>
        <v>465.41750000000002</v>
      </c>
      <c r="N283" s="65"/>
      <c r="O283" s="65">
        <f t="shared" si="163"/>
        <v>590.20000000000005</v>
      </c>
      <c r="P283" s="65" t="e">
        <f>IF(B283&lt;&gt;0,VLOOKUP(B283,#REF!,2,FALSE),"")</f>
        <v>#REF!</v>
      </c>
      <c r="Q283" s="45">
        <v>6</v>
      </c>
      <c r="R283" s="62">
        <f t="shared" si="150"/>
        <v>1</v>
      </c>
      <c r="AD283" s="56"/>
      <c r="AE283" s="481"/>
      <c r="AF283" s="481"/>
      <c r="AG283" s="481"/>
      <c r="AH283" s="481"/>
      <c r="AI283" s="873">
        <f t="shared" si="156"/>
        <v>103.7</v>
      </c>
      <c r="AJ283" s="26">
        <f t="shared" si="155"/>
        <v>131.5</v>
      </c>
      <c r="AK283" s="26">
        <f t="shared" si="157"/>
        <v>657.5</v>
      </c>
      <c r="AL283" s="724"/>
    </row>
    <row r="284" spans="1:38" ht="45">
      <c r="A284" s="25" t="s">
        <v>900</v>
      </c>
      <c r="B284" s="24">
        <v>89620</v>
      </c>
      <c r="C284" s="23" t="s">
        <v>1626</v>
      </c>
      <c r="D284" s="25" t="s">
        <v>12</v>
      </c>
      <c r="E284" s="25" t="s">
        <v>17</v>
      </c>
      <c r="F284" s="26">
        <v>6</v>
      </c>
      <c r="G284" s="26">
        <f t="shared" si="160"/>
        <v>8.0239999999999991</v>
      </c>
      <c r="H284" s="26">
        <f t="shared" si="158"/>
        <v>10.18</v>
      </c>
      <c r="I284" s="26">
        <f t="shared" si="159"/>
        <v>61.08</v>
      </c>
      <c r="J284" s="65" t="e">
        <f>IF(B284&lt;&gt;0,VLOOKUP(B284,#REF!,4,FALSE),"")</f>
        <v>#REF!</v>
      </c>
      <c r="K284" s="362" t="s">
        <v>3286</v>
      </c>
      <c r="L284" s="65">
        <f t="shared" si="161"/>
        <v>-1.4160000000000004</v>
      </c>
      <c r="M284" s="65">
        <f t="shared" si="162"/>
        <v>48.143999999999991</v>
      </c>
      <c r="N284" s="65"/>
      <c r="O284" s="65">
        <f t="shared" si="163"/>
        <v>61.08</v>
      </c>
      <c r="P284" s="65" t="e">
        <f>IF(B284&lt;&gt;0,VLOOKUP(B284,#REF!,2,FALSE),"")</f>
        <v>#REF!</v>
      </c>
      <c r="Q284" s="2">
        <v>2</v>
      </c>
      <c r="R284" s="62">
        <f t="shared" si="150"/>
        <v>-4</v>
      </c>
      <c r="AD284" s="21"/>
      <c r="AE284" s="481"/>
      <c r="AF284" s="481"/>
      <c r="AG284" s="481"/>
      <c r="AH284" s="481"/>
      <c r="AI284" s="873">
        <f t="shared" si="156"/>
        <v>8.94</v>
      </c>
      <c r="AJ284" s="26">
        <f t="shared" si="155"/>
        <v>11.34</v>
      </c>
      <c r="AK284" s="26">
        <f t="shared" si="157"/>
        <v>68.040000000000006</v>
      </c>
    </row>
    <row r="285" spans="1:38">
      <c r="A285" s="25" t="s">
        <v>901</v>
      </c>
      <c r="B285" s="24">
        <v>53099</v>
      </c>
      <c r="C285" s="23" t="s">
        <v>2368</v>
      </c>
      <c r="D285" s="25" t="s">
        <v>1915</v>
      </c>
      <c r="E285" s="25" t="s">
        <v>17</v>
      </c>
      <c r="F285" s="26">
        <v>2</v>
      </c>
      <c r="G285" s="26">
        <f t="shared" si="160"/>
        <v>21.385999999999999</v>
      </c>
      <c r="H285" s="26">
        <f t="shared" si="158"/>
        <v>27.12</v>
      </c>
      <c r="I285" s="26">
        <f t="shared" si="159"/>
        <v>54.24</v>
      </c>
      <c r="J285" s="64">
        <f>'COMPOSIÇÃO DE CUSTOS'!G662</f>
        <v>21.4</v>
      </c>
      <c r="K285" s="362">
        <v>25.16</v>
      </c>
      <c r="L285" s="65">
        <f t="shared" si="161"/>
        <v>-3.7740000000000009</v>
      </c>
      <c r="M285" s="65">
        <f t="shared" si="162"/>
        <v>42.771999999999998</v>
      </c>
      <c r="N285" s="65"/>
      <c r="O285" s="65">
        <f t="shared" si="163"/>
        <v>54.24</v>
      </c>
      <c r="P285" s="65" t="e">
        <f>IF(B285&lt;&gt;0,VLOOKUP(B285,#REF!,2,FALSE),"")</f>
        <v>#REF!</v>
      </c>
      <c r="Q285" s="2">
        <v>2</v>
      </c>
      <c r="R285" s="62">
        <f t="shared" si="150"/>
        <v>0</v>
      </c>
      <c r="AD285" s="21"/>
      <c r="AE285" s="481"/>
      <c r="AF285" s="481"/>
      <c r="AG285" s="481"/>
      <c r="AH285" s="481"/>
      <c r="AI285" s="873">
        <f t="shared" si="156"/>
        <v>23.82</v>
      </c>
      <c r="AJ285" s="26">
        <f t="shared" si="155"/>
        <v>30.21</v>
      </c>
      <c r="AK285" s="26">
        <f t="shared" si="157"/>
        <v>60.42</v>
      </c>
    </row>
    <row r="286" spans="1:38">
      <c r="A286" s="25" t="s">
        <v>902</v>
      </c>
      <c r="B286" s="24" t="s">
        <v>2117</v>
      </c>
      <c r="C286" s="23" t="s">
        <v>2369</v>
      </c>
      <c r="D286" s="25" t="s">
        <v>1915</v>
      </c>
      <c r="E286" s="25" t="s">
        <v>17</v>
      </c>
      <c r="F286" s="26">
        <v>2</v>
      </c>
      <c r="G286" s="26">
        <f t="shared" si="160"/>
        <v>29.460999999999999</v>
      </c>
      <c r="H286" s="26">
        <f t="shared" si="158"/>
        <v>37.36</v>
      </c>
      <c r="I286" s="26">
        <f t="shared" si="159"/>
        <v>74.72</v>
      </c>
      <c r="J286" s="64">
        <f>'COMPOSIÇÃO DE CUSTOS'!G669</f>
        <v>29.47</v>
      </c>
      <c r="K286" s="362">
        <v>34.659999999999997</v>
      </c>
      <c r="L286" s="65">
        <f t="shared" si="161"/>
        <v>-5.1989999999999981</v>
      </c>
      <c r="M286" s="65">
        <f t="shared" si="162"/>
        <v>58.921999999999997</v>
      </c>
      <c r="N286" s="65"/>
      <c r="O286" s="65">
        <f t="shared" si="163"/>
        <v>74.72</v>
      </c>
      <c r="P286" s="65" t="e">
        <f>IF(B286&lt;&gt;0,VLOOKUP(B286,#REF!,2,FALSE),"")</f>
        <v>#REF!</v>
      </c>
      <c r="R286" s="62">
        <f t="shared" si="150"/>
        <v>-2</v>
      </c>
      <c r="AD286" s="21"/>
      <c r="AE286" s="481"/>
      <c r="AF286" s="481"/>
      <c r="AG286" s="481"/>
      <c r="AH286" s="481"/>
      <c r="AI286" s="873">
        <f t="shared" si="156"/>
        <v>32.82</v>
      </c>
      <c r="AJ286" s="26">
        <f t="shared" si="155"/>
        <v>41.62</v>
      </c>
      <c r="AK286" s="26">
        <f t="shared" si="157"/>
        <v>83.24</v>
      </c>
    </row>
    <row r="287" spans="1:38">
      <c r="A287" s="77" t="s">
        <v>903</v>
      </c>
      <c r="B287" s="139"/>
      <c r="C287" s="340" t="s">
        <v>141</v>
      </c>
      <c r="D287" s="341"/>
      <c r="E287" s="341"/>
      <c r="F287" s="341"/>
      <c r="G287" s="26"/>
      <c r="H287" s="341"/>
      <c r="I287" s="96"/>
      <c r="J287" s="64" t="str">
        <f>IF(B287&lt;&gt;0,VLOOKUP(B287,#REF!,4,FALSE),"")</f>
        <v/>
      </c>
      <c r="K287" s="362" t="s">
        <v>1892</v>
      </c>
      <c r="L287" s="65"/>
      <c r="M287" s="65">
        <f t="shared" si="162"/>
        <v>0</v>
      </c>
      <c r="N287" s="65"/>
      <c r="O287" s="65">
        <f t="shared" si="163"/>
        <v>0</v>
      </c>
      <c r="P287" s="65" t="str">
        <f>IF(B287&lt;&gt;0,VLOOKUP(B287,#REF!,2,FALSE),"")</f>
        <v/>
      </c>
      <c r="Q287" s="2">
        <v>8</v>
      </c>
      <c r="R287" s="62">
        <f t="shared" si="150"/>
        <v>8</v>
      </c>
      <c r="AD287" s="21"/>
      <c r="AE287" s="481"/>
      <c r="AF287" s="481"/>
      <c r="AG287" s="481"/>
      <c r="AH287" s="481"/>
      <c r="AI287" s="873"/>
      <c r="AJ287" s="26"/>
      <c r="AK287" s="26"/>
    </row>
    <row r="288" spans="1:38" ht="90">
      <c r="A288" s="25" t="s">
        <v>904</v>
      </c>
      <c r="B288" s="24" t="s">
        <v>2118</v>
      </c>
      <c r="C288" s="23" t="s">
        <v>142</v>
      </c>
      <c r="D288" s="25" t="s">
        <v>1915</v>
      </c>
      <c r="E288" s="25" t="s">
        <v>17</v>
      </c>
      <c r="F288" s="26">
        <v>8</v>
      </c>
      <c r="G288" s="26">
        <f t="shared" si="160"/>
        <v>194.76900000000001</v>
      </c>
      <c r="H288" s="26">
        <f>ROUND(G288*(1+$J$13),2)</f>
        <v>246.99</v>
      </c>
      <c r="I288" s="26">
        <f t="shared" ref="I288:I291" si="164">ROUND(H288*F288,2)</f>
        <v>1975.92</v>
      </c>
      <c r="J288" s="64">
        <f>'COMPOSIÇÃO DE CUSTOS'!G682</f>
        <v>194.75</v>
      </c>
      <c r="K288" s="362">
        <v>229.14</v>
      </c>
      <c r="L288" s="65">
        <f t="shared" si="161"/>
        <v>-34.370999999999981</v>
      </c>
      <c r="M288" s="65">
        <f t="shared" si="162"/>
        <v>1558.152</v>
      </c>
      <c r="N288" s="65"/>
      <c r="O288" s="65">
        <f t="shared" si="163"/>
        <v>1975.92</v>
      </c>
      <c r="P288" s="65" t="e">
        <f>IF(B288&lt;&gt;0,VLOOKUP(B288,#REF!,2,FALSE),"")</f>
        <v>#REF!</v>
      </c>
      <c r="Q288" s="2">
        <v>8</v>
      </c>
      <c r="R288" s="62">
        <f t="shared" si="150"/>
        <v>0</v>
      </c>
      <c r="AD288" s="21"/>
      <c r="AE288" s="481"/>
      <c r="AF288" s="481"/>
      <c r="AG288" s="481"/>
      <c r="AH288" s="481"/>
      <c r="AI288" s="873">
        <f t="shared" si="156"/>
        <v>216.97</v>
      </c>
      <c r="AJ288" s="26">
        <f t="shared" si="155"/>
        <v>275.14</v>
      </c>
      <c r="AK288" s="26">
        <f t="shared" si="157"/>
        <v>2201.12</v>
      </c>
    </row>
    <row r="289" spans="1:38" ht="30">
      <c r="A289" s="25" t="s">
        <v>905</v>
      </c>
      <c r="B289" s="24">
        <v>72285</v>
      </c>
      <c r="C289" s="23" t="s">
        <v>143</v>
      </c>
      <c r="D289" s="25" t="s">
        <v>1915</v>
      </c>
      <c r="E289" s="25" t="s">
        <v>17</v>
      </c>
      <c r="F289" s="26">
        <v>8</v>
      </c>
      <c r="G289" s="26">
        <f t="shared" si="160"/>
        <v>60.375500000000002</v>
      </c>
      <c r="H289" s="26">
        <f>ROUND(G289*(1+$J$13),2)</f>
        <v>76.56</v>
      </c>
      <c r="I289" s="26">
        <f t="shared" si="164"/>
        <v>612.48</v>
      </c>
      <c r="J289" s="64">
        <f>'COMPOSIÇÃO DE CUSTOS'!G692</f>
        <v>60.38</v>
      </c>
      <c r="K289" s="362">
        <v>71.03</v>
      </c>
      <c r="L289" s="65">
        <f t="shared" si="161"/>
        <v>-10.654499999999999</v>
      </c>
      <c r="M289" s="65">
        <f t="shared" si="162"/>
        <v>483.00400000000002</v>
      </c>
      <c r="N289" s="65"/>
      <c r="O289" s="65">
        <f t="shared" si="163"/>
        <v>612.48</v>
      </c>
      <c r="P289" s="65" t="e">
        <f>IF(B289&lt;&gt;0,VLOOKUP(B289,#REF!,2,FALSE),"")</f>
        <v>#REF!</v>
      </c>
      <c r="Q289" s="2">
        <v>8</v>
      </c>
      <c r="R289" s="62">
        <f t="shared" si="150"/>
        <v>0</v>
      </c>
      <c r="AD289" s="21"/>
      <c r="AE289" s="481"/>
      <c r="AF289" s="481"/>
      <c r="AG289" s="481"/>
      <c r="AH289" s="481"/>
      <c r="AI289" s="873">
        <f t="shared" si="156"/>
        <v>67.260000000000005</v>
      </c>
      <c r="AJ289" s="26">
        <f t="shared" si="155"/>
        <v>85.29</v>
      </c>
      <c r="AK289" s="26">
        <f t="shared" si="157"/>
        <v>682.32</v>
      </c>
    </row>
    <row r="290" spans="1:38" ht="45">
      <c r="A290" s="25" t="s">
        <v>906</v>
      </c>
      <c r="B290" s="24">
        <v>89495</v>
      </c>
      <c r="C290" s="23" t="s">
        <v>1627</v>
      </c>
      <c r="D290" s="25" t="s">
        <v>12</v>
      </c>
      <c r="E290" s="25" t="s">
        <v>17</v>
      </c>
      <c r="F290" s="26">
        <v>8</v>
      </c>
      <c r="G290" s="26">
        <f t="shared" si="160"/>
        <v>6.0009999999999994</v>
      </c>
      <c r="H290" s="26">
        <f>ROUND(G290*(1+$J$13),2)</f>
        <v>7.61</v>
      </c>
      <c r="I290" s="26">
        <f t="shared" si="164"/>
        <v>60.88</v>
      </c>
      <c r="J290" s="65" t="e">
        <f>IF(B290&lt;&gt;0,VLOOKUP(B290,#REF!,4,FALSE),"")</f>
        <v>#REF!</v>
      </c>
      <c r="K290" s="362" t="s">
        <v>1840</v>
      </c>
      <c r="L290" s="65">
        <f t="shared" si="161"/>
        <v>-1.0590000000000002</v>
      </c>
      <c r="M290" s="65">
        <f t="shared" si="162"/>
        <v>48.007999999999996</v>
      </c>
      <c r="N290" s="65"/>
      <c r="O290" s="65">
        <f t="shared" si="163"/>
        <v>60.88</v>
      </c>
      <c r="P290" s="65" t="e">
        <f>IF(B290&lt;&gt;0,VLOOKUP(B290,#REF!,2,FALSE),"")</f>
        <v>#REF!</v>
      </c>
      <c r="Q290" s="2">
        <v>2</v>
      </c>
      <c r="R290" s="62">
        <f t="shared" si="150"/>
        <v>-6</v>
      </c>
      <c r="AD290" s="21"/>
      <c r="AE290" s="481"/>
      <c r="AF290" s="481"/>
      <c r="AG290" s="481"/>
      <c r="AH290" s="481"/>
      <c r="AI290" s="873">
        <f t="shared" si="156"/>
        <v>6.69</v>
      </c>
      <c r="AJ290" s="26">
        <f t="shared" si="155"/>
        <v>8.48</v>
      </c>
      <c r="AK290" s="26">
        <f t="shared" si="157"/>
        <v>67.84</v>
      </c>
    </row>
    <row r="291" spans="1:38" ht="45">
      <c r="A291" s="25" t="s">
        <v>907</v>
      </c>
      <c r="B291" s="24">
        <v>759</v>
      </c>
      <c r="C291" s="23" t="s">
        <v>144</v>
      </c>
      <c r="D291" s="25" t="s">
        <v>12</v>
      </c>
      <c r="E291" s="25" t="s">
        <v>17</v>
      </c>
      <c r="F291" s="26">
        <v>2</v>
      </c>
      <c r="G291" s="26">
        <f t="shared" si="160"/>
        <v>4085.1</v>
      </c>
      <c r="H291" s="26">
        <f>ROUND(G291*(1+$J$13),2)</f>
        <v>5180.32</v>
      </c>
      <c r="I291" s="26">
        <f t="shared" si="164"/>
        <v>10360.64</v>
      </c>
      <c r="J291" s="65" t="e">
        <f>IF(B291&lt;&gt;0,VLOOKUP(B291,#REF!,4,FALSE),"")</f>
        <v>#REF!</v>
      </c>
      <c r="K291" s="362" t="s">
        <v>3316</v>
      </c>
      <c r="L291" s="65">
        <f t="shared" si="161"/>
        <v>-720.90000000000009</v>
      </c>
      <c r="M291" s="65">
        <f t="shared" si="162"/>
        <v>8170.2</v>
      </c>
      <c r="N291" s="65"/>
      <c r="O291" s="65">
        <f t="shared" si="163"/>
        <v>10360.64</v>
      </c>
      <c r="P291" s="65" t="e">
        <f>IF(B291&lt;&gt;0,VLOOKUP(B291,#REF!,2,FALSE),"")</f>
        <v>#REF!</v>
      </c>
      <c r="R291" s="62">
        <f t="shared" si="150"/>
        <v>-2</v>
      </c>
      <c r="AD291" s="21"/>
      <c r="AE291" s="481"/>
      <c r="AF291" s="481"/>
      <c r="AG291" s="481"/>
      <c r="AH291" s="481"/>
      <c r="AI291" s="873">
        <f t="shared" si="156"/>
        <v>4550.84</v>
      </c>
      <c r="AJ291" s="26">
        <f t="shared" si="155"/>
        <v>5770.92</v>
      </c>
      <c r="AK291" s="26">
        <f t="shared" si="157"/>
        <v>11541.84</v>
      </c>
    </row>
    <row r="292" spans="1:38">
      <c r="A292" s="77" t="s">
        <v>908</v>
      </c>
      <c r="B292" s="139"/>
      <c r="C292" s="340" t="s">
        <v>145</v>
      </c>
      <c r="D292" s="341"/>
      <c r="E292" s="341"/>
      <c r="F292" s="341"/>
      <c r="G292" s="26"/>
      <c r="H292" s="341"/>
      <c r="I292" s="96"/>
      <c r="J292" s="65" t="str">
        <f>IF(B292&lt;&gt;0,VLOOKUP(B292,#REF!,4,FALSE),"")</f>
        <v/>
      </c>
      <c r="K292" s="362" t="s">
        <v>1892</v>
      </c>
      <c r="L292" s="65"/>
      <c r="M292" s="65">
        <f t="shared" si="162"/>
        <v>0</v>
      </c>
      <c r="N292" s="65"/>
      <c r="O292" s="65">
        <f t="shared" si="163"/>
        <v>0</v>
      </c>
      <c r="P292" s="65" t="str">
        <f>IF(B292&lt;&gt;0,VLOOKUP(B292,#REF!,2,FALSE),"")</f>
        <v/>
      </c>
      <c r="R292" s="62">
        <f t="shared" si="150"/>
        <v>0</v>
      </c>
      <c r="AD292" s="21"/>
      <c r="AE292" s="481"/>
      <c r="AF292" s="481"/>
      <c r="AG292" s="481"/>
      <c r="AH292" s="481"/>
      <c r="AI292" s="873"/>
      <c r="AJ292" s="26"/>
      <c r="AK292" s="26"/>
    </row>
    <row r="293" spans="1:38">
      <c r="A293" s="77" t="s">
        <v>909</v>
      </c>
      <c r="B293" s="139"/>
      <c r="C293" s="340" t="s">
        <v>140</v>
      </c>
      <c r="D293" s="341"/>
      <c r="E293" s="341"/>
      <c r="F293" s="341"/>
      <c r="G293" s="26"/>
      <c r="H293" s="341"/>
      <c r="I293" s="96"/>
      <c r="J293" s="65" t="str">
        <f>IF(B293&lt;&gt;0,VLOOKUP(B293,#REF!,4,FALSE),"")</f>
        <v/>
      </c>
      <c r="K293" s="362" t="s">
        <v>1892</v>
      </c>
      <c r="L293" s="65"/>
      <c r="M293" s="65">
        <f t="shared" si="162"/>
        <v>0</v>
      </c>
      <c r="N293" s="65"/>
      <c r="O293" s="65">
        <f t="shared" si="163"/>
        <v>0</v>
      </c>
      <c r="P293" s="65" t="str">
        <f>IF(B293&lt;&gt;0,VLOOKUP(B293,#REF!,2,FALSE),"")</f>
        <v/>
      </c>
      <c r="Q293" s="2">
        <v>13</v>
      </c>
      <c r="R293" s="62">
        <f t="shared" si="150"/>
        <v>13</v>
      </c>
      <c r="AD293" s="21"/>
      <c r="AE293" s="481"/>
      <c r="AF293" s="481"/>
      <c r="AG293" s="481"/>
      <c r="AH293" s="481"/>
      <c r="AI293" s="873"/>
      <c r="AJ293" s="26"/>
      <c r="AK293" s="26"/>
    </row>
    <row r="294" spans="1:38" ht="45">
      <c r="A294" s="25" t="s">
        <v>910</v>
      </c>
      <c r="B294" s="24">
        <v>89711</v>
      </c>
      <c r="C294" s="23" t="s">
        <v>1628</v>
      </c>
      <c r="D294" s="25" t="s">
        <v>12</v>
      </c>
      <c r="E294" s="25" t="s">
        <v>52</v>
      </c>
      <c r="F294" s="26">
        <v>13</v>
      </c>
      <c r="G294" s="26">
        <f t="shared" si="160"/>
        <v>12.1805</v>
      </c>
      <c r="H294" s="26">
        <f t="shared" ref="H294:H326" si="165">ROUND(G294*(1+$J$13),2)</f>
        <v>15.45</v>
      </c>
      <c r="I294" s="26">
        <f t="shared" ref="I294:I326" si="166">ROUND(H294*F294,2)</f>
        <v>200.85</v>
      </c>
      <c r="J294" s="65" t="e">
        <f>IF(B294&lt;&gt;0,VLOOKUP(B294,#REF!,4,FALSE),"")</f>
        <v>#REF!</v>
      </c>
      <c r="K294" s="362" t="s">
        <v>3118</v>
      </c>
      <c r="L294" s="65">
        <f t="shared" si="161"/>
        <v>-2.1494999999999997</v>
      </c>
      <c r="M294" s="65">
        <f t="shared" si="162"/>
        <v>158.34649999999999</v>
      </c>
      <c r="N294" s="65"/>
      <c r="O294" s="65">
        <f t="shared" si="163"/>
        <v>200.85</v>
      </c>
      <c r="P294" s="65" t="e">
        <f>IF(B294&lt;&gt;0,VLOOKUP(B294,#REF!,2,FALSE),"")</f>
        <v>#REF!</v>
      </c>
      <c r="Q294" s="2">
        <v>166</v>
      </c>
      <c r="R294" s="62">
        <f t="shared" si="150"/>
        <v>153</v>
      </c>
      <c r="AD294" s="21"/>
      <c r="AE294" s="481"/>
      <c r="AF294" s="481"/>
      <c r="AG294" s="481"/>
      <c r="AH294" s="481"/>
      <c r="AI294" s="873">
        <f t="shared" si="156"/>
        <v>13.57</v>
      </c>
      <c r="AJ294" s="26">
        <f t="shared" si="155"/>
        <v>17.21</v>
      </c>
      <c r="AK294" s="26">
        <f t="shared" si="157"/>
        <v>223.73</v>
      </c>
    </row>
    <row r="295" spans="1:38" ht="45">
      <c r="A295" s="25" t="s">
        <v>911</v>
      </c>
      <c r="B295" s="24">
        <v>89798</v>
      </c>
      <c r="C295" s="23" t="s">
        <v>1629</v>
      </c>
      <c r="D295" s="25" t="s">
        <v>12</v>
      </c>
      <c r="E295" s="25" t="s">
        <v>52</v>
      </c>
      <c r="F295" s="26">
        <v>166</v>
      </c>
      <c r="G295" s="26">
        <f t="shared" si="160"/>
        <v>8.84</v>
      </c>
      <c r="H295" s="26">
        <f t="shared" si="165"/>
        <v>11.21</v>
      </c>
      <c r="I295" s="26">
        <f t="shared" si="166"/>
        <v>1860.86</v>
      </c>
      <c r="J295" s="65" t="e">
        <f>IF(B295&lt;&gt;0,VLOOKUP(B295,#REF!,4,FALSE),"")</f>
        <v>#REF!</v>
      </c>
      <c r="K295" s="362" t="s">
        <v>1909</v>
      </c>
      <c r="L295" s="65">
        <f t="shared" si="161"/>
        <v>-1.5600000000000005</v>
      </c>
      <c r="M295" s="65">
        <f t="shared" si="162"/>
        <v>1467.44</v>
      </c>
      <c r="N295" s="65"/>
      <c r="O295" s="65">
        <f t="shared" si="163"/>
        <v>1860.8600000000001</v>
      </c>
      <c r="P295" s="65" t="e">
        <f>IF(B295&lt;&gt;0,VLOOKUP(B295,#REF!,2,FALSE),"")</f>
        <v>#REF!</v>
      </c>
      <c r="Q295" s="2">
        <v>27</v>
      </c>
      <c r="R295" s="62">
        <f t="shared" si="150"/>
        <v>-139</v>
      </c>
      <c r="AD295" s="21"/>
      <c r="AE295" s="481"/>
      <c r="AF295" s="481"/>
      <c r="AG295" s="481"/>
      <c r="AH295" s="481"/>
      <c r="AI295" s="873">
        <f t="shared" si="156"/>
        <v>9.85</v>
      </c>
      <c r="AJ295" s="26">
        <f t="shared" si="155"/>
        <v>12.49</v>
      </c>
      <c r="AK295" s="26">
        <f t="shared" si="157"/>
        <v>2073.34</v>
      </c>
    </row>
    <row r="296" spans="1:38" s="28" customFormat="1" ht="45">
      <c r="A296" s="25" t="s">
        <v>912</v>
      </c>
      <c r="B296" s="24">
        <v>89799</v>
      </c>
      <c r="C296" s="23" t="s">
        <v>1630</v>
      </c>
      <c r="D296" s="25" t="s">
        <v>12</v>
      </c>
      <c r="E296" s="25" t="s">
        <v>52</v>
      </c>
      <c r="F296" s="26">
        <v>27</v>
      </c>
      <c r="G296" s="26">
        <f t="shared" si="160"/>
        <v>14.220500000000001</v>
      </c>
      <c r="H296" s="26">
        <f t="shared" si="165"/>
        <v>18.03</v>
      </c>
      <c r="I296" s="26">
        <f t="shared" si="166"/>
        <v>486.81</v>
      </c>
      <c r="J296" s="65" t="e">
        <f>IF(B296&lt;&gt;0,VLOOKUP(B296,#REF!,4,FALSE),"")</f>
        <v>#REF!</v>
      </c>
      <c r="K296" s="362" t="s">
        <v>3273</v>
      </c>
      <c r="L296" s="65">
        <f t="shared" si="161"/>
        <v>-2.5094999999999992</v>
      </c>
      <c r="M296" s="65">
        <f t="shared" si="162"/>
        <v>383.95350000000002</v>
      </c>
      <c r="N296" s="65"/>
      <c r="O296" s="65">
        <f t="shared" si="163"/>
        <v>486.81000000000006</v>
      </c>
      <c r="P296" s="65" t="e">
        <f>IF(B296&lt;&gt;0,VLOOKUP(B296,#REF!,2,FALSE),"")</f>
        <v>#REF!</v>
      </c>
      <c r="Q296" s="28">
        <v>480</v>
      </c>
      <c r="R296" s="62">
        <f t="shared" si="150"/>
        <v>453</v>
      </c>
      <c r="AD296" s="370"/>
      <c r="AE296" s="481"/>
      <c r="AF296" s="481"/>
      <c r="AG296" s="481"/>
      <c r="AH296" s="481"/>
      <c r="AI296" s="873">
        <f t="shared" si="156"/>
        <v>15.84</v>
      </c>
      <c r="AJ296" s="26">
        <f t="shared" si="155"/>
        <v>20.09</v>
      </c>
      <c r="AK296" s="26">
        <f t="shared" si="157"/>
        <v>542.42999999999995</v>
      </c>
      <c r="AL296" s="787"/>
    </row>
    <row r="297" spans="1:38" s="28" customFormat="1" ht="45">
      <c r="A297" s="25" t="s">
        <v>913</v>
      </c>
      <c r="B297" s="24">
        <v>89714</v>
      </c>
      <c r="C297" s="23" t="s">
        <v>1631</v>
      </c>
      <c r="D297" s="25" t="s">
        <v>12</v>
      </c>
      <c r="E297" s="25" t="s">
        <v>52</v>
      </c>
      <c r="F297" s="26">
        <v>480</v>
      </c>
      <c r="G297" s="26">
        <f t="shared" si="160"/>
        <v>36.21</v>
      </c>
      <c r="H297" s="26">
        <f t="shared" si="165"/>
        <v>45.92</v>
      </c>
      <c r="I297" s="26">
        <f t="shared" si="166"/>
        <v>22041.599999999999</v>
      </c>
      <c r="J297" s="65" t="e">
        <f>IF(B297&lt;&gt;0,VLOOKUP(B297,#REF!,4,FALSE),"")</f>
        <v>#REF!</v>
      </c>
      <c r="K297" s="362" t="s">
        <v>3039</v>
      </c>
      <c r="L297" s="65">
        <f t="shared" si="161"/>
        <v>-6.3900000000000006</v>
      </c>
      <c r="M297" s="65">
        <f t="shared" si="162"/>
        <v>17380.8</v>
      </c>
      <c r="N297" s="65"/>
      <c r="O297" s="65">
        <f t="shared" si="163"/>
        <v>22041.600000000002</v>
      </c>
      <c r="P297" s="65" t="e">
        <f>IF(B297&lt;&gt;0,VLOOKUP(B297,#REF!,2,FALSE),"")</f>
        <v>#REF!</v>
      </c>
      <c r="Q297" s="28">
        <v>101</v>
      </c>
      <c r="R297" s="62">
        <f t="shared" si="150"/>
        <v>-379</v>
      </c>
      <c r="AD297" s="370"/>
      <c r="AE297" s="481"/>
      <c r="AF297" s="481"/>
      <c r="AG297" s="481"/>
      <c r="AH297" s="481"/>
      <c r="AI297" s="873">
        <f t="shared" si="156"/>
        <v>40.340000000000003</v>
      </c>
      <c r="AJ297" s="26">
        <f t="shared" si="155"/>
        <v>51.16</v>
      </c>
      <c r="AK297" s="26">
        <f t="shared" si="157"/>
        <v>24556.799999999999</v>
      </c>
      <c r="AL297" s="787"/>
    </row>
    <row r="298" spans="1:38" s="28" customFormat="1" ht="45">
      <c r="A298" s="25" t="s">
        <v>914</v>
      </c>
      <c r="B298" s="24">
        <v>89849</v>
      </c>
      <c r="C298" s="23" t="s">
        <v>1632</v>
      </c>
      <c r="D298" s="25" t="s">
        <v>12</v>
      </c>
      <c r="E298" s="25" t="s">
        <v>52</v>
      </c>
      <c r="F298" s="26">
        <v>101</v>
      </c>
      <c r="G298" s="26">
        <f t="shared" si="160"/>
        <v>41.794499999999999</v>
      </c>
      <c r="H298" s="26">
        <f t="shared" si="165"/>
        <v>53</v>
      </c>
      <c r="I298" s="26">
        <f t="shared" si="166"/>
        <v>5353</v>
      </c>
      <c r="J298" s="65" t="e">
        <f>IF(B298&lt;&gt;0,VLOOKUP(B298,#REF!,4,FALSE),"")</f>
        <v>#REF!</v>
      </c>
      <c r="K298" s="362" t="s">
        <v>3274</v>
      </c>
      <c r="L298" s="65">
        <f t="shared" si="161"/>
        <v>-7.3755000000000024</v>
      </c>
      <c r="M298" s="65">
        <f t="shared" si="162"/>
        <v>4221.2444999999998</v>
      </c>
      <c r="N298" s="65"/>
      <c r="O298" s="65">
        <f t="shared" si="163"/>
        <v>5353</v>
      </c>
      <c r="P298" s="65" t="e">
        <f>IF(B298&lt;&gt;0,VLOOKUP(B298,#REF!,2,FALSE),"")</f>
        <v>#REF!</v>
      </c>
      <c r="Q298" s="28">
        <v>96</v>
      </c>
      <c r="R298" s="62">
        <f t="shared" si="150"/>
        <v>-5</v>
      </c>
      <c r="AD298" s="370"/>
      <c r="AE298" s="481"/>
      <c r="AF298" s="481"/>
      <c r="AG298" s="481"/>
      <c r="AH298" s="481"/>
      <c r="AI298" s="873">
        <f t="shared" si="156"/>
        <v>46.56</v>
      </c>
      <c r="AJ298" s="26">
        <f t="shared" si="155"/>
        <v>59.04</v>
      </c>
      <c r="AK298" s="26">
        <f t="shared" si="157"/>
        <v>5963.04</v>
      </c>
      <c r="AL298" s="787"/>
    </row>
    <row r="299" spans="1:38" s="28" customFormat="1" ht="60">
      <c r="A299" s="25" t="s">
        <v>915</v>
      </c>
      <c r="B299" s="24">
        <v>89731</v>
      </c>
      <c r="C299" s="23" t="s">
        <v>1633</v>
      </c>
      <c r="D299" s="25" t="s">
        <v>12</v>
      </c>
      <c r="E299" s="25" t="s">
        <v>17</v>
      </c>
      <c r="F299" s="26">
        <v>96</v>
      </c>
      <c r="G299" s="26">
        <f t="shared" si="160"/>
        <v>7.3525</v>
      </c>
      <c r="H299" s="26">
        <f t="shared" si="165"/>
        <v>9.32</v>
      </c>
      <c r="I299" s="26">
        <f t="shared" si="166"/>
        <v>894.72</v>
      </c>
      <c r="J299" s="65" t="e">
        <f>IF(B299&lt;&gt;0,VLOOKUP(B299,#REF!,4,FALSE),"")</f>
        <v>#REF!</v>
      </c>
      <c r="K299" s="362" t="s">
        <v>3042</v>
      </c>
      <c r="L299" s="65">
        <f t="shared" si="161"/>
        <v>-1.2975000000000003</v>
      </c>
      <c r="M299" s="65">
        <f t="shared" si="162"/>
        <v>705.84</v>
      </c>
      <c r="N299" s="65"/>
      <c r="O299" s="65">
        <f t="shared" si="163"/>
        <v>894.72</v>
      </c>
      <c r="P299" s="65" t="e">
        <f>IF(B299&lt;&gt;0,VLOOKUP(B299,#REF!,2,FALSE),"")</f>
        <v>#REF!</v>
      </c>
      <c r="Q299" s="28">
        <v>134</v>
      </c>
      <c r="R299" s="62">
        <f t="shared" si="150"/>
        <v>38</v>
      </c>
      <c r="AD299" s="370"/>
      <c r="AE299" s="481"/>
      <c r="AF299" s="481"/>
      <c r="AG299" s="481"/>
      <c r="AH299" s="481"/>
      <c r="AI299" s="873">
        <f t="shared" si="156"/>
        <v>8.19</v>
      </c>
      <c r="AJ299" s="26">
        <f t="shared" si="155"/>
        <v>10.39</v>
      </c>
      <c r="AK299" s="26">
        <f t="shared" si="157"/>
        <v>997.44</v>
      </c>
      <c r="AL299" s="787"/>
    </row>
    <row r="300" spans="1:38" s="28" customFormat="1" ht="60">
      <c r="A300" s="25" t="s">
        <v>916</v>
      </c>
      <c r="B300" s="24">
        <v>89724</v>
      </c>
      <c r="C300" s="23" t="s">
        <v>1634</v>
      </c>
      <c r="D300" s="25" t="s">
        <v>12</v>
      </c>
      <c r="E300" s="25" t="s">
        <v>17</v>
      </c>
      <c r="F300" s="26">
        <v>134</v>
      </c>
      <c r="G300" s="26">
        <f t="shared" si="160"/>
        <v>6.6724999999999994</v>
      </c>
      <c r="H300" s="26">
        <f t="shared" si="165"/>
        <v>8.4600000000000009</v>
      </c>
      <c r="I300" s="26">
        <f t="shared" si="166"/>
        <v>1133.6400000000001</v>
      </c>
      <c r="J300" s="65" t="e">
        <f>IF(B300&lt;&gt;0,VLOOKUP(B300,#REF!,4,FALSE),"")</f>
        <v>#REF!</v>
      </c>
      <c r="K300" s="362" t="s">
        <v>2649</v>
      </c>
      <c r="L300" s="65">
        <f t="shared" si="161"/>
        <v>-1.1775000000000002</v>
      </c>
      <c r="M300" s="65">
        <f t="shared" si="162"/>
        <v>894.1149999999999</v>
      </c>
      <c r="N300" s="65"/>
      <c r="O300" s="65">
        <f t="shared" si="163"/>
        <v>1133.6400000000001</v>
      </c>
      <c r="P300" s="65" t="e">
        <f>IF(B300&lt;&gt;0,VLOOKUP(B300,#REF!,2,FALSE),"")</f>
        <v>#REF!</v>
      </c>
      <c r="Q300" s="28">
        <v>4</v>
      </c>
      <c r="R300" s="62">
        <f t="shared" si="150"/>
        <v>-130</v>
      </c>
      <c r="AD300" s="370"/>
      <c r="AE300" s="481"/>
      <c r="AF300" s="481"/>
      <c r="AG300" s="481"/>
      <c r="AH300" s="481"/>
      <c r="AI300" s="873">
        <f t="shared" si="156"/>
        <v>7.43</v>
      </c>
      <c r="AJ300" s="26">
        <f t="shared" si="155"/>
        <v>9.42</v>
      </c>
      <c r="AK300" s="26">
        <f t="shared" si="157"/>
        <v>1262.28</v>
      </c>
      <c r="AL300" s="787"/>
    </row>
    <row r="301" spans="1:38" s="28" customFormat="1" ht="60">
      <c r="A301" s="25" t="s">
        <v>917</v>
      </c>
      <c r="B301" s="24">
        <v>89805</v>
      </c>
      <c r="C301" s="23" t="s">
        <v>1635</v>
      </c>
      <c r="D301" s="25" t="s">
        <v>12</v>
      </c>
      <c r="E301" s="25" t="s">
        <v>17</v>
      </c>
      <c r="F301" s="26">
        <v>4</v>
      </c>
      <c r="G301" s="26">
        <f t="shared" si="160"/>
        <v>9.9705000000000013</v>
      </c>
      <c r="H301" s="26">
        <f t="shared" si="165"/>
        <v>12.64</v>
      </c>
      <c r="I301" s="26">
        <f t="shared" si="166"/>
        <v>50.56</v>
      </c>
      <c r="J301" s="65" t="e">
        <f>IF(B301&lt;&gt;0,VLOOKUP(B301,#REF!,4,FALSE),"")</f>
        <v>#REF!</v>
      </c>
      <c r="K301" s="362" t="s">
        <v>3106</v>
      </c>
      <c r="L301" s="65">
        <f t="shared" si="161"/>
        <v>-1.7594999999999992</v>
      </c>
      <c r="M301" s="65">
        <f t="shared" si="162"/>
        <v>39.882000000000005</v>
      </c>
      <c r="N301" s="65"/>
      <c r="O301" s="65">
        <f t="shared" si="163"/>
        <v>50.56</v>
      </c>
      <c r="P301" s="65" t="e">
        <f>IF(B301&lt;&gt;0,VLOOKUP(B301,#REF!,2,FALSE),"")</f>
        <v>#REF!</v>
      </c>
      <c r="Q301" s="28">
        <v>42</v>
      </c>
      <c r="R301" s="62">
        <f t="shared" si="150"/>
        <v>38</v>
      </c>
      <c r="AD301" s="370"/>
      <c r="AE301" s="481"/>
      <c r="AF301" s="481"/>
      <c r="AG301" s="481"/>
      <c r="AH301" s="481"/>
      <c r="AI301" s="873">
        <f t="shared" si="156"/>
        <v>11.11</v>
      </c>
      <c r="AJ301" s="26">
        <f t="shared" si="155"/>
        <v>14.09</v>
      </c>
      <c r="AK301" s="26">
        <f t="shared" si="157"/>
        <v>56.36</v>
      </c>
      <c r="AL301" s="787"/>
    </row>
    <row r="302" spans="1:38" s="45" customFormat="1" ht="67.5" customHeight="1">
      <c r="A302" s="25" t="s">
        <v>918</v>
      </c>
      <c r="B302" s="24">
        <v>89744</v>
      </c>
      <c r="C302" s="23" t="s">
        <v>1636</v>
      </c>
      <c r="D302" s="25" t="s">
        <v>12</v>
      </c>
      <c r="E302" s="25" t="s">
        <v>17</v>
      </c>
      <c r="F302" s="26">
        <v>42</v>
      </c>
      <c r="G302" s="26">
        <f t="shared" si="160"/>
        <v>16.677</v>
      </c>
      <c r="H302" s="26">
        <f t="shared" si="165"/>
        <v>21.15</v>
      </c>
      <c r="I302" s="26">
        <f t="shared" si="166"/>
        <v>888.3</v>
      </c>
      <c r="J302" s="65" t="e">
        <f>IF(B302&lt;&gt;0,VLOOKUP(B302,#REF!,4,FALSE),"")</f>
        <v>#REF!</v>
      </c>
      <c r="K302" s="362" t="s">
        <v>3132</v>
      </c>
      <c r="L302" s="65">
        <f t="shared" si="161"/>
        <v>-2.9430000000000014</v>
      </c>
      <c r="M302" s="65">
        <f t="shared" si="162"/>
        <v>700.43399999999997</v>
      </c>
      <c r="N302" s="65"/>
      <c r="O302" s="65">
        <f t="shared" si="163"/>
        <v>888.3</v>
      </c>
      <c r="P302" s="65" t="e">
        <f>IF(B302&lt;&gt;0,VLOOKUP(B302,#REF!,2,FALSE),"")</f>
        <v>#REF!</v>
      </c>
      <c r="Q302" s="45">
        <v>18</v>
      </c>
      <c r="R302" s="62">
        <f t="shared" si="150"/>
        <v>-24</v>
      </c>
      <c r="AD302" s="56"/>
      <c r="AE302" s="481"/>
      <c r="AF302" s="481"/>
      <c r="AG302" s="481"/>
      <c r="AH302" s="481"/>
      <c r="AI302" s="873">
        <f t="shared" si="156"/>
        <v>18.579999999999998</v>
      </c>
      <c r="AJ302" s="26">
        <f t="shared" si="155"/>
        <v>23.56</v>
      </c>
      <c r="AK302" s="26">
        <f t="shared" si="157"/>
        <v>989.52</v>
      </c>
      <c r="AL302" s="724"/>
    </row>
    <row r="303" spans="1:38" ht="60">
      <c r="A303" s="25" t="s">
        <v>919</v>
      </c>
      <c r="B303" s="24">
        <v>89854</v>
      </c>
      <c r="C303" s="23" t="s">
        <v>1637</v>
      </c>
      <c r="D303" s="25" t="s">
        <v>12</v>
      </c>
      <c r="E303" s="25" t="s">
        <v>17</v>
      </c>
      <c r="F303" s="26">
        <v>18</v>
      </c>
      <c r="G303" s="26">
        <f t="shared" si="160"/>
        <v>59.126000000000005</v>
      </c>
      <c r="H303" s="26">
        <f t="shared" si="165"/>
        <v>74.98</v>
      </c>
      <c r="I303" s="26">
        <f t="shared" si="166"/>
        <v>1349.64</v>
      </c>
      <c r="J303" s="65" t="e">
        <f>IF(B303&lt;&gt;0,VLOOKUP(B303,#REF!,4,FALSE),"")</f>
        <v>#REF!</v>
      </c>
      <c r="K303" s="362" t="s">
        <v>3188</v>
      </c>
      <c r="L303" s="65">
        <f t="shared" si="161"/>
        <v>-10.433999999999997</v>
      </c>
      <c r="M303" s="65">
        <f t="shared" si="162"/>
        <v>1064.268</v>
      </c>
      <c r="N303" s="65"/>
      <c r="O303" s="65">
        <f t="shared" si="163"/>
        <v>1349.64</v>
      </c>
      <c r="P303" s="65" t="e">
        <f>IF(B303&lt;&gt;0,VLOOKUP(B303,#REF!,2,FALSE),"")</f>
        <v>#REF!</v>
      </c>
      <c r="Q303" s="2">
        <v>13</v>
      </c>
      <c r="R303" s="62">
        <f t="shared" si="150"/>
        <v>-5</v>
      </c>
      <c r="AD303" s="21"/>
      <c r="AE303" s="481"/>
      <c r="AF303" s="481"/>
      <c r="AG303" s="481"/>
      <c r="AH303" s="481"/>
      <c r="AI303" s="873">
        <f t="shared" si="156"/>
        <v>65.87</v>
      </c>
      <c r="AJ303" s="26">
        <f t="shared" si="155"/>
        <v>83.53</v>
      </c>
      <c r="AK303" s="26">
        <f t="shared" si="157"/>
        <v>1503.54</v>
      </c>
    </row>
    <row r="304" spans="1:38" ht="60">
      <c r="A304" s="25" t="s">
        <v>920</v>
      </c>
      <c r="B304" s="24">
        <v>89855</v>
      </c>
      <c r="C304" s="23" t="s">
        <v>1638</v>
      </c>
      <c r="D304" s="25" t="s">
        <v>12</v>
      </c>
      <c r="E304" s="25" t="s">
        <v>17</v>
      </c>
      <c r="F304" s="26">
        <v>13</v>
      </c>
      <c r="G304" s="26">
        <f t="shared" si="160"/>
        <v>62.815000000000005</v>
      </c>
      <c r="H304" s="26">
        <f t="shared" si="165"/>
        <v>79.66</v>
      </c>
      <c r="I304" s="26">
        <f t="shared" si="166"/>
        <v>1035.58</v>
      </c>
      <c r="J304" s="65" t="e">
        <f>IF(B304&lt;&gt;0,VLOOKUP(B304,#REF!,4,FALSE),"")</f>
        <v>#REF!</v>
      </c>
      <c r="K304" s="362" t="s">
        <v>3289</v>
      </c>
      <c r="L304" s="65">
        <f t="shared" si="161"/>
        <v>-11.085000000000001</v>
      </c>
      <c r="M304" s="65">
        <f t="shared" si="162"/>
        <v>816.59500000000003</v>
      </c>
      <c r="N304" s="65"/>
      <c r="O304" s="65">
        <f t="shared" si="163"/>
        <v>1035.58</v>
      </c>
      <c r="P304" s="65" t="e">
        <f>IF(B304&lt;&gt;0,VLOOKUP(B304,#REF!,2,FALSE),"")</f>
        <v>#REF!</v>
      </c>
      <c r="Q304" s="2">
        <v>31</v>
      </c>
      <c r="R304" s="62">
        <f t="shared" si="150"/>
        <v>18</v>
      </c>
      <c r="AD304" s="21"/>
      <c r="AE304" s="481"/>
      <c r="AF304" s="481"/>
      <c r="AG304" s="481"/>
      <c r="AH304" s="481"/>
      <c r="AI304" s="873">
        <f t="shared" si="156"/>
        <v>69.98</v>
      </c>
      <c r="AJ304" s="26">
        <f t="shared" si="155"/>
        <v>88.74</v>
      </c>
      <c r="AK304" s="26">
        <f t="shared" si="157"/>
        <v>1153.6199999999999</v>
      </c>
    </row>
    <row r="305" spans="1:38" ht="60">
      <c r="A305" s="25" t="s">
        <v>921</v>
      </c>
      <c r="B305" s="24">
        <v>89746</v>
      </c>
      <c r="C305" s="23" t="s">
        <v>1639</v>
      </c>
      <c r="D305" s="25" t="s">
        <v>12</v>
      </c>
      <c r="E305" s="25" t="s">
        <v>17</v>
      </c>
      <c r="F305" s="26">
        <v>31</v>
      </c>
      <c r="G305" s="26">
        <f t="shared" si="160"/>
        <v>16.634499999999999</v>
      </c>
      <c r="H305" s="26">
        <f t="shared" si="165"/>
        <v>21.09</v>
      </c>
      <c r="I305" s="26">
        <f t="shared" si="166"/>
        <v>653.79</v>
      </c>
      <c r="J305" s="65" t="e">
        <f>IF(B305&lt;&gt;0,VLOOKUP(B305,#REF!,4,FALSE),"")</f>
        <v>#REF!</v>
      </c>
      <c r="K305" s="362" t="s">
        <v>3184</v>
      </c>
      <c r="L305" s="65">
        <f t="shared" si="161"/>
        <v>-2.9355000000000011</v>
      </c>
      <c r="M305" s="65">
        <f t="shared" si="162"/>
        <v>515.66949999999997</v>
      </c>
      <c r="N305" s="65"/>
      <c r="O305" s="65">
        <f t="shared" si="163"/>
        <v>653.79</v>
      </c>
      <c r="P305" s="65" t="e">
        <f>IF(B305&lt;&gt;0,VLOOKUP(B305,#REF!,2,FALSE),"")</f>
        <v>#REF!</v>
      </c>
      <c r="Q305" s="2">
        <v>7</v>
      </c>
      <c r="R305" s="62">
        <f t="shared" si="150"/>
        <v>-24</v>
      </c>
      <c r="AD305" s="21"/>
      <c r="AE305" s="481"/>
      <c r="AF305" s="481"/>
      <c r="AG305" s="481"/>
      <c r="AH305" s="481"/>
      <c r="AI305" s="873">
        <f t="shared" si="156"/>
        <v>18.53</v>
      </c>
      <c r="AJ305" s="26">
        <f t="shared" si="155"/>
        <v>23.5</v>
      </c>
      <c r="AK305" s="26">
        <f t="shared" si="157"/>
        <v>728.5</v>
      </c>
    </row>
    <row r="306" spans="1:38" ht="60">
      <c r="A306" s="25" t="s">
        <v>922</v>
      </c>
      <c r="B306" s="24">
        <v>89739</v>
      </c>
      <c r="C306" s="23" t="s">
        <v>1640</v>
      </c>
      <c r="D306" s="25" t="s">
        <v>12</v>
      </c>
      <c r="E306" s="25" t="s">
        <v>17</v>
      </c>
      <c r="F306" s="26">
        <v>7</v>
      </c>
      <c r="G306" s="26">
        <f t="shared" si="160"/>
        <v>13.506500000000001</v>
      </c>
      <c r="H306" s="26">
        <f t="shared" si="165"/>
        <v>17.13</v>
      </c>
      <c r="I306" s="26">
        <f t="shared" si="166"/>
        <v>119.91</v>
      </c>
      <c r="J306" s="65" t="e">
        <f>IF(B306&lt;&gt;0,VLOOKUP(B306,#REF!,4,FALSE),"")</f>
        <v>#REF!</v>
      </c>
      <c r="K306" s="362" t="s">
        <v>1882</v>
      </c>
      <c r="L306" s="65">
        <f t="shared" si="161"/>
        <v>-2.3834999999999997</v>
      </c>
      <c r="M306" s="65">
        <f t="shared" si="162"/>
        <v>94.545500000000004</v>
      </c>
      <c r="N306" s="65"/>
      <c r="O306" s="65">
        <f t="shared" si="163"/>
        <v>119.91</v>
      </c>
      <c r="P306" s="65" t="e">
        <f>IF(B306&lt;&gt;0,VLOOKUP(B306,#REF!,2,FALSE),"")</f>
        <v>#REF!</v>
      </c>
      <c r="Q306" s="2">
        <v>46</v>
      </c>
      <c r="R306" s="62">
        <f t="shared" si="150"/>
        <v>39</v>
      </c>
      <c r="AD306" s="21"/>
      <c r="AE306" s="481"/>
      <c r="AF306" s="481"/>
      <c r="AG306" s="481"/>
      <c r="AH306" s="481"/>
      <c r="AI306" s="873">
        <f t="shared" si="156"/>
        <v>15.05</v>
      </c>
      <c r="AJ306" s="26">
        <f t="shared" si="155"/>
        <v>19.079999999999998</v>
      </c>
      <c r="AK306" s="26">
        <f t="shared" si="157"/>
        <v>133.56</v>
      </c>
    </row>
    <row r="307" spans="1:38" ht="60">
      <c r="A307" s="25" t="s">
        <v>923</v>
      </c>
      <c r="B307" s="24">
        <v>89802</v>
      </c>
      <c r="C307" s="23" t="s">
        <v>1641</v>
      </c>
      <c r="D307" s="25" t="s">
        <v>12</v>
      </c>
      <c r="E307" s="25" t="s">
        <v>17</v>
      </c>
      <c r="F307" s="26">
        <v>46</v>
      </c>
      <c r="G307" s="26">
        <f t="shared" si="160"/>
        <v>5.4654999999999996</v>
      </c>
      <c r="H307" s="26">
        <f t="shared" si="165"/>
        <v>6.93</v>
      </c>
      <c r="I307" s="26">
        <f t="shared" si="166"/>
        <v>318.77999999999997</v>
      </c>
      <c r="J307" s="65" t="e">
        <f>IF(B307&lt;&gt;0,VLOOKUP(B307,#REF!,4,FALSE),"")</f>
        <v>#REF!</v>
      </c>
      <c r="K307" s="362" t="s">
        <v>1836</v>
      </c>
      <c r="L307" s="65">
        <f t="shared" si="161"/>
        <v>-0.96450000000000014</v>
      </c>
      <c r="M307" s="65">
        <f t="shared" si="162"/>
        <v>251.41299999999998</v>
      </c>
      <c r="N307" s="65"/>
      <c r="O307" s="65">
        <f t="shared" si="163"/>
        <v>318.77999999999997</v>
      </c>
      <c r="P307" s="65" t="e">
        <f>IF(B307&lt;&gt;0,VLOOKUP(B307,#REF!,2,FALSE),"")</f>
        <v>#REF!</v>
      </c>
      <c r="Q307" s="2">
        <v>22</v>
      </c>
      <c r="R307" s="62">
        <f t="shared" si="150"/>
        <v>-24</v>
      </c>
      <c r="AD307" s="21"/>
      <c r="AE307" s="481"/>
      <c r="AF307" s="481"/>
      <c r="AG307" s="481"/>
      <c r="AH307" s="481"/>
      <c r="AI307" s="873">
        <f t="shared" si="156"/>
        <v>6.09</v>
      </c>
      <c r="AJ307" s="26">
        <f t="shared" si="155"/>
        <v>7.72</v>
      </c>
      <c r="AK307" s="26">
        <f t="shared" si="157"/>
        <v>355.12</v>
      </c>
    </row>
    <row r="308" spans="1:38" ht="60">
      <c r="A308" s="25" t="s">
        <v>924</v>
      </c>
      <c r="B308" s="24">
        <v>89726</v>
      </c>
      <c r="C308" s="23" t="s">
        <v>1642</v>
      </c>
      <c r="D308" s="25" t="s">
        <v>12</v>
      </c>
      <c r="E308" s="25" t="s">
        <v>17</v>
      </c>
      <c r="F308" s="26">
        <v>22</v>
      </c>
      <c r="G308" s="26">
        <f t="shared" si="160"/>
        <v>4.7089999999999996</v>
      </c>
      <c r="H308" s="26">
        <f t="shared" si="165"/>
        <v>5.97</v>
      </c>
      <c r="I308" s="26">
        <f t="shared" si="166"/>
        <v>131.34</v>
      </c>
      <c r="J308" s="65" t="e">
        <f>IF(B308&lt;&gt;0,VLOOKUP(B308,#REF!,4,FALSE),"")</f>
        <v>#REF!</v>
      </c>
      <c r="K308" s="362" t="s">
        <v>1905</v>
      </c>
      <c r="L308" s="65">
        <f t="shared" si="161"/>
        <v>-0.83100000000000041</v>
      </c>
      <c r="M308" s="65">
        <f t="shared" si="162"/>
        <v>103.59799999999998</v>
      </c>
      <c r="N308" s="65"/>
      <c r="O308" s="65">
        <f t="shared" si="163"/>
        <v>131.34</v>
      </c>
      <c r="P308" s="65" t="e">
        <f>IF(B308&lt;&gt;0,VLOOKUP(B308,#REF!,2,FALSE),"")</f>
        <v>#REF!</v>
      </c>
      <c r="Q308" s="2">
        <v>22</v>
      </c>
      <c r="R308" s="62">
        <f t="shared" si="150"/>
        <v>0</v>
      </c>
      <c r="AD308" s="21"/>
      <c r="AE308" s="481"/>
      <c r="AF308" s="481"/>
      <c r="AG308" s="481"/>
      <c r="AH308" s="481"/>
      <c r="AI308" s="873">
        <f t="shared" si="156"/>
        <v>5.25</v>
      </c>
      <c r="AJ308" s="26">
        <f t="shared" si="155"/>
        <v>6.66</v>
      </c>
      <c r="AK308" s="26">
        <f t="shared" si="157"/>
        <v>146.52000000000001</v>
      </c>
    </row>
    <row r="309" spans="1:38" ht="30">
      <c r="A309" s="25" t="s">
        <v>925</v>
      </c>
      <c r="B309" s="24" t="s">
        <v>2210</v>
      </c>
      <c r="C309" s="23" t="s">
        <v>146</v>
      </c>
      <c r="D309" s="25" t="s">
        <v>70</v>
      </c>
      <c r="E309" s="25" t="s">
        <v>17</v>
      </c>
      <c r="F309" s="26">
        <v>22</v>
      </c>
      <c r="G309" s="26">
        <f t="shared" si="160"/>
        <v>33.855499999999999</v>
      </c>
      <c r="H309" s="26">
        <f t="shared" si="165"/>
        <v>42.93</v>
      </c>
      <c r="I309" s="26">
        <f t="shared" si="166"/>
        <v>944.46</v>
      </c>
      <c r="J309" s="64">
        <f>'COMPOSIÇÃO DE CUSTOS'!G702</f>
        <v>33.86</v>
      </c>
      <c r="K309" s="362">
        <v>39.83</v>
      </c>
      <c r="L309" s="65">
        <f t="shared" si="161"/>
        <v>-5.974499999999999</v>
      </c>
      <c r="M309" s="65">
        <f t="shared" si="162"/>
        <v>744.82100000000003</v>
      </c>
      <c r="N309" s="65"/>
      <c r="O309" s="65">
        <f t="shared" si="163"/>
        <v>944.46</v>
      </c>
      <c r="P309" s="65" t="e">
        <f>IF(B309&lt;&gt;0,VLOOKUP(B309,#REF!,2,FALSE),"")</f>
        <v>#REF!</v>
      </c>
      <c r="Q309" s="2">
        <v>5</v>
      </c>
      <c r="R309" s="62">
        <f t="shared" si="150"/>
        <v>-17</v>
      </c>
      <c r="AD309" s="21"/>
      <c r="AE309" s="481"/>
      <c r="AF309" s="481"/>
      <c r="AG309" s="481"/>
      <c r="AH309" s="481"/>
      <c r="AI309" s="873">
        <f t="shared" si="156"/>
        <v>37.72</v>
      </c>
      <c r="AJ309" s="26">
        <f t="shared" si="155"/>
        <v>47.83</v>
      </c>
      <c r="AK309" s="26">
        <f t="shared" si="157"/>
        <v>1052.26</v>
      </c>
    </row>
    <row r="310" spans="1:38">
      <c r="A310" s="25" t="s">
        <v>926</v>
      </c>
      <c r="B310" s="24">
        <v>145683</v>
      </c>
      <c r="C310" s="23" t="s">
        <v>147</v>
      </c>
      <c r="D310" s="25" t="s">
        <v>1915</v>
      </c>
      <c r="E310" s="25" t="s">
        <v>17</v>
      </c>
      <c r="F310" s="26">
        <v>5</v>
      </c>
      <c r="G310" s="26">
        <f t="shared" si="160"/>
        <v>21.819500000000001</v>
      </c>
      <c r="H310" s="26">
        <f t="shared" si="165"/>
        <v>27.67</v>
      </c>
      <c r="I310" s="26">
        <f t="shared" si="166"/>
        <v>138.35</v>
      </c>
      <c r="J310" s="64">
        <f>'COMPOSIÇÃO DE CUSTOS'!G711</f>
        <v>21.81</v>
      </c>
      <c r="K310" s="362">
        <v>25.67</v>
      </c>
      <c r="L310" s="65">
        <f t="shared" si="161"/>
        <v>-3.8505000000000003</v>
      </c>
      <c r="M310" s="65">
        <f t="shared" si="162"/>
        <v>109.09750000000001</v>
      </c>
      <c r="N310" s="65"/>
      <c r="O310" s="65">
        <f t="shared" si="163"/>
        <v>138.35000000000002</v>
      </c>
      <c r="P310" s="65" t="e">
        <f>IF(B310&lt;&gt;0,VLOOKUP(B310,#REF!,2,FALSE),"")</f>
        <v>#REF!</v>
      </c>
      <c r="Q310" s="2">
        <v>88</v>
      </c>
      <c r="R310" s="62">
        <f t="shared" si="150"/>
        <v>83</v>
      </c>
      <c r="AD310" s="21"/>
      <c r="AE310" s="481"/>
      <c r="AF310" s="481"/>
      <c r="AG310" s="481"/>
      <c r="AH310" s="481"/>
      <c r="AI310" s="873">
        <f t="shared" si="156"/>
        <v>24.31</v>
      </c>
      <c r="AJ310" s="26">
        <f t="shared" si="155"/>
        <v>30.83</v>
      </c>
      <c r="AK310" s="26">
        <f t="shared" si="157"/>
        <v>154.15</v>
      </c>
    </row>
    <row r="311" spans="1:38" ht="60">
      <c r="A311" s="25" t="s">
        <v>927</v>
      </c>
      <c r="B311" s="24">
        <v>89784</v>
      </c>
      <c r="C311" s="23" t="s">
        <v>1643</v>
      </c>
      <c r="D311" s="25" t="s">
        <v>12</v>
      </c>
      <c r="E311" s="25" t="s">
        <v>17</v>
      </c>
      <c r="F311" s="26">
        <v>88</v>
      </c>
      <c r="G311" s="26">
        <f t="shared" si="160"/>
        <v>13.9145</v>
      </c>
      <c r="H311" s="26">
        <f t="shared" si="165"/>
        <v>17.64</v>
      </c>
      <c r="I311" s="26">
        <f t="shared" si="166"/>
        <v>1552.32</v>
      </c>
      <c r="J311" s="65" t="e">
        <f>IF(B311&lt;&gt;0,VLOOKUP(B311,#REF!,4,FALSE),"")</f>
        <v>#REF!</v>
      </c>
      <c r="K311" s="362" t="s">
        <v>1883</v>
      </c>
      <c r="L311" s="65">
        <f t="shared" si="161"/>
        <v>-2.4555000000000007</v>
      </c>
      <c r="M311" s="65">
        <f t="shared" si="162"/>
        <v>1224.4760000000001</v>
      </c>
      <c r="N311" s="65"/>
      <c r="O311" s="65">
        <f t="shared" si="163"/>
        <v>1552.3200000000002</v>
      </c>
      <c r="P311" s="65" t="e">
        <f>IF(B311&lt;&gt;0,VLOOKUP(B311,#REF!,2,FALSE),"")</f>
        <v>#REF!</v>
      </c>
      <c r="Q311" s="2">
        <v>9</v>
      </c>
      <c r="R311" s="62">
        <f t="shared" si="150"/>
        <v>-79</v>
      </c>
      <c r="AD311" s="21"/>
      <c r="AE311" s="481"/>
      <c r="AF311" s="481"/>
      <c r="AG311" s="481"/>
      <c r="AH311" s="481"/>
      <c r="AI311" s="873">
        <f t="shared" si="156"/>
        <v>15.5</v>
      </c>
      <c r="AJ311" s="26">
        <f t="shared" si="155"/>
        <v>19.66</v>
      </c>
      <c r="AK311" s="26">
        <f t="shared" si="157"/>
        <v>1730.08</v>
      </c>
    </row>
    <row r="312" spans="1:38" ht="60">
      <c r="A312" s="25" t="s">
        <v>928</v>
      </c>
      <c r="B312" s="24">
        <v>89677</v>
      </c>
      <c r="C312" s="23" t="s">
        <v>1644</v>
      </c>
      <c r="D312" s="25" t="s">
        <v>12</v>
      </c>
      <c r="E312" s="25" t="s">
        <v>17</v>
      </c>
      <c r="F312" s="26">
        <v>9</v>
      </c>
      <c r="G312" s="26">
        <f t="shared" si="160"/>
        <v>49.146999999999998</v>
      </c>
      <c r="H312" s="26">
        <f t="shared" si="165"/>
        <v>62.32</v>
      </c>
      <c r="I312" s="26">
        <f t="shared" si="166"/>
        <v>560.88</v>
      </c>
      <c r="J312" s="65" t="e">
        <f>IF(B312&lt;&gt;0,VLOOKUP(B312,#REF!,4,FALSE),"")</f>
        <v>#REF!</v>
      </c>
      <c r="K312" s="362" t="s">
        <v>3183</v>
      </c>
      <c r="L312" s="65">
        <f t="shared" si="161"/>
        <v>-8.6730000000000018</v>
      </c>
      <c r="M312" s="65">
        <f t="shared" si="162"/>
        <v>442.32299999999998</v>
      </c>
      <c r="N312" s="65"/>
      <c r="O312" s="65">
        <f t="shared" si="163"/>
        <v>560.88</v>
      </c>
      <c r="P312" s="65" t="e">
        <f>IF(B312&lt;&gt;0,VLOOKUP(B312,#REF!,2,FALSE),"")</f>
        <v>#REF!</v>
      </c>
      <c r="Q312" s="2">
        <v>6</v>
      </c>
      <c r="R312" s="62">
        <f t="shared" si="150"/>
        <v>-3</v>
      </c>
      <c r="AD312" s="21"/>
      <c r="AE312" s="481"/>
      <c r="AF312" s="481"/>
      <c r="AG312" s="481"/>
      <c r="AH312" s="481"/>
      <c r="AI312" s="873">
        <f t="shared" si="156"/>
        <v>54.75</v>
      </c>
      <c r="AJ312" s="26">
        <f t="shared" si="155"/>
        <v>69.430000000000007</v>
      </c>
      <c r="AK312" s="26">
        <f t="shared" si="157"/>
        <v>624.87</v>
      </c>
    </row>
    <row r="313" spans="1:38" ht="60">
      <c r="A313" s="25" t="s">
        <v>929</v>
      </c>
      <c r="B313" s="24">
        <v>89856</v>
      </c>
      <c r="C313" s="23" t="s">
        <v>1645</v>
      </c>
      <c r="D313" s="25" t="s">
        <v>12</v>
      </c>
      <c r="E313" s="25" t="s">
        <v>17</v>
      </c>
      <c r="F313" s="26">
        <v>6</v>
      </c>
      <c r="G313" s="26">
        <f t="shared" si="160"/>
        <v>12.835000000000001</v>
      </c>
      <c r="H313" s="26">
        <f t="shared" si="165"/>
        <v>16.28</v>
      </c>
      <c r="I313" s="26">
        <f t="shared" si="166"/>
        <v>97.68</v>
      </c>
      <c r="J313" s="65" t="e">
        <f>IF(B313&lt;&gt;0,VLOOKUP(B313,#REF!,4,FALSE),"")</f>
        <v>#REF!</v>
      </c>
      <c r="K313" s="362" t="s">
        <v>3239</v>
      </c>
      <c r="L313" s="65">
        <f t="shared" si="161"/>
        <v>-2.2649999999999988</v>
      </c>
      <c r="M313" s="65">
        <f t="shared" si="162"/>
        <v>77.010000000000005</v>
      </c>
      <c r="N313" s="65"/>
      <c r="O313" s="65">
        <f t="shared" si="163"/>
        <v>97.68</v>
      </c>
      <c r="P313" s="65" t="e">
        <f>IF(B313&lt;&gt;0,VLOOKUP(B313,#REF!,2,FALSE),"")</f>
        <v>#REF!</v>
      </c>
      <c r="Q313" s="2">
        <v>3</v>
      </c>
      <c r="R313" s="62">
        <f t="shared" ref="R313:R376" si="167">Q313-F313</f>
        <v>-3</v>
      </c>
      <c r="AD313" s="21"/>
      <c r="AE313" s="481"/>
      <c r="AF313" s="481"/>
      <c r="AG313" s="481"/>
      <c r="AH313" s="481"/>
      <c r="AI313" s="873">
        <f t="shared" si="156"/>
        <v>14.3</v>
      </c>
      <c r="AJ313" s="26">
        <f t="shared" si="155"/>
        <v>18.13</v>
      </c>
      <c r="AK313" s="26">
        <f t="shared" si="157"/>
        <v>108.78</v>
      </c>
    </row>
    <row r="314" spans="1:38" ht="60">
      <c r="A314" s="25" t="s">
        <v>930</v>
      </c>
      <c r="B314" s="24">
        <v>89813</v>
      </c>
      <c r="C314" s="23" t="s">
        <v>1646</v>
      </c>
      <c r="D314" s="25" t="s">
        <v>12</v>
      </c>
      <c r="E314" s="25" t="s">
        <v>17</v>
      </c>
      <c r="F314" s="26">
        <v>3</v>
      </c>
      <c r="G314" s="26">
        <f t="shared" si="160"/>
        <v>5.0065</v>
      </c>
      <c r="H314" s="26">
        <f t="shared" si="165"/>
        <v>6.35</v>
      </c>
      <c r="I314" s="26">
        <f t="shared" si="166"/>
        <v>19.05</v>
      </c>
      <c r="J314" s="65" t="e">
        <f>IF(B314&lt;&gt;0,VLOOKUP(B314,#REF!,4,FALSE),"")</f>
        <v>#REF!</v>
      </c>
      <c r="K314" s="362" t="s">
        <v>3126</v>
      </c>
      <c r="L314" s="65">
        <f t="shared" si="161"/>
        <v>-0.88349999999999973</v>
      </c>
      <c r="M314" s="65">
        <f t="shared" si="162"/>
        <v>15.019500000000001</v>
      </c>
      <c r="N314" s="65"/>
      <c r="O314" s="65">
        <f t="shared" si="163"/>
        <v>19.049999999999997</v>
      </c>
      <c r="P314" s="65" t="e">
        <f>IF(B314&lt;&gt;0,VLOOKUP(B314,#REF!,2,FALSE),"")</f>
        <v>#REF!</v>
      </c>
      <c r="Q314" s="2">
        <v>4</v>
      </c>
      <c r="R314" s="62">
        <f t="shared" si="167"/>
        <v>1</v>
      </c>
      <c r="AD314" s="21"/>
      <c r="AE314" s="481"/>
      <c r="AF314" s="481"/>
      <c r="AG314" s="481"/>
      <c r="AH314" s="481"/>
      <c r="AI314" s="873">
        <f t="shared" si="156"/>
        <v>5.58</v>
      </c>
      <c r="AJ314" s="26">
        <f t="shared" si="155"/>
        <v>7.08</v>
      </c>
      <c r="AK314" s="26">
        <f t="shared" si="157"/>
        <v>21.24</v>
      </c>
    </row>
    <row r="315" spans="1:38" ht="60">
      <c r="A315" s="25" t="s">
        <v>931</v>
      </c>
      <c r="B315" s="24">
        <v>89752</v>
      </c>
      <c r="C315" s="23" t="s">
        <v>1647</v>
      </c>
      <c r="D315" s="25" t="s">
        <v>12</v>
      </c>
      <c r="E315" s="25" t="s">
        <v>17</v>
      </c>
      <c r="F315" s="26">
        <v>4</v>
      </c>
      <c r="G315" s="26">
        <f t="shared" si="160"/>
        <v>4.0970000000000004</v>
      </c>
      <c r="H315" s="26">
        <f t="shared" si="165"/>
        <v>5.2</v>
      </c>
      <c r="I315" s="26">
        <f t="shared" si="166"/>
        <v>20.8</v>
      </c>
      <c r="J315" s="65" t="e">
        <f>IF(B315&lt;&gt;0,VLOOKUP(B315,#REF!,4,FALSE),"")</f>
        <v>#REF!</v>
      </c>
      <c r="K315" s="362" t="s">
        <v>1863</v>
      </c>
      <c r="L315" s="65">
        <f t="shared" si="161"/>
        <v>-0.72299999999999986</v>
      </c>
      <c r="M315" s="65">
        <f t="shared" si="162"/>
        <v>16.388000000000002</v>
      </c>
      <c r="N315" s="65"/>
      <c r="O315" s="65">
        <f t="shared" si="163"/>
        <v>20.8</v>
      </c>
      <c r="P315" s="65" t="e">
        <f>IF(B315&lt;&gt;0,VLOOKUP(B315,#REF!,2,FALSE),"")</f>
        <v>#REF!</v>
      </c>
      <c r="Q315" s="2">
        <v>10</v>
      </c>
      <c r="R315" s="62">
        <f t="shared" si="167"/>
        <v>6</v>
      </c>
      <c r="AD315" s="21"/>
      <c r="AE315" s="481"/>
      <c r="AF315" s="481"/>
      <c r="AG315" s="481"/>
      <c r="AH315" s="481"/>
      <c r="AI315" s="873">
        <f t="shared" si="156"/>
        <v>4.5599999999999996</v>
      </c>
      <c r="AJ315" s="26">
        <f t="shared" si="155"/>
        <v>5.78</v>
      </c>
      <c r="AK315" s="26">
        <f t="shared" si="157"/>
        <v>23.12</v>
      </c>
    </row>
    <row r="316" spans="1:38" ht="45">
      <c r="A316" s="25" t="s">
        <v>932</v>
      </c>
      <c r="B316" s="24">
        <v>89798</v>
      </c>
      <c r="C316" s="23" t="s">
        <v>1629</v>
      </c>
      <c r="D316" s="25" t="s">
        <v>12</v>
      </c>
      <c r="E316" s="25" t="s">
        <v>52</v>
      </c>
      <c r="F316" s="26">
        <v>10</v>
      </c>
      <c r="G316" s="26">
        <f t="shared" si="160"/>
        <v>8.84</v>
      </c>
      <c r="H316" s="26">
        <f t="shared" si="165"/>
        <v>11.21</v>
      </c>
      <c r="I316" s="26">
        <f t="shared" si="166"/>
        <v>112.1</v>
      </c>
      <c r="J316" s="65" t="e">
        <f>IF(B316&lt;&gt;0,VLOOKUP(B316,#REF!,4,FALSE),"")</f>
        <v>#REF!</v>
      </c>
      <c r="K316" s="362" t="s">
        <v>1909</v>
      </c>
      <c r="L316" s="65">
        <f t="shared" si="161"/>
        <v>-1.5600000000000005</v>
      </c>
      <c r="M316" s="65">
        <f t="shared" si="162"/>
        <v>88.4</v>
      </c>
      <c r="N316" s="65"/>
      <c r="O316" s="65">
        <f t="shared" si="163"/>
        <v>112.10000000000001</v>
      </c>
      <c r="P316" s="65" t="e">
        <f>IF(B316&lt;&gt;0,VLOOKUP(B316,#REF!,2,FALSE),"")</f>
        <v>#REF!</v>
      </c>
      <c r="Q316" s="2">
        <v>4</v>
      </c>
      <c r="R316" s="62">
        <f t="shared" si="167"/>
        <v>-6</v>
      </c>
      <c r="AD316" s="21"/>
      <c r="AE316" s="481"/>
      <c r="AF316" s="481"/>
      <c r="AG316" s="481"/>
      <c r="AH316" s="481"/>
      <c r="AI316" s="873">
        <f t="shared" si="156"/>
        <v>9.85</v>
      </c>
      <c r="AJ316" s="26">
        <f t="shared" si="155"/>
        <v>12.49</v>
      </c>
      <c r="AK316" s="26">
        <f t="shared" si="157"/>
        <v>124.9</v>
      </c>
    </row>
    <row r="317" spans="1:38" ht="60">
      <c r="A317" s="25" t="s">
        <v>933</v>
      </c>
      <c r="B317" s="24">
        <v>89782</v>
      </c>
      <c r="C317" s="23" t="s">
        <v>1648</v>
      </c>
      <c r="D317" s="25" t="s">
        <v>12</v>
      </c>
      <c r="E317" s="25" t="s">
        <v>17</v>
      </c>
      <c r="F317" s="26">
        <v>4</v>
      </c>
      <c r="G317" s="26">
        <f t="shared" si="160"/>
        <v>7.8370000000000006</v>
      </c>
      <c r="H317" s="26">
        <f t="shared" si="165"/>
        <v>9.94</v>
      </c>
      <c r="I317" s="26">
        <f t="shared" si="166"/>
        <v>39.76</v>
      </c>
      <c r="J317" s="65" t="e">
        <f>IF(B317&lt;&gt;0,VLOOKUP(B317,#REF!,4,FALSE),"")</f>
        <v>#REF!</v>
      </c>
      <c r="K317" s="362" t="s">
        <v>1885</v>
      </c>
      <c r="L317" s="65">
        <f t="shared" si="161"/>
        <v>-1.383</v>
      </c>
      <c r="M317" s="65">
        <f t="shared" si="162"/>
        <v>31.348000000000003</v>
      </c>
      <c r="N317" s="65"/>
      <c r="O317" s="65">
        <f t="shared" si="163"/>
        <v>39.76</v>
      </c>
      <c r="P317" s="65" t="e">
        <f>IF(B317&lt;&gt;0,VLOOKUP(B317,#REF!,2,FALSE),"")</f>
        <v>#REF!</v>
      </c>
      <c r="Q317" s="2">
        <v>17</v>
      </c>
      <c r="R317" s="62">
        <f t="shared" si="167"/>
        <v>13</v>
      </c>
      <c r="AD317" s="21"/>
      <c r="AE317" s="481"/>
      <c r="AF317" s="481"/>
      <c r="AG317" s="481"/>
      <c r="AH317" s="481"/>
      <c r="AI317" s="873">
        <f t="shared" si="156"/>
        <v>8.73</v>
      </c>
      <c r="AJ317" s="26">
        <f t="shared" si="155"/>
        <v>11.07</v>
      </c>
      <c r="AK317" s="26">
        <f t="shared" si="157"/>
        <v>44.28</v>
      </c>
    </row>
    <row r="318" spans="1:38" ht="60">
      <c r="A318" s="25" t="s">
        <v>934</v>
      </c>
      <c r="B318" s="24">
        <v>89829</v>
      </c>
      <c r="C318" s="23" t="s">
        <v>1649</v>
      </c>
      <c r="D318" s="25" t="s">
        <v>12</v>
      </c>
      <c r="E318" s="25" t="s">
        <v>17</v>
      </c>
      <c r="F318" s="26">
        <v>17</v>
      </c>
      <c r="G318" s="26">
        <f t="shared" si="160"/>
        <v>19.456500000000002</v>
      </c>
      <c r="H318" s="26">
        <f t="shared" si="165"/>
        <v>24.67</v>
      </c>
      <c r="I318" s="26">
        <f t="shared" si="166"/>
        <v>419.39</v>
      </c>
      <c r="J318" s="65" t="e">
        <f>IF(B318&lt;&gt;0,VLOOKUP(B318,#REF!,4,FALSE),"")</f>
        <v>#REF!</v>
      </c>
      <c r="K318" s="362" t="s">
        <v>3102</v>
      </c>
      <c r="L318" s="65">
        <f t="shared" si="161"/>
        <v>-3.4334999999999987</v>
      </c>
      <c r="M318" s="65">
        <f t="shared" si="162"/>
        <v>330.76050000000004</v>
      </c>
      <c r="N318" s="65"/>
      <c r="O318" s="65">
        <f t="shared" si="163"/>
        <v>419.39000000000004</v>
      </c>
      <c r="P318" s="65" t="e">
        <f>IF(B318&lt;&gt;0,VLOOKUP(B318,#REF!,2,FALSE),"")</f>
        <v>#REF!</v>
      </c>
      <c r="Q318" s="2">
        <v>29</v>
      </c>
      <c r="R318" s="62">
        <f t="shared" si="167"/>
        <v>12</v>
      </c>
      <c r="AD318" s="21"/>
      <c r="AE318" s="481"/>
      <c r="AF318" s="481"/>
      <c r="AG318" s="481"/>
      <c r="AH318" s="481"/>
      <c r="AI318" s="873">
        <f t="shared" si="156"/>
        <v>21.67</v>
      </c>
      <c r="AJ318" s="26">
        <f t="shared" si="155"/>
        <v>27.48</v>
      </c>
      <c r="AK318" s="26">
        <f t="shared" si="157"/>
        <v>467.16</v>
      </c>
    </row>
    <row r="319" spans="1:38" ht="60">
      <c r="A319" s="25" t="s">
        <v>935</v>
      </c>
      <c r="B319" s="24">
        <v>89833</v>
      </c>
      <c r="C319" s="23" t="s">
        <v>1650</v>
      </c>
      <c r="D319" s="25" t="s">
        <v>12</v>
      </c>
      <c r="E319" s="25" t="s">
        <v>17</v>
      </c>
      <c r="F319" s="26">
        <v>29</v>
      </c>
      <c r="G319" s="26">
        <f t="shared" si="160"/>
        <v>23.97</v>
      </c>
      <c r="H319" s="26">
        <f t="shared" si="165"/>
        <v>30.4</v>
      </c>
      <c r="I319" s="26">
        <f t="shared" si="166"/>
        <v>881.6</v>
      </c>
      <c r="J319" s="65" t="e">
        <f>IF(B319&lt;&gt;0,VLOOKUP(B319,#REF!,4,FALSE),"")</f>
        <v>#REF!</v>
      </c>
      <c r="K319" s="362" t="s">
        <v>3152</v>
      </c>
      <c r="L319" s="65">
        <f t="shared" si="161"/>
        <v>-4.2300000000000004</v>
      </c>
      <c r="M319" s="65">
        <f t="shared" si="162"/>
        <v>695.13</v>
      </c>
      <c r="N319" s="65"/>
      <c r="O319" s="65">
        <f t="shared" si="163"/>
        <v>881.59999999999991</v>
      </c>
      <c r="P319" s="65" t="e">
        <f>IF(B319&lt;&gt;0,VLOOKUP(B319,#REF!,2,FALSE),"")</f>
        <v>#REF!</v>
      </c>
      <c r="Q319" s="2">
        <v>5</v>
      </c>
      <c r="R319" s="62">
        <f t="shared" si="167"/>
        <v>-24</v>
      </c>
      <c r="AD319" s="21"/>
      <c r="AE319" s="481"/>
      <c r="AF319" s="481"/>
      <c r="AG319" s="481"/>
      <c r="AH319" s="481"/>
      <c r="AI319" s="873">
        <f t="shared" si="156"/>
        <v>26.7</v>
      </c>
      <c r="AJ319" s="26">
        <f t="shared" si="155"/>
        <v>33.86</v>
      </c>
      <c r="AK319" s="26">
        <f t="shared" si="157"/>
        <v>981.94</v>
      </c>
    </row>
    <row r="320" spans="1:38" s="28" customFormat="1" ht="60">
      <c r="A320" s="25" t="s">
        <v>936</v>
      </c>
      <c r="B320" s="24" t="s">
        <v>2123</v>
      </c>
      <c r="C320" s="23" t="s">
        <v>148</v>
      </c>
      <c r="D320" s="25" t="s">
        <v>1915</v>
      </c>
      <c r="E320" s="25" t="s">
        <v>17</v>
      </c>
      <c r="F320" s="26">
        <v>5</v>
      </c>
      <c r="G320" s="26">
        <f t="shared" si="160"/>
        <v>23.442999999999998</v>
      </c>
      <c r="H320" s="26">
        <f t="shared" si="165"/>
        <v>29.73</v>
      </c>
      <c r="I320" s="26">
        <f t="shared" si="166"/>
        <v>148.65</v>
      </c>
      <c r="J320" s="64">
        <f>'COMPOSIÇÃO DE CUSTOS'!G721</f>
        <v>23.44</v>
      </c>
      <c r="K320" s="362">
        <v>27.58</v>
      </c>
      <c r="L320" s="65">
        <f t="shared" si="161"/>
        <v>-4.1370000000000005</v>
      </c>
      <c r="M320" s="65">
        <f t="shared" si="162"/>
        <v>117.21499999999999</v>
      </c>
      <c r="N320" s="65"/>
      <c r="O320" s="65">
        <f t="shared" si="163"/>
        <v>148.65</v>
      </c>
      <c r="P320" s="65" t="e">
        <f>IF(B320&lt;&gt;0,VLOOKUP(B320,#REF!,2,FALSE),"")</f>
        <v>#REF!</v>
      </c>
      <c r="Q320" s="28">
        <v>5</v>
      </c>
      <c r="R320" s="62">
        <f t="shared" si="167"/>
        <v>0</v>
      </c>
      <c r="AD320" s="370"/>
      <c r="AE320" s="481"/>
      <c r="AF320" s="481"/>
      <c r="AG320" s="481"/>
      <c r="AH320" s="481"/>
      <c r="AI320" s="873">
        <f t="shared" si="156"/>
        <v>26.12</v>
      </c>
      <c r="AJ320" s="26">
        <f t="shared" si="155"/>
        <v>33.119999999999997</v>
      </c>
      <c r="AK320" s="26">
        <f t="shared" si="157"/>
        <v>165.6</v>
      </c>
      <c r="AL320" s="787"/>
    </row>
    <row r="321" spans="1:38" s="28" customFormat="1" ht="60">
      <c r="A321" s="25" t="s">
        <v>937</v>
      </c>
      <c r="B321" s="24" t="s">
        <v>2124</v>
      </c>
      <c r="C321" s="23" t="s">
        <v>1651</v>
      </c>
      <c r="D321" s="25" t="s">
        <v>1915</v>
      </c>
      <c r="E321" s="25" t="s">
        <v>17</v>
      </c>
      <c r="F321" s="26">
        <v>5</v>
      </c>
      <c r="G321" s="26">
        <f t="shared" si="160"/>
        <v>19.277999999999999</v>
      </c>
      <c r="H321" s="26">
        <f t="shared" si="165"/>
        <v>24.45</v>
      </c>
      <c r="I321" s="26">
        <f t="shared" si="166"/>
        <v>122.25</v>
      </c>
      <c r="J321" s="64">
        <f>'COMPOSIÇÃO DE CUSTOS'!G730</f>
        <v>19.27</v>
      </c>
      <c r="K321" s="362">
        <v>22.68</v>
      </c>
      <c r="L321" s="65">
        <f t="shared" si="161"/>
        <v>-3.402000000000001</v>
      </c>
      <c r="M321" s="65">
        <f t="shared" si="162"/>
        <v>96.389999999999986</v>
      </c>
      <c r="N321" s="65"/>
      <c r="O321" s="65">
        <f t="shared" si="163"/>
        <v>122.25</v>
      </c>
      <c r="P321" s="65" t="e">
        <f>IF(B321&lt;&gt;0,VLOOKUP(B321,#REF!,2,FALSE),"")</f>
        <v>#REF!</v>
      </c>
      <c r="Q321" s="28">
        <v>10</v>
      </c>
      <c r="R321" s="62">
        <f t="shared" si="167"/>
        <v>5</v>
      </c>
      <c r="AD321" s="370"/>
      <c r="AE321" s="481"/>
      <c r="AF321" s="481"/>
      <c r="AG321" s="481"/>
      <c r="AH321" s="481"/>
      <c r="AI321" s="873">
        <f t="shared" si="156"/>
        <v>21.48</v>
      </c>
      <c r="AJ321" s="26">
        <f t="shared" si="155"/>
        <v>27.24</v>
      </c>
      <c r="AK321" s="26">
        <f t="shared" si="157"/>
        <v>136.19999999999999</v>
      </c>
      <c r="AL321" s="787"/>
    </row>
    <row r="322" spans="1:38" s="28" customFormat="1" ht="60">
      <c r="A322" s="25" t="s">
        <v>938</v>
      </c>
      <c r="B322" s="24" t="s">
        <v>2125</v>
      </c>
      <c r="C322" s="23" t="s">
        <v>1652</v>
      </c>
      <c r="D322" s="25" t="s">
        <v>1915</v>
      </c>
      <c r="E322" s="25" t="s">
        <v>17</v>
      </c>
      <c r="F322" s="26">
        <v>10</v>
      </c>
      <c r="G322" s="26">
        <f t="shared" si="160"/>
        <v>64.61699999999999</v>
      </c>
      <c r="H322" s="26">
        <f t="shared" si="165"/>
        <v>81.94</v>
      </c>
      <c r="I322" s="26">
        <f t="shared" si="166"/>
        <v>819.4</v>
      </c>
      <c r="J322" s="64">
        <f>'COMPOSIÇÃO DE CUSTOS'!G739</f>
        <v>64.61</v>
      </c>
      <c r="K322" s="362">
        <v>76.02</v>
      </c>
      <c r="L322" s="65">
        <f t="shared" si="161"/>
        <v>-11.403000000000006</v>
      </c>
      <c r="M322" s="65">
        <f t="shared" si="162"/>
        <v>646.16999999999985</v>
      </c>
      <c r="N322" s="65"/>
      <c r="O322" s="65">
        <f t="shared" si="163"/>
        <v>819.4</v>
      </c>
      <c r="P322" s="65" t="e">
        <f>IF(B322&lt;&gt;0,VLOOKUP(B322,#REF!,2,FALSE),"")</f>
        <v>#REF!</v>
      </c>
      <c r="Q322" s="28">
        <v>17</v>
      </c>
      <c r="R322" s="62">
        <f t="shared" si="167"/>
        <v>7</v>
      </c>
      <c r="AD322" s="370"/>
      <c r="AE322" s="481"/>
      <c r="AF322" s="481"/>
      <c r="AG322" s="481"/>
      <c r="AH322" s="481"/>
      <c r="AI322" s="873">
        <f t="shared" si="156"/>
        <v>71.98</v>
      </c>
      <c r="AJ322" s="26">
        <f t="shared" si="155"/>
        <v>91.28</v>
      </c>
      <c r="AK322" s="26">
        <f t="shared" si="157"/>
        <v>912.8</v>
      </c>
      <c r="AL322" s="787"/>
    </row>
    <row r="323" spans="1:38" ht="30">
      <c r="A323" s="25" t="s">
        <v>939</v>
      </c>
      <c r="B323" s="24">
        <v>1208</v>
      </c>
      <c r="C323" s="23" t="s">
        <v>149</v>
      </c>
      <c r="D323" s="25" t="s">
        <v>44</v>
      </c>
      <c r="E323" s="25" t="s">
        <v>17</v>
      </c>
      <c r="F323" s="26">
        <v>17</v>
      </c>
      <c r="G323" s="26">
        <f t="shared" si="160"/>
        <v>51.186999999999998</v>
      </c>
      <c r="H323" s="26">
        <f t="shared" si="165"/>
        <v>64.91</v>
      </c>
      <c r="I323" s="26">
        <f t="shared" si="166"/>
        <v>1103.47</v>
      </c>
      <c r="J323" s="64">
        <f>'COMPOSIÇÃO DE CUSTOS'!G748</f>
        <v>51.2</v>
      </c>
      <c r="K323" s="362">
        <v>60.22</v>
      </c>
      <c r="L323" s="65">
        <f t="shared" si="161"/>
        <v>-9.0330000000000013</v>
      </c>
      <c r="M323" s="65">
        <f t="shared" si="162"/>
        <v>870.17899999999997</v>
      </c>
      <c r="N323" s="65"/>
      <c r="O323" s="65">
        <f t="shared" si="163"/>
        <v>1103.47</v>
      </c>
      <c r="P323" s="65" t="e">
        <f>IF(B323&lt;&gt;0,VLOOKUP(B323,#REF!,2,FALSE),"")</f>
        <v>#REF!</v>
      </c>
      <c r="Q323" s="2">
        <v>16</v>
      </c>
      <c r="R323" s="62">
        <f t="shared" si="167"/>
        <v>-1</v>
      </c>
      <c r="AD323" s="21"/>
      <c r="AE323" s="481"/>
      <c r="AF323" s="481"/>
      <c r="AG323" s="481"/>
      <c r="AH323" s="481"/>
      <c r="AI323" s="873">
        <f t="shared" si="156"/>
        <v>57.02</v>
      </c>
      <c r="AJ323" s="26">
        <f t="shared" si="155"/>
        <v>72.31</v>
      </c>
      <c r="AK323" s="26">
        <f t="shared" si="157"/>
        <v>1229.27</v>
      </c>
    </row>
    <row r="324" spans="1:38" ht="45">
      <c r="A324" s="25" t="s">
        <v>940</v>
      </c>
      <c r="B324" s="24">
        <v>1582</v>
      </c>
      <c r="C324" s="23" t="s">
        <v>150</v>
      </c>
      <c r="D324" s="25" t="s">
        <v>44</v>
      </c>
      <c r="E324" s="25" t="s">
        <v>17</v>
      </c>
      <c r="F324" s="26">
        <v>16</v>
      </c>
      <c r="G324" s="26">
        <f t="shared" si="160"/>
        <v>12.6905</v>
      </c>
      <c r="H324" s="26">
        <f t="shared" si="165"/>
        <v>16.09</v>
      </c>
      <c r="I324" s="26">
        <f t="shared" si="166"/>
        <v>257.44</v>
      </c>
      <c r="J324" s="64">
        <f>'COMPOSIÇÃO DE CUSTOS'!G757</f>
        <v>12.68</v>
      </c>
      <c r="K324" s="362">
        <v>14.93</v>
      </c>
      <c r="L324" s="65">
        <f t="shared" si="161"/>
        <v>-2.2394999999999996</v>
      </c>
      <c r="M324" s="65">
        <f t="shared" si="162"/>
        <v>203.048</v>
      </c>
      <c r="N324" s="65"/>
      <c r="O324" s="65">
        <f t="shared" si="163"/>
        <v>257.44</v>
      </c>
      <c r="P324" s="65" t="e">
        <f>IF(B324&lt;&gt;0,VLOOKUP(B324,#REF!,2,FALSE),"")</f>
        <v>#REF!</v>
      </c>
      <c r="Q324" s="2">
        <v>7</v>
      </c>
      <c r="R324" s="62">
        <f t="shared" si="167"/>
        <v>-9</v>
      </c>
      <c r="AD324" s="21"/>
      <c r="AE324" s="481"/>
      <c r="AF324" s="481"/>
      <c r="AG324" s="481"/>
      <c r="AH324" s="481"/>
      <c r="AI324" s="873">
        <f t="shared" si="156"/>
        <v>14.14</v>
      </c>
      <c r="AJ324" s="26">
        <f t="shared" si="155"/>
        <v>17.93</v>
      </c>
      <c r="AK324" s="26">
        <f t="shared" si="157"/>
        <v>286.88</v>
      </c>
    </row>
    <row r="325" spans="1:38" ht="30">
      <c r="A325" s="25" t="s">
        <v>941</v>
      </c>
      <c r="B325" s="24" t="s">
        <v>2135</v>
      </c>
      <c r="C325" s="23" t="s">
        <v>151</v>
      </c>
      <c r="D325" s="25" t="s">
        <v>70</v>
      </c>
      <c r="E325" s="25" t="s">
        <v>17</v>
      </c>
      <c r="F325" s="26">
        <v>7</v>
      </c>
      <c r="G325" s="26">
        <f t="shared" si="160"/>
        <v>13.123999999999999</v>
      </c>
      <c r="H325" s="26">
        <f t="shared" si="165"/>
        <v>16.64</v>
      </c>
      <c r="I325" s="26">
        <f t="shared" si="166"/>
        <v>116.48</v>
      </c>
      <c r="J325" s="64">
        <f>'COMPOSIÇÃO DE CUSTOS'!G766</f>
        <v>13.13</v>
      </c>
      <c r="K325" s="362">
        <v>15.44</v>
      </c>
      <c r="L325" s="65">
        <f t="shared" si="161"/>
        <v>-2.3160000000000007</v>
      </c>
      <c r="M325" s="65">
        <f t="shared" si="162"/>
        <v>91.867999999999995</v>
      </c>
      <c r="N325" s="65"/>
      <c r="O325" s="65">
        <f t="shared" si="163"/>
        <v>116.48</v>
      </c>
      <c r="P325" s="65" t="e">
        <f>IF(B325&lt;&gt;0,VLOOKUP(B325,#REF!,2,FALSE),"")</f>
        <v>#REF!</v>
      </c>
      <c r="Q325" s="2">
        <v>1</v>
      </c>
      <c r="R325" s="62">
        <f t="shared" si="167"/>
        <v>-6</v>
      </c>
      <c r="AD325" s="21"/>
      <c r="AE325" s="481"/>
      <c r="AF325" s="481"/>
      <c r="AG325" s="481"/>
      <c r="AH325" s="481"/>
      <c r="AI325" s="873">
        <f t="shared" si="156"/>
        <v>14.62</v>
      </c>
      <c r="AJ325" s="26">
        <f t="shared" ref="AJ325:AJ381" si="168">ROUND(AI325*(1+$J$13),2)</f>
        <v>18.54</v>
      </c>
      <c r="AK325" s="26">
        <f t="shared" si="157"/>
        <v>129.78</v>
      </c>
    </row>
    <row r="326" spans="1:38" ht="30">
      <c r="A326" s="25" t="s">
        <v>942</v>
      </c>
      <c r="B326" s="24" t="s">
        <v>2136</v>
      </c>
      <c r="C326" s="23" t="s">
        <v>152</v>
      </c>
      <c r="D326" s="25" t="s">
        <v>70</v>
      </c>
      <c r="E326" s="25" t="s">
        <v>17</v>
      </c>
      <c r="F326" s="26">
        <v>1</v>
      </c>
      <c r="G326" s="26">
        <f t="shared" si="160"/>
        <v>5.0999999999999996</v>
      </c>
      <c r="H326" s="26">
        <f t="shared" si="165"/>
        <v>6.47</v>
      </c>
      <c r="I326" s="26">
        <f t="shared" si="166"/>
        <v>6.47</v>
      </c>
      <c r="J326" s="64">
        <f>'COMPOSIÇÃO DE CUSTOS'!G775</f>
        <v>5.0999999999999996</v>
      </c>
      <c r="K326" s="362">
        <v>6</v>
      </c>
      <c r="L326" s="65">
        <f t="shared" si="161"/>
        <v>-0.90000000000000036</v>
      </c>
      <c r="M326" s="65">
        <f t="shared" si="162"/>
        <v>5.0999999999999996</v>
      </c>
      <c r="N326" s="65"/>
      <c r="O326" s="65">
        <f t="shared" si="163"/>
        <v>6.47</v>
      </c>
      <c r="P326" s="65" t="e">
        <f>IF(B326&lt;&gt;0,VLOOKUP(B326,#REF!,2,FALSE),"")</f>
        <v>#REF!</v>
      </c>
      <c r="R326" s="62">
        <f t="shared" si="167"/>
        <v>-1</v>
      </c>
      <c r="AD326" s="21"/>
      <c r="AE326" s="481"/>
      <c r="AF326" s="481"/>
      <c r="AG326" s="481"/>
      <c r="AH326" s="481"/>
      <c r="AI326" s="873">
        <f t="shared" ref="AI326:AI375" si="169">ROUND(G326*$AM$11,2)</f>
        <v>5.68</v>
      </c>
      <c r="AJ326" s="26">
        <f t="shared" si="168"/>
        <v>7.2</v>
      </c>
      <c r="AK326" s="26">
        <f t="shared" ref="AK326:AK375" si="170">ROUND(AJ326*F326,2)</f>
        <v>7.2</v>
      </c>
    </row>
    <row r="327" spans="1:38">
      <c r="A327" s="77" t="s">
        <v>943</v>
      </c>
      <c r="B327" s="139"/>
      <c r="C327" s="340" t="s">
        <v>141</v>
      </c>
      <c r="D327" s="341"/>
      <c r="E327" s="341"/>
      <c r="F327" s="341"/>
      <c r="G327" s="26"/>
      <c r="H327" s="341"/>
      <c r="I327" s="96"/>
      <c r="J327" s="65" t="str">
        <f>IF(B327&lt;&gt;0,VLOOKUP(B327,#REF!,4,FALSE),"")</f>
        <v/>
      </c>
      <c r="K327" s="362" t="s">
        <v>1892</v>
      </c>
      <c r="L327" s="65"/>
      <c r="M327" s="65">
        <f t="shared" si="162"/>
        <v>0</v>
      </c>
      <c r="N327" s="65"/>
      <c r="O327" s="65">
        <f t="shared" si="163"/>
        <v>0</v>
      </c>
      <c r="P327" s="65" t="str">
        <f>IF(B327&lt;&gt;0,VLOOKUP(B327,#REF!,2,FALSE),"")</f>
        <v/>
      </c>
      <c r="Q327" s="2">
        <v>8</v>
      </c>
      <c r="R327" s="62">
        <f t="shared" si="167"/>
        <v>8</v>
      </c>
      <c r="AD327" s="21"/>
      <c r="AE327" s="481"/>
      <c r="AF327" s="481"/>
      <c r="AG327" s="481"/>
      <c r="AH327" s="481"/>
      <c r="AI327" s="873">
        <f t="shared" si="169"/>
        <v>0</v>
      </c>
      <c r="AJ327" s="26">
        <f t="shared" si="168"/>
        <v>0</v>
      </c>
      <c r="AK327" s="26">
        <f t="shared" si="170"/>
        <v>0</v>
      </c>
    </row>
    <row r="328" spans="1:38" ht="90">
      <c r="A328" s="25" t="s">
        <v>944</v>
      </c>
      <c r="B328" s="24" t="s">
        <v>2118</v>
      </c>
      <c r="C328" s="23" t="s">
        <v>142</v>
      </c>
      <c r="D328" s="25" t="s">
        <v>1915</v>
      </c>
      <c r="E328" s="25" t="s">
        <v>17</v>
      </c>
      <c r="F328" s="26">
        <v>8</v>
      </c>
      <c r="G328" s="26">
        <f t="shared" si="160"/>
        <v>194.76900000000001</v>
      </c>
      <c r="H328" s="26">
        <f>ROUND(G328*(1+$J$13),2)</f>
        <v>246.99</v>
      </c>
      <c r="I328" s="26">
        <f t="shared" ref="I328:I330" si="171">ROUND(H328*F328,2)</f>
        <v>1975.92</v>
      </c>
      <c r="J328" s="64">
        <f>'COMPOSIÇÃO DE CUSTOS'!G788</f>
        <v>194.75</v>
      </c>
      <c r="K328" s="362">
        <v>229.14</v>
      </c>
      <c r="L328" s="65">
        <f t="shared" si="161"/>
        <v>-34.370999999999981</v>
      </c>
      <c r="M328" s="65">
        <f t="shared" si="162"/>
        <v>1558.152</v>
      </c>
      <c r="N328" s="65"/>
      <c r="O328" s="65">
        <f t="shared" si="163"/>
        <v>1975.92</v>
      </c>
      <c r="P328" s="65" t="e">
        <f>IF(B328&lt;&gt;0,VLOOKUP(B328,#REF!,2,FALSE),"")</f>
        <v>#REF!</v>
      </c>
      <c r="Q328" s="2">
        <v>1</v>
      </c>
      <c r="R328" s="62">
        <f t="shared" si="167"/>
        <v>-7</v>
      </c>
      <c r="AD328" s="21"/>
      <c r="AE328" s="481"/>
      <c r="AF328" s="481"/>
      <c r="AG328" s="481"/>
      <c r="AH328" s="481"/>
      <c r="AI328" s="873">
        <f t="shared" si="169"/>
        <v>216.97</v>
      </c>
      <c r="AJ328" s="26">
        <f t="shared" si="168"/>
        <v>275.14</v>
      </c>
      <c r="AK328" s="26">
        <f t="shared" si="170"/>
        <v>2201.12</v>
      </c>
    </row>
    <row r="329" spans="1:38" ht="45">
      <c r="A329" s="25" t="s">
        <v>945</v>
      </c>
      <c r="B329" s="24" t="s">
        <v>2140</v>
      </c>
      <c r="C329" s="23" t="s">
        <v>153</v>
      </c>
      <c r="D329" s="25" t="s">
        <v>1915</v>
      </c>
      <c r="E329" s="25" t="s">
        <v>17</v>
      </c>
      <c r="F329" s="26">
        <v>1</v>
      </c>
      <c r="G329" s="26">
        <f t="shared" si="160"/>
        <v>337.12700000000001</v>
      </c>
      <c r="H329" s="26">
        <f>ROUND(G329*(1+$J$13),2)</f>
        <v>427.51</v>
      </c>
      <c r="I329" s="26">
        <f t="shared" si="171"/>
        <v>427.51</v>
      </c>
      <c r="J329" s="64">
        <f>'COMPOSIÇÃO DE CUSTOS'!G796</f>
        <v>337.13</v>
      </c>
      <c r="K329" s="362">
        <v>396.62</v>
      </c>
      <c r="L329" s="65">
        <f t="shared" si="161"/>
        <v>-59.492999999999995</v>
      </c>
      <c r="M329" s="65">
        <f t="shared" si="162"/>
        <v>337.12700000000001</v>
      </c>
      <c r="N329" s="65"/>
      <c r="O329" s="65">
        <f t="shared" si="163"/>
        <v>427.51</v>
      </c>
      <c r="P329" s="65" t="e">
        <f>IF(B329&lt;&gt;0,VLOOKUP(B329,#REF!,2,FALSE),"")</f>
        <v>#REF!</v>
      </c>
      <c r="Q329" s="2">
        <v>21</v>
      </c>
      <c r="R329" s="62">
        <f t="shared" si="167"/>
        <v>20</v>
      </c>
      <c r="AD329" s="21"/>
      <c r="AE329" s="481"/>
      <c r="AF329" s="481"/>
      <c r="AG329" s="481"/>
      <c r="AH329" s="481"/>
      <c r="AI329" s="873">
        <f t="shared" si="169"/>
        <v>375.56</v>
      </c>
      <c r="AJ329" s="26">
        <f t="shared" si="168"/>
        <v>476.25</v>
      </c>
      <c r="AK329" s="26">
        <f t="shared" si="170"/>
        <v>476.25</v>
      </c>
    </row>
    <row r="330" spans="1:38" ht="30">
      <c r="A330" s="25" t="s">
        <v>946</v>
      </c>
      <c r="B330" s="24">
        <v>522265</v>
      </c>
      <c r="C330" s="23" t="s">
        <v>154</v>
      </c>
      <c r="D330" s="25" t="s">
        <v>1915</v>
      </c>
      <c r="E330" s="25" t="s">
        <v>17</v>
      </c>
      <c r="F330" s="26">
        <v>21</v>
      </c>
      <c r="G330" s="26">
        <f t="shared" si="160"/>
        <v>6.63</v>
      </c>
      <c r="H330" s="26">
        <f>ROUND(G330*(1+$J$13),2)</f>
        <v>8.41</v>
      </c>
      <c r="I330" s="26">
        <f t="shared" si="171"/>
        <v>176.61</v>
      </c>
      <c r="J330" s="64">
        <f>'COMPOSIÇÃO DE CUSTOS'!G805</f>
        <v>6.63</v>
      </c>
      <c r="K330" s="362">
        <v>7.8</v>
      </c>
      <c r="L330" s="65">
        <f t="shared" si="161"/>
        <v>-1.17</v>
      </c>
      <c r="M330" s="65">
        <f t="shared" si="162"/>
        <v>139.22999999999999</v>
      </c>
      <c r="N330" s="65"/>
      <c r="O330" s="65">
        <f t="shared" si="163"/>
        <v>176.61</v>
      </c>
      <c r="P330" s="65" t="e">
        <f>IF(B330&lt;&gt;0,VLOOKUP(B330,#REF!,2,FALSE),"")</f>
        <v>#REF!</v>
      </c>
      <c r="R330" s="62">
        <f t="shared" si="167"/>
        <v>-21</v>
      </c>
      <c r="AD330" s="21"/>
      <c r="AE330" s="481"/>
      <c r="AF330" s="481"/>
      <c r="AG330" s="481"/>
      <c r="AH330" s="481"/>
      <c r="AI330" s="873">
        <f t="shared" si="169"/>
        <v>7.39</v>
      </c>
      <c r="AJ330" s="26">
        <f t="shared" si="168"/>
        <v>9.3699999999999992</v>
      </c>
      <c r="AK330" s="26">
        <f t="shared" si="170"/>
        <v>196.77</v>
      </c>
    </row>
    <row r="331" spans="1:38" s="62" customFormat="1">
      <c r="A331" s="77" t="s">
        <v>947</v>
      </c>
      <c r="B331" s="139"/>
      <c r="C331" s="340" t="s">
        <v>155</v>
      </c>
      <c r="D331" s="341"/>
      <c r="E331" s="341"/>
      <c r="F331" s="341"/>
      <c r="G331" s="26"/>
      <c r="H331" s="341"/>
      <c r="I331" s="96"/>
      <c r="J331" s="64" t="str">
        <f>IF(B331&lt;&gt;0,VLOOKUP(B331,#REF!,4,FALSE),"")</f>
        <v/>
      </c>
      <c r="K331" s="362" t="s">
        <v>1892</v>
      </c>
      <c r="L331" s="65"/>
      <c r="M331" s="65">
        <f t="shared" si="162"/>
        <v>0</v>
      </c>
      <c r="N331" s="65"/>
      <c r="O331" s="65">
        <f t="shared" si="163"/>
        <v>0</v>
      </c>
      <c r="P331" s="65" t="str">
        <f>IF(B331&lt;&gt;0,VLOOKUP(B331,#REF!,2,FALSE),"")</f>
        <v/>
      </c>
      <c r="R331" s="62">
        <f t="shared" si="167"/>
        <v>0</v>
      </c>
      <c r="AD331" s="221"/>
      <c r="AE331" s="481"/>
      <c r="AF331" s="481"/>
      <c r="AG331" s="481"/>
      <c r="AH331" s="481"/>
      <c r="AI331" s="873"/>
      <c r="AJ331" s="26"/>
      <c r="AK331" s="26"/>
      <c r="AL331" s="224"/>
    </row>
    <row r="332" spans="1:38" s="62" customFormat="1">
      <c r="A332" s="77" t="s">
        <v>948</v>
      </c>
      <c r="B332" s="139"/>
      <c r="C332" s="340" t="s">
        <v>156</v>
      </c>
      <c r="D332" s="341"/>
      <c r="E332" s="341"/>
      <c r="F332" s="341"/>
      <c r="G332" s="26"/>
      <c r="H332" s="341"/>
      <c r="I332" s="96"/>
      <c r="J332" s="64" t="str">
        <f>IF(B332&lt;&gt;0,VLOOKUP(B332,#REF!,4,FALSE),"")</f>
        <v/>
      </c>
      <c r="K332" s="362" t="s">
        <v>1892</v>
      </c>
      <c r="L332" s="65"/>
      <c r="M332" s="65">
        <f t="shared" si="162"/>
        <v>0</v>
      </c>
      <c r="N332" s="65"/>
      <c r="O332" s="65">
        <f t="shared" si="163"/>
        <v>0</v>
      </c>
      <c r="P332" s="65" t="str">
        <f>IF(B332&lt;&gt;0,VLOOKUP(B332,#REF!,2,FALSE),"")</f>
        <v/>
      </c>
      <c r="Q332" s="62">
        <v>85</v>
      </c>
      <c r="R332" s="62">
        <f t="shared" si="167"/>
        <v>85</v>
      </c>
      <c r="AD332" s="221"/>
      <c r="AE332" s="481"/>
      <c r="AF332" s="481"/>
      <c r="AG332" s="481"/>
      <c r="AH332" s="481"/>
      <c r="AI332" s="873"/>
      <c r="AJ332" s="26"/>
      <c r="AK332" s="26"/>
      <c r="AL332" s="224"/>
    </row>
    <row r="333" spans="1:38" s="62" customFormat="1">
      <c r="A333" s="25" t="s">
        <v>949</v>
      </c>
      <c r="B333" s="24" t="s">
        <v>2148</v>
      </c>
      <c r="C333" s="23" t="s">
        <v>157</v>
      </c>
      <c r="D333" s="25" t="s">
        <v>70</v>
      </c>
      <c r="E333" s="25" t="s">
        <v>52</v>
      </c>
      <c r="F333" s="26">
        <v>85</v>
      </c>
      <c r="G333" s="26">
        <f t="shared" si="160"/>
        <v>177.2165</v>
      </c>
      <c r="H333" s="26">
        <f t="shared" ref="H333:H339" si="172">ROUND(G333*(1+$J$13),2)</f>
        <v>224.73</v>
      </c>
      <c r="I333" s="26">
        <f t="shared" ref="I333:I339" si="173">ROUND(H333*F333,2)</f>
        <v>19102.05</v>
      </c>
      <c r="J333" s="64">
        <f>'COMPOSIÇÃO DE CUSTOS'!G817</f>
        <v>177.22</v>
      </c>
      <c r="K333" s="362">
        <v>208.49</v>
      </c>
      <c r="L333" s="65">
        <f t="shared" si="161"/>
        <v>-31.273500000000013</v>
      </c>
      <c r="M333" s="65">
        <f t="shared" si="162"/>
        <v>15063.4025</v>
      </c>
      <c r="N333" s="65"/>
      <c r="O333" s="65">
        <f t="shared" si="163"/>
        <v>19102.05</v>
      </c>
      <c r="P333" s="65" t="e">
        <f>IF(B333&lt;&gt;0,VLOOKUP(B333,#REF!,2,FALSE),"")</f>
        <v>#REF!</v>
      </c>
      <c r="Q333" s="62">
        <v>12</v>
      </c>
      <c r="R333" s="62">
        <f t="shared" si="167"/>
        <v>-73</v>
      </c>
      <c r="AD333" s="221"/>
      <c r="AE333" s="481"/>
      <c r="AF333" s="481"/>
      <c r="AG333" s="481"/>
      <c r="AH333" s="481"/>
      <c r="AI333" s="873">
        <f t="shared" si="169"/>
        <v>197.42</v>
      </c>
      <c r="AJ333" s="26">
        <f t="shared" si="168"/>
        <v>250.35</v>
      </c>
      <c r="AK333" s="26">
        <f t="shared" si="170"/>
        <v>21279.75</v>
      </c>
      <c r="AL333" s="224"/>
    </row>
    <row r="334" spans="1:38" s="62" customFormat="1" ht="45">
      <c r="A334" s="25" t="s">
        <v>950</v>
      </c>
      <c r="B334" s="24" t="s">
        <v>2149</v>
      </c>
      <c r="C334" s="23" t="s">
        <v>158</v>
      </c>
      <c r="D334" s="25" t="s">
        <v>70</v>
      </c>
      <c r="E334" s="25" t="s">
        <v>17</v>
      </c>
      <c r="F334" s="26">
        <v>12</v>
      </c>
      <c r="G334" s="26">
        <f t="shared" si="160"/>
        <v>575.22900000000004</v>
      </c>
      <c r="H334" s="26">
        <f t="shared" si="172"/>
        <v>729.45</v>
      </c>
      <c r="I334" s="26">
        <f t="shared" si="173"/>
        <v>8753.4</v>
      </c>
      <c r="J334" s="64">
        <f>'COMPOSIÇÃO DE CUSTOS'!G836</f>
        <v>575.22</v>
      </c>
      <c r="K334" s="362">
        <v>676.74</v>
      </c>
      <c r="L334" s="65">
        <f t="shared" si="161"/>
        <v>-101.51099999999997</v>
      </c>
      <c r="M334" s="65">
        <f t="shared" si="162"/>
        <v>6902.7480000000005</v>
      </c>
      <c r="N334" s="65"/>
      <c r="O334" s="65">
        <f t="shared" si="163"/>
        <v>8753.4000000000015</v>
      </c>
      <c r="P334" s="65" t="e">
        <f>IF(B334&lt;&gt;0,VLOOKUP(B334,#REF!,2,FALSE),"")</f>
        <v>#REF!</v>
      </c>
      <c r="Q334" s="62">
        <v>3</v>
      </c>
      <c r="R334" s="62">
        <f t="shared" si="167"/>
        <v>-9</v>
      </c>
      <c r="AD334" s="221"/>
      <c r="AE334" s="481"/>
      <c r="AF334" s="481"/>
      <c r="AG334" s="481"/>
      <c r="AH334" s="481"/>
      <c r="AI334" s="873">
        <f t="shared" si="169"/>
        <v>640.80999999999995</v>
      </c>
      <c r="AJ334" s="26">
        <f t="shared" si="168"/>
        <v>812.61</v>
      </c>
      <c r="AK334" s="26">
        <f t="shared" si="170"/>
        <v>9751.32</v>
      </c>
      <c r="AL334" s="224"/>
    </row>
    <row r="335" spans="1:38" ht="45">
      <c r="A335" s="25" t="s">
        <v>951</v>
      </c>
      <c r="B335" s="24">
        <v>238093</v>
      </c>
      <c r="C335" s="23" t="s">
        <v>159</v>
      </c>
      <c r="D335" s="25" t="s">
        <v>1915</v>
      </c>
      <c r="E335" s="25" t="s">
        <v>17</v>
      </c>
      <c r="F335" s="26">
        <v>3</v>
      </c>
      <c r="G335" s="26">
        <f t="shared" si="160"/>
        <v>350.625</v>
      </c>
      <c r="H335" s="26">
        <f t="shared" si="172"/>
        <v>444.63</v>
      </c>
      <c r="I335" s="26">
        <f t="shared" si="173"/>
        <v>1333.89</v>
      </c>
      <c r="J335" s="64">
        <f>'COMPOSIÇÃO DE CUSTOS'!G845</f>
        <v>350.63</v>
      </c>
      <c r="K335" s="362">
        <v>412.5</v>
      </c>
      <c r="L335" s="65">
        <f t="shared" si="161"/>
        <v>-61.875</v>
      </c>
      <c r="M335" s="65">
        <f t="shared" si="162"/>
        <v>1051.875</v>
      </c>
      <c r="N335" s="65"/>
      <c r="O335" s="65">
        <f t="shared" si="163"/>
        <v>1333.8899999999999</v>
      </c>
      <c r="P335" s="65" t="e">
        <f>IF(B335&lt;&gt;0,VLOOKUP(B335,#REF!,2,FALSE),"")</f>
        <v>#REF!</v>
      </c>
      <c r="Q335" s="2">
        <v>8</v>
      </c>
      <c r="R335" s="62">
        <f t="shared" si="167"/>
        <v>5</v>
      </c>
      <c r="AD335" s="21"/>
      <c r="AE335" s="481"/>
      <c r="AF335" s="481"/>
      <c r="AG335" s="481"/>
      <c r="AH335" s="481"/>
      <c r="AI335" s="873">
        <f t="shared" si="169"/>
        <v>390.6</v>
      </c>
      <c r="AJ335" s="26">
        <f t="shared" si="168"/>
        <v>495.32</v>
      </c>
      <c r="AK335" s="26">
        <f t="shared" si="170"/>
        <v>1485.96</v>
      </c>
    </row>
    <row r="336" spans="1:38" ht="75">
      <c r="A336" s="25" t="s">
        <v>952</v>
      </c>
      <c r="B336" s="24" t="s">
        <v>2143</v>
      </c>
      <c r="C336" s="23" t="s">
        <v>160</v>
      </c>
      <c r="D336" s="25" t="s">
        <v>1915</v>
      </c>
      <c r="E336" s="25" t="s">
        <v>17</v>
      </c>
      <c r="F336" s="26">
        <v>8</v>
      </c>
      <c r="G336" s="26">
        <f t="shared" si="160"/>
        <v>343.80799999999999</v>
      </c>
      <c r="H336" s="26">
        <f t="shared" si="172"/>
        <v>435.98</v>
      </c>
      <c r="I336" s="26">
        <f t="shared" si="173"/>
        <v>3487.84</v>
      </c>
      <c r="J336" s="64">
        <f>'COMPOSIÇÃO DE CUSTOS'!G855</f>
        <v>343.79</v>
      </c>
      <c r="K336" s="362">
        <v>404.48</v>
      </c>
      <c r="L336" s="65">
        <f t="shared" si="161"/>
        <v>-60.672000000000025</v>
      </c>
      <c r="M336" s="65">
        <f t="shared" si="162"/>
        <v>2750.4639999999999</v>
      </c>
      <c r="N336" s="65"/>
      <c r="O336" s="65">
        <f t="shared" si="163"/>
        <v>3487.84</v>
      </c>
      <c r="P336" s="65" t="e">
        <f>IF(B336&lt;&gt;0,VLOOKUP(B336,#REF!,2,FALSE),"")</f>
        <v>#REF!</v>
      </c>
      <c r="Q336" s="2">
        <v>3</v>
      </c>
      <c r="R336" s="62">
        <f t="shared" si="167"/>
        <v>-5</v>
      </c>
      <c r="AD336" s="21"/>
      <c r="AE336" s="481"/>
      <c r="AF336" s="481"/>
      <c r="AG336" s="481"/>
      <c r="AH336" s="481"/>
      <c r="AI336" s="873">
        <f t="shared" si="169"/>
        <v>383</v>
      </c>
      <c r="AJ336" s="26">
        <f t="shared" si="168"/>
        <v>485.68</v>
      </c>
      <c r="AK336" s="26">
        <f t="shared" si="170"/>
        <v>3885.44</v>
      </c>
    </row>
    <row r="337" spans="1:38" ht="45">
      <c r="A337" s="25" t="s">
        <v>953</v>
      </c>
      <c r="B337" s="24" t="s">
        <v>2144</v>
      </c>
      <c r="C337" s="23" t="s">
        <v>161</v>
      </c>
      <c r="D337" s="25" t="s">
        <v>1915</v>
      </c>
      <c r="E337" s="25" t="s">
        <v>17</v>
      </c>
      <c r="F337" s="26">
        <v>3</v>
      </c>
      <c r="G337" s="26">
        <f t="shared" si="160"/>
        <v>1425.1185</v>
      </c>
      <c r="H337" s="26">
        <f t="shared" si="172"/>
        <v>1807.19</v>
      </c>
      <c r="I337" s="26">
        <f t="shared" si="173"/>
        <v>5421.57</v>
      </c>
      <c r="J337" s="64">
        <f>'COMPOSIÇÃO DE CUSTOS'!G866</f>
        <v>1425.13</v>
      </c>
      <c r="K337" s="362">
        <v>1676.61</v>
      </c>
      <c r="L337" s="65">
        <f t="shared" si="161"/>
        <v>-251.49149999999986</v>
      </c>
      <c r="M337" s="65">
        <f t="shared" si="162"/>
        <v>4275.3554999999997</v>
      </c>
      <c r="N337" s="65"/>
      <c r="O337" s="65">
        <f t="shared" si="163"/>
        <v>5421.57</v>
      </c>
      <c r="P337" s="65" t="e">
        <f>IF(B337&lt;&gt;0,VLOOKUP(B337,#REF!,2,FALSE),"")</f>
        <v>#REF!</v>
      </c>
      <c r="Q337" s="2">
        <v>1</v>
      </c>
      <c r="R337" s="62">
        <f t="shared" si="167"/>
        <v>-2</v>
      </c>
      <c r="AD337" s="21"/>
      <c r="AE337" s="481"/>
      <c r="AF337" s="481"/>
      <c r="AG337" s="481"/>
      <c r="AH337" s="481"/>
      <c r="AI337" s="873">
        <f t="shared" si="169"/>
        <v>1587.59</v>
      </c>
      <c r="AJ337" s="26">
        <f t="shared" si="168"/>
        <v>2013.22</v>
      </c>
      <c r="AK337" s="26">
        <f t="shared" si="170"/>
        <v>6039.66</v>
      </c>
    </row>
    <row r="338" spans="1:38" ht="15" customHeight="1">
      <c r="A338" s="25" t="s">
        <v>954</v>
      </c>
      <c r="B338" s="24" t="s">
        <v>2150</v>
      </c>
      <c r="C338" s="23" t="s">
        <v>162</v>
      </c>
      <c r="D338" s="25" t="s">
        <v>70</v>
      </c>
      <c r="E338" s="25" t="s">
        <v>17</v>
      </c>
      <c r="F338" s="26">
        <v>1</v>
      </c>
      <c r="G338" s="26">
        <f t="shared" si="160"/>
        <v>206.97499999999999</v>
      </c>
      <c r="H338" s="26">
        <f t="shared" si="172"/>
        <v>262.45999999999998</v>
      </c>
      <c r="I338" s="26">
        <f t="shared" si="173"/>
        <v>262.45999999999998</v>
      </c>
      <c r="J338" s="64">
        <f>'COMPOSIÇÃO DE CUSTOS'!G883</f>
        <v>206.98</v>
      </c>
      <c r="K338" s="362">
        <v>243.5</v>
      </c>
      <c r="L338" s="65">
        <f t="shared" si="161"/>
        <v>-36.525000000000006</v>
      </c>
      <c r="M338" s="65">
        <f t="shared" si="162"/>
        <v>206.97499999999999</v>
      </c>
      <c r="N338" s="65"/>
      <c r="O338" s="65">
        <f t="shared" si="163"/>
        <v>262.45999999999998</v>
      </c>
      <c r="P338" s="65" t="e">
        <f>IF(B338&lt;&gt;0,VLOOKUP(B338,#REF!,2,FALSE),"")</f>
        <v>#REF!</v>
      </c>
      <c r="Q338" s="2">
        <v>13</v>
      </c>
      <c r="R338" s="62">
        <f t="shared" si="167"/>
        <v>12</v>
      </c>
      <c r="AD338" s="21"/>
      <c r="AE338" s="481"/>
      <c r="AF338" s="481"/>
      <c r="AG338" s="481"/>
      <c r="AH338" s="481"/>
      <c r="AI338" s="873">
        <f t="shared" si="169"/>
        <v>230.57</v>
      </c>
      <c r="AJ338" s="26">
        <f t="shared" si="168"/>
        <v>292.39</v>
      </c>
      <c r="AK338" s="26">
        <f t="shared" si="170"/>
        <v>292.39</v>
      </c>
    </row>
    <row r="339" spans="1:38">
      <c r="A339" s="25" t="s">
        <v>955</v>
      </c>
      <c r="B339" s="24" t="s">
        <v>2151</v>
      </c>
      <c r="C339" s="23" t="s">
        <v>163</v>
      </c>
      <c r="D339" s="25" t="s">
        <v>70</v>
      </c>
      <c r="E339" s="25" t="s">
        <v>26</v>
      </c>
      <c r="F339" s="26">
        <v>13</v>
      </c>
      <c r="G339" s="26">
        <f t="shared" si="160"/>
        <v>221.73950000000002</v>
      </c>
      <c r="H339" s="26">
        <f t="shared" si="172"/>
        <v>281.19</v>
      </c>
      <c r="I339" s="26">
        <f t="shared" si="173"/>
        <v>3655.47</v>
      </c>
      <c r="J339" s="64">
        <f>'COMPOSIÇÃO DE CUSTOS'!G893</f>
        <v>221.74</v>
      </c>
      <c r="K339" s="362">
        <v>260.87</v>
      </c>
      <c r="L339" s="65">
        <f t="shared" si="161"/>
        <v>-39.130499999999984</v>
      </c>
      <c r="M339" s="65">
        <f t="shared" si="162"/>
        <v>2882.6135000000004</v>
      </c>
      <c r="N339" s="65"/>
      <c r="O339" s="65">
        <f t="shared" si="163"/>
        <v>3655.47</v>
      </c>
      <c r="P339" s="65" t="e">
        <f>IF(B339&lt;&gt;0,VLOOKUP(B339,#REF!,2,FALSE),"")</f>
        <v>#REF!</v>
      </c>
      <c r="R339" s="62">
        <f t="shared" si="167"/>
        <v>-13</v>
      </c>
      <c r="AD339" s="21"/>
      <c r="AE339" s="481"/>
      <c r="AF339" s="481"/>
      <c r="AG339" s="481"/>
      <c r="AH339" s="481"/>
      <c r="AI339" s="873">
        <f t="shared" si="169"/>
        <v>247.02</v>
      </c>
      <c r="AJ339" s="26">
        <f t="shared" si="168"/>
        <v>313.25</v>
      </c>
      <c r="AK339" s="26">
        <f t="shared" si="170"/>
        <v>4072.25</v>
      </c>
    </row>
    <row r="340" spans="1:38">
      <c r="A340" s="77" t="s">
        <v>956</v>
      </c>
      <c r="B340" s="139"/>
      <c r="C340" s="340" t="s">
        <v>164</v>
      </c>
      <c r="D340" s="341"/>
      <c r="E340" s="341"/>
      <c r="F340" s="341"/>
      <c r="G340" s="26"/>
      <c r="H340" s="341"/>
      <c r="I340" s="96"/>
      <c r="J340" s="65" t="str">
        <f>IF(B340&lt;&gt;0,VLOOKUP(B340,#REF!,4,FALSE),"")</f>
        <v/>
      </c>
      <c r="K340" s="362" t="s">
        <v>1892</v>
      </c>
      <c r="L340" s="65"/>
      <c r="M340" s="65">
        <f t="shared" si="162"/>
        <v>0</v>
      </c>
      <c r="N340" s="65"/>
      <c r="O340" s="65">
        <f t="shared" si="163"/>
        <v>0</v>
      </c>
      <c r="P340" s="65" t="str">
        <f>IF(B340&lt;&gt;0,VLOOKUP(B340,#REF!,2,FALSE),"")</f>
        <v/>
      </c>
      <c r="Q340" s="2">
        <v>77</v>
      </c>
      <c r="R340" s="62">
        <f t="shared" si="167"/>
        <v>77</v>
      </c>
      <c r="AD340" s="21"/>
      <c r="AE340" s="481"/>
      <c r="AF340" s="481"/>
      <c r="AG340" s="481"/>
      <c r="AH340" s="481"/>
      <c r="AI340" s="873"/>
      <c r="AJ340" s="26"/>
      <c r="AK340" s="26"/>
    </row>
    <row r="341" spans="1:38" ht="45">
      <c r="A341" s="25" t="s">
        <v>957</v>
      </c>
      <c r="B341" s="24">
        <v>89865</v>
      </c>
      <c r="C341" s="23" t="s">
        <v>1653</v>
      </c>
      <c r="D341" s="25" t="s">
        <v>12</v>
      </c>
      <c r="E341" s="25" t="s">
        <v>52</v>
      </c>
      <c r="F341" s="26">
        <v>77</v>
      </c>
      <c r="G341" s="26">
        <f t="shared" si="160"/>
        <v>8.6870000000000012</v>
      </c>
      <c r="H341" s="26">
        <f>ROUND(G341*(1+$J$13),2)</f>
        <v>11.02</v>
      </c>
      <c r="I341" s="26">
        <f t="shared" ref="I341:I344" si="174">ROUND(H341*F341,2)</f>
        <v>848.54</v>
      </c>
      <c r="J341" s="65" t="e">
        <f>IF(B341&lt;&gt;0,VLOOKUP(B341,#REF!,4,FALSE),"")</f>
        <v>#REF!</v>
      </c>
      <c r="K341" s="362" t="s">
        <v>1853</v>
      </c>
      <c r="L341" s="65">
        <f t="shared" si="161"/>
        <v>-1.5329999999999995</v>
      </c>
      <c r="M341" s="65">
        <f t="shared" si="162"/>
        <v>668.89900000000011</v>
      </c>
      <c r="N341" s="65"/>
      <c r="O341" s="65">
        <f t="shared" si="163"/>
        <v>848.54</v>
      </c>
      <c r="P341" s="65" t="e">
        <f>IF(B341&lt;&gt;0,VLOOKUP(B341,#REF!,2,FALSE),"")</f>
        <v>#REF!</v>
      </c>
      <c r="Q341" s="2">
        <v>25</v>
      </c>
      <c r="R341" s="62">
        <f t="shared" si="167"/>
        <v>-52</v>
      </c>
      <c r="AD341" s="21"/>
      <c r="AE341" s="481"/>
      <c r="AF341" s="481"/>
      <c r="AG341" s="481"/>
      <c r="AH341" s="481"/>
      <c r="AI341" s="873">
        <f t="shared" si="169"/>
        <v>9.68</v>
      </c>
      <c r="AJ341" s="26">
        <f t="shared" si="168"/>
        <v>12.28</v>
      </c>
      <c r="AK341" s="26">
        <f t="shared" si="170"/>
        <v>945.56</v>
      </c>
    </row>
    <row r="342" spans="1:38" ht="15" customHeight="1">
      <c r="A342" s="25" t="s">
        <v>958</v>
      </c>
      <c r="B342" s="24">
        <v>89868</v>
      </c>
      <c r="C342" s="23" t="s">
        <v>1654</v>
      </c>
      <c r="D342" s="25" t="s">
        <v>12</v>
      </c>
      <c r="E342" s="25" t="s">
        <v>17</v>
      </c>
      <c r="F342" s="26">
        <v>25</v>
      </c>
      <c r="G342" s="26">
        <f t="shared" ref="G342:G405" si="175">K342-(K342*$L$14)</f>
        <v>2.5840000000000001</v>
      </c>
      <c r="H342" s="26">
        <f>ROUND(G342*(1+$J$13),2)</f>
        <v>3.28</v>
      </c>
      <c r="I342" s="26">
        <f t="shared" si="174"/>
        <v>82</v>
      </c>
      <c r="J342" s="65" t="e">
        <f>IF(B342&lt;&gt;0,VLOOKUP(B342,#REF!,4,FALSE),"")</f>
        <v>#REF!</v>
      </c>
      <c r="K342" s="362" t="s">
        <v>1842</v>
      </c>
      <c r="L342" s="65">
        <f t="shared" ref="L342:L405" si="176">G342-K342</f>
        <v>-0.45599999999999996</v>
      </c>
      <c r="M342" s="65">
        <f t="shared" ref="M342:M405" si="177">F342*G342</f>
        <v>64.600000000000009</v>
      </c>
      <c r="N342" s="65"/>
      <c r="O342" s="65">
        <f t="shared" ref="O342:O405" si="178">F342*H342</f>
        <v>82</v>
      </c>
      <c r="P342" s="65" t="e">
        <f>IF(B342&lt;&gt;0,VLOOKUP(B342,#REF!,2,FALSE),"")</f>
        <v>#REF!</v>
      </c>
      <c r="Q342" s="2">
        <v>96</v>
      </c>
      <c r="R342" s="62">
        <f t="shared" si="167"/>
        <v>71</v>
      </c>
      <c r="AD342" s="21"/>
      <c r="AE342" s="481"/>
      <c r="AF342" s="481"/>
      <c r="AG342" s="481"/>
      <c r="AH342" s="481"/>
      <c r="AI342" s="873">
        <f t="shared" si="169"/>
        <v>2.88</v>
      </c>
      <c r="AJ342" s="26">
        <f t="shared" si="168"/>
        <v>3.65</v>
      </c>
      <c r="AK342" s="26">
        <f t="shared" si="170"/>
        <v>91.25</v>
      </c>
    </row>
    <row r="343" spans="1:38" s="62" customFormat="1" ht="15" customHeight="1">
      <c r="A343" s="25" t="s">
        <v>959</v>
      </c>
      <c r="B343" s="24">
        <v>89866</v>
      </c>
      <c r="C343" s="23" t="s">
        <v>1655</v>
      </c>
      <c r="D343" s="25" t="s">
        <v>12</v>
      </c>
      <c r="E343" s="25" t="s">
        <v>17</v>
      </c>
      <c r="F343" s="26">
        <v>96</v>
      </c>
      <c r="G343" s="26">
        <f t="shared" si="175"/>
        <v>3.3149999999999999</v>
      </c>
      <c r="H343" s="26">
        <f>ROUND(G343*(1+$J$13),2)</f>
        <v>4.2</v>
      </c>
      <c r="I343" s="26">
        <f t="shared" si="174"/>
        <v>403.2</v>
      </c>
      <c r="J343" s="65" t="e">
        <f>IF(B343&lt;&gt;0,VLOOKUP(B343,#REF!,4,FALSE),"")</f>
        <v>#REF!</v>
      </c>
      <c r="K343" s="362" t="s">
        <v>3033</v>
      </c>
      <c r="L343" s="65">
        <f t="shared" si="176"/>
        <v>-0.58499999999999996</v>
      </c>
      <c r="M343" s="65">
        <f t="shared" si="177"/>
        <v>318.24</v>
      </c>
      <c r="N343" s="65"/>
      <c r="O343" s="65">
        <f t="shared" si="178"/>
        <v>403.20000000000005</v>
      </c>
      <c r="P343" s="65" t="e">
        <f>IF(B343&lt;&gt;0,VLOOKUP(B343,#REF!,2,FALSE),"")</f>
        <v>#REF!</v>
      </c>
      <c r="Q343" s="62">
        <v>27</v>
      </c>
      <c r="R343" s="62">
        <f t="shared" si="167"/>
        <v>-69</v>
      </c>
      <c r="AD343" s="221"/>
      <c r="AE343" s="481"/>
      <c r="AF343" s="481"/>
      <c r="AG343" s="481"/>
      <c r="AH343" s="481"/>
      <c r="AI343" s="873">
        <f t="shared" si="169"/>
        <v>3.69</v>
      </c>
      <c r="AJ343" s="26">
        <f t="shared" si="168"/>
        <v>4.68</v>
      </c>
      <c r="AK343" s="26">
        <f t="shared" si="170"/>
        <v>449.28</v>
      </c>
      <c r="AL343" s="224"/>
    </row>
    <row r="344" spans="1:38" s="45" customFormat="1" ht="45">
      <c r="A344" s="25" t="s">
        <v>960</v>
      </c>
      <c r="B344" s="24">
        <v>89869</v>
      </c>
      <c r="C344" s="23" t="s">
        <v>1656</v>
      </c>
      <c r="D344" s="25" t="s">
        <v>12</v>
      </c>
      <c r="E344" s="25" t="s">
        <v>17</v>
      </c>
      <c r="F344" s="26">
        <v>27</v>
      </c>
      <c r="G344" s="26">
        <f t="shared" si="175"/>
        <v>5.4485000000000001</v>
      </c>
      <c r="H344" s="26">
        <f>ROUND(G344*(1+$J$13),2)</f>
        <v>6.91</v>
      </c>
      <c r="I344" s="26">
        <f t="shared" si="174"/>
        <v>186.57</v>
      </c>
      <c r="J344" s="65" t="e">
        <f>IF(B344&lt;&gt;0,VLOOKUP(B344,#REF!,4,FALSE),"")</f>
        <v>#REF!</v>
      </c>
      <c r="K344" s="362" t="s">
        <v>1911</v>
      </c>
      <c r="L344" s="65">
        <f t="shared" si="176"/>
        <v>-0.96150000000000002</v>
      </c>
      <c r="M344" s="65">
        <f t="shared" si="177"/>
        <v>147.1095</v>
      </c>
      <c r="N344" s="65"/>
      <c r="O344" s="65">
        <f t="shared" si="178"/>
        <v>186.57</v>
      </c>
      <c r="P344" s="65" t="e">
        <f>IF(B344&lt;&gt;0,VLOOKUP(B344,#REF!,2,FALSE),"")</f>
        <v>#REF!</v>
      </c>
      <c r="R344" s="62">
        <f t="shared" si="167"/>
        <v>-27</v>
      </c>
      <c r="AD344" s="56"/>
      <c r="AE344" s="481"/>
      <c r="AF344" s="481"/>
      <c r="AG344" s="481"/>
      <c r="AH344" s="481"/>
      <c r="AI344" s="873">
        <f t="shared" si="169"/>
        <v>6.07</v>
      </c>
      <c r="AJ344" s="26">
        <f t="shared" si="168"/>
        <v>7.7</v>
      </c>
      <c r="AK344" s="26">
        <f t="shared" si="170"/>
        <v>207.9</v>
      </c>
      <c r="AL344" s="724"/>
    </row>
    <row r="345" spans="1:38" s="62" customFormat="1">
      <c r="A345" s="25"/>
      <c r="B345" s="24"/>
      <c r="C345" s="23"/>
      <c r="D345" s="25"/>
      <c r="E345" s="25"/>
      <c r="F345" s="26"/>
      <c r="G345" s="26"/>
      <c r="H345" s="26"/>
      <c r="I345" s="26"/>
      <c r="J345" s="65" t="str">
        <f>IF(B345&lt;&gt;0,VLOOKUP(B345,#REF!,4,FALSE),"")</f>
        <v/>
      </c>
      <c r="K345" s="362" t="s">
        <v>1892</v>
      </c>
      <c r="L345" s="65"/>
      <c r="M345" s="65">
        <f t="shared" si="177"/>
        <v>0</v>
      </c>
      <c r="N345" s="65"/>
      <c r="O345" s="65">
        <f t="shared" si="178"/>
        <v>0</v>
      </c>
      <c r="P345" s="65" t="str">
        <f>IF(B345&lt;&gt;0,VLOOKUP(B345,#REF!,2,FALSE),"")</f>
        <v/>
      </c>
      <c r="R345" s="62">
        <f t="shared" si="167"/>
        <v>0</v>
      </c>
      <c r="AD345" s="221"/>
      <c r="AE345" s="481"/>
      <c r="AF345" s="481"/>
      <c r="AG345" s="481"/>
      <c r="AH345" s="481"/>
      <c r="AI345" s="873"/>
      <c r="AJ345" s="26"/>
      <c r="AK345" s="26"/>
      <c r="AL345" s="224"/>
    </row>
    <row r="346" spans="1:38" s="62" customFormat="1" ht="28.5">
      <c r="A346" s="77" t="s">
        <v>961</v>
      </c>
      <c r="B346" s="139"/>
      <c r="C346" s="340" t="s">
        <v>165</v>
      </c>
      <c r="D346" s="341"/>
      <c r="E346" s="341"/>
      <c r="F346" s="341"/>
      <c r="G346" s="26"/>
      <c r="H346" s="341"/>
      <c r="I346" s="96">
        <f>SUM(I349:I381)</f>
        <v>118400.20999999996</v>
      </c>
      <c r="J346" s="65" t="str">
        <f>IF(B346&lt;&gt;0,VLOOKUP(B346,#REF!,4,FALSE),"")</f>
        <v/>
      </c>
      <c r="K346" s="362" t="s">
        <v>1892</v>
      </c>
      <c r="L346" s="65"/>
      <c r="M346" s="65">
        <f t="shared" si="177"/>
        <v>0</v>
      </c>
      <c r="N346" s="65"/>
      <c r="O346" s="65">
        <f t="shared" si="178"/>
        <v>0</v>
      </c>
      <c r="P346" s="65" t="str">
        <f>IF(B346&lt;&gt;0,VLOOKUP(B346,#REF!,2,FALSE),"")</f>
        <v/>
      </c>
      <c r="R346" s="62">
        <f t="shared" si="167"/>
        <v>0</v>
      </c>
      <c r="AD346" s="221"/>
      <c r="AE346" s="481"/>
      <c r="AF346" s="481"/>
      <c r="AG346" s="481"/>
      <c r="AH346" s="481"/>
      <c r="AI346" s="873"/>
      <c r="AJ346" s="26"/>
      <c r="AK346" s="96">
        <f>SUM(AK349:AK381)</f>
        <v>104283.97000000002</v>
      </c>
      <c r="AL346" s="224"/>
    </row>
    <row r="347" spans="1:38" s="62" customFormat="1">
      <c r="A347" s="77" t="s">
        <v>962</v>
      </c>
      <c r="B347" s="139"/>
      <c r="C347" s="340" t="s">
        <v>166</v>
      </c>
      <c r="D347" s="341"/>
      <c r="E347" s="341"/>
      <c r="F347" s="341"/>
      <c r="G347" s="26"/>
      <c r="H347" s="341"/>
      <c r="I347" s="96"/>
      <c r="J347" s="65" t="str">
        <f>IF(B347&lt;&gt;0,VLOOKUP(B347,#REF!,4,FALSE),"")</f>
        <v/>
      </c>
      <c r="K347" s="362" t="s">
        <v>1892</v>
      </c>
      <c r="L347" s="65"/>
      <c r="M347" s="65">
        <f t="shared" si="177"/>
        <v>0</v>
      </c>
      <c r="N347" s="65"/>
      <c r="O347" s="65">
        <f t="shared" si="178"/>
        <v>0</v>
      </c>
      <c r="P347" s="65" t="str">
        <f>IF(B347&lt;&gt;0,VLOOKUP(B347,#REF!,2,FALSE),"")</f>
        <v/>
      </c>
      <c r="R347" s="62">
        <f t="shared" si="167"/>
        <v>0</v>
      </c>
      <c r="AD347" s="221"/>
      <c r="AE347" s="481"/>
      <c r="AF347" s="481"/>
      <c r="AG347" s="481"/>
      <c r="AH347" s="481"/>
      <c r="AI347" s="873"/>
      <c r="AJ347" s="26"/>
      <c r="AK347" s="26"/>
      <c r="AL347" s="224"/>
    </row>
    <row r="348" spans="1:38" s="62" customFormat="1">
      <c r="A348" s="77" t="s">
        <v>963</v>
      </c>
      <c r="B348" s="139"/>
      <c r="C348" s="340" t="s">
        <v>167</v>
      </c>
      <c r="D348" s="341"/>
      <c r="E348" s="341"/>
      <c r="F348" s="341"/>
      <c r="G348" s="26"/>
      <c r="H348" s="341"/>
      <c r="I348" s="96"/>
      <c r="J348" s="65" t="str">
        <f>IF(B348&lt;&gt;0,VLOOKUP(B348,#REF!,4,FALSE),"")</f>
        <v/>
      </c>
      <c r="K348" s="362" t="s">
        <v>1892</v>
      </c>
      <c r="L348" s="65"/>
      <c r="M348" s="65">
        <f t="shared" si="177"/>
        <v>0</v>
      </c>
      <c r="N348" s="65"/>
      <c r="O348" s="65">
        <f t="shared" si="178"/>
        <v>0</v>
      </c>
      <c r="P348" s="65" t="str">
        <f>IF(B348&lt;&gt;0,VLOOKUP(B348,#REF!,2,FALSE),"")</f>
        <v/>
      </c>
      <c r="Q348" s="62">
        <v>85</v>
      </c>
      <c r="R348" s="62">
        <f t="shared" si="167"/>
        <v>85</v>
      </c>
      <c r="AD348" s="221"/>
      <c r="AE348" s="481"/>
      <c r="AF348" s="481"/>
      <c r="AG348" s="481"/>
      <c r="AH348" s="481"/>
      <c r="AI348" s="873"/>
      <c r="AJ348" s="26"/>
      <c r="AK348" s="26"/>
      <c r="AL348" s="224"/>
    </row>
    <row r="349" spans="1:38" s="62" customFormat="1" ht="60">
      <c r="A349" s="25" t="s">
        <v>964</v>
      </c>
      <c r="B349" s="24">
        <v>92336</v>
      </c>
      <c r="C349" s="23" t="s">
        <v>1657</v>
      </c>
      <c r="D349" s="25" t="s">
        <v>12</v>
      </c>
      <c r="E349" s="25" t="s">
        <v>52</v>
      </c>
      <c r="F349" s="26">
        <v>85</v>
      </c>
      <c r="G349" s="26">
        <f t="shared" si="175"/>
        <v>105.9525</v>
      </c>
      <c r="H349" s="26">
        <f t="shared" ref="H349:H362" si="179">ROUND(G349*(1+$J$13),2)</f>
        <v>134.36000000000001</v>
      </c>
      <c r="I349" s="26">
        <f t="shared" ref="I349:I362" si="180">ROUND(H349*F349,2)</f>
        <v>11420.6</v>
      </c>
      <c r="J349" s="65" t="e">
        <f>IF(B349&lt;&gt;0,VLOOKUP(B349,#REF!,4,FALSE),"")</f>
        <v>#REF!</v>
      </c>
      <c r="K349" s="362" t="s">
        <v>3279</v>
      </c>
      <c r="L349" s="65">
        <f t="shared" si="176"/>
        <v>-18.697500000000005</v>
      </c>
      <c r="M349" s="65">
        <f t="shared" si="177"/>
        <v>9005.9624999999996</v>
      </c>
      <c r="N349" s="65"/>
      <c r="O349" s="65">
        <f t="shared" si="178"/>
        <v>11420.6</v>
      </c>
      <c r="P349" s="65" t="e">
        <f>IF(B349&lt;&gt;0,VLOOKUP(B349,#REF!,2,FALSE),"")</f>
        <v>#REF!</v>
      </c>
      <c r="Q349" s="62">
        <v>77</v>
      </c>
      <c r="R349" s="62">
        <f t="shared" si="167"/>
        <v>-8</v>
      </c>
      <c r="AD349" s="221"/>
      <c r="AE349" s="481"/>
      <c r="AF349" s="481"/>
      <c r="AG349" s="481"/>
      <c r="AH349" s="481"/>
      <c r="AI349" s="873">
        <f t="shared" si="169"/>
        <v>118.03</v>
      </c>
      <c r="AJ349" s="26">
        <f t="shared" si="168"/>
        <v>149.66999999999999</v>
      </c>
      <c r="AK349" s="26">
        <f t="shared" si="170"/>
        <v>12721.95</v>
      </c>
      <c r="AL349" s="224"/>
    </row>
    <row r="350" spans="1:38" s="62" customFormat="1" ht="60">
      <c r="A350" s="25" t="s">
        <v>965</v>
      </c>
      <c r="B350" s="24" t="s">
        <v>2153</v>
      </c>
      <c r="C350" s="23" t="s">
        <v>168</v>
      </c>
      <c r="D350" s="25" t="s">
        <v>1915</v>
      </c>
      <c r="E350" s="25" t="s">
        <v>52</v>
      </c>
      <c r="F350" s="26">
        <v>77</v>
      </c>
      <c r="G350" s="26">
        <f t="shared" si="175"/>
        <v>139.81650000000002</v>
      </c>
      <c r="H350" s="26">
        <f t="shared" si="179"/>
        <v>177.3</v>
      </c>
      <c r="I350" s="26">
        <f t="shared" si="180"/>
        <v>13652.1</v>
      </c>
      <c r="J350" s="64">
        <f>'COMPOSIÇÃO DE CUSTOS'!G901</f>
        <v>139.81</v>
      </c>
      <c r="K350" s="362">
        <v>164.49</v>
      </c>
      <c r="L350" s="65">
        <f t="shared" si="176"/>
        <v>-24.67349999999999</v>
      </c>
      <c r="M350" s="65">
        <f t="shared" si="177"/>
        <v>10765.870500000001</v>
      </c>
      <c r="N350" s="65"/>
      <c r="O350" s="65">
        <f t="shared" si="178"/>
        <v>13652.1</v>
      </c>
      <c r="P350" s="65" t="e">
        <f>IF(B350&lt;&gt;0,VLOOKUP(B350,#REF!,2,FALSE),"")</f>
        <v>#REF!</v>
      </c>
      <c r="Q350" s="62">
        <v>4</v>
      </c>
      <c r="R350" s="62">
        <f t="shared" si="167"/>
        <v>-73</v>
      </c>
      <c r="AD350" s="221"/>
      <c r="AE350" s="481"/>
      <c r="AF350" s="481"/>
      <c r="AG350" s="481"/>
      <c r="AH350" s="481"/>
      <c r="AI350" s="873">
        <f t="shared" si="169"/>
        <v>155.76</v>
      </c>
      <c r="AJ350" s="26">
        <f t="shared" si="168"/>
        <v>197.52</v>
      </c>
      <c r="AK350" s="26">
        <f t="shared" si="170"/>
        <v>15209.04</v>
      </c>
      <c r="AL350" s="224"/>
    </row>
    <row r="351" spans="1:38" ht="72.75" customHeight="1">
      <c r="A351" s="25" t="s">
        <v>966</v>
      </c>
      <c r="B351" s="24">
        <v>92335</v>
      </c>
      <c r="C351" s="23" t="s">
        <v>1658</v>
      </c>
      <c r="D351" s="25" t="s">
        <v>12</v>
      </c>
      <c r="E351" s="25" t="s">
        <v>52</v>
      </c>
      <c r="F351" s="26">
        <v>4</v>
      </c>
      <c r="G351" s="26">
        <f t="shared" si="175"/>
        <v>85.875500000000002</v>
      </c>
      <c r="H351" s="26">
        <f t="shared" si="179"/>
        <v>108.9</v>
      </c>
      <c r="I351" s="26">
        <f t="shared" si="180"/>
        <v>435.6</v>
      </c>
      <c r="J351" s="64" t="e">
        <f>IF(B351&lt;&gt;0,VLOOKUP(B351,#REF!,4,FALSE),"")</f>
        <v>#REF!</v>
      </c>
      <c r="K351" s="362" t="s">
        <v>3278</v>
      </c>
      <c r="L351" s="65">
        <f t="shared" si="176"/>
        <v>-15.154499999999999</v>
      </c>
      <c r="M351" s="65">
        <f t="shared" si="177"/>
        <v>343.50200000000001</v>
      </c>
      <c r="N351" s="65"/>
      <c r="O351" s="65">
        <f t="shared" si="178"/>
        <v>435.6</v>
      </c>
      <c r="P351" s="65" t="e">
        <f>IF(B351&lt;&gt;0,VLOOKUP(B351,#REF!,2,FALSE),"")</f>
        <v>#REF!</v>
      </c>
      <c r="Q351" s="2">
        <v>26</v>
      </c>
      <c r="R351" s="62">
        <f t="shared" si="167"/>
        <v>22</v>
      </c>
      <c r="AD351" s="21"/>
      <c r="AE351" s="481"/>
      <c r="AF351" s="481"/>
      <c r="AG351" s="481"/>
      <c r="AH351" s="481"/>
      <c r="AI351" s="873">
        <f t="shared" si="169"/>
        <v>95.67</v>
      </c>
      <c r="AJ351" s="26">
        <f t="shared" si="168"/>
        <v>121.32</v>
      </c>
      <c r="AK351" s="26">
        <f t="shared" si="170"/>
        <v>485.28</v>
      </c>
    </row>
    <row r="352" spans="1:38" ht="60">
      <c r="A352" s="25" t="s">
        <v>967</v>
      </c>
      <c r="B352" s="24" t="s">
        <v>2167</v>
      </c>
      <c r="C352" s="23" t="s">
        <v>169</v>
      </c>
      <c r="D352" s="25" t="s">
        <v>1915</v>
      </c>
      <c r="E352" s="25" t="s">
        <v>52</v>
      </c>
      <c r="F352" s="26">
        <v>26</v>
      </c>
      <c r="G352" s="26">
        <f t="shared" si="175"/>
        <v>61.676000000000002</v>
      </c>
      <c r="H352" s="26">
        <f t="shared" si="179"/>
        <v>78.209999999999994</v>
      </c>
      <c r="I352" s="26">
        <f t="shared" si="180"/>
        <v>2033.46</v>
      </c>
      <c r="J352" s="64">
        <f>'COMPOSIÇÃO DE CUSTOS'!G909</f>
        <v>61.67</v>
      </c>
      <c r="K352" s="362">
        <v>72.56</v>
      </c>
      <c r="L352" s="65">
        <f t="shared" si="176"/>
        <v>-10.884</v>
      </c>
      <c r="M352" s="65">
        <f t="shared" si="177"/>
        <v>1603.576</v>
      </c>
      <c r="N352" s="65"/>
      <c r="O352" s="65">
        <f t="shared" si="178"/>
        <v>2033.4599999999998</v>
      </c>
      <c r="P352" s="65" t="e">
        <f>IF(B352&lt;&gt;0,VLOOKUP(B352,#REF!,2,FALSE),"")</f>
        <v>#REF!</v>
      </c>
      <c r="Q352" s="2">
        <v>13</v>
      </c>
      <c r="R352" s="62">
        <f t="shared" si="167"/>
        <v>-13</v>
      </c>
      <c r="AD352" s="21"/>
      <c r="AE352" s="481"/>
      <c r="AF352" s="481"/>
      <c r="AG352" s="481"/>
      <c r="AH352" s="481"/>
      <c r="AI352" s="873">
        <f t="shared" si="169"/>
        <v>68.709999999999994</v>
      </c>
      <c r="AJ352" s="26">
        <f t="shared" si="168"/>
        <v>87.13</v>
      </c>
      <c r="AK352" s="26">
        <f t="shared" si="170"/>
        <v>2265.38</v>
      </c>
    </row>
    <row r="353" spans="1:38" ht="60">
      <c r="A353" s="25" t="s">
        <v>968</v>
      </c>
      <c r="B353" s="24" t="s">
        <v>2168</v>
      </c>
      <c r="C353" s="23" t="s">
        <v>170</v>
      </c>
      <c r="D353" s="25" t="s">
        <v>1915</v>
      </c>
      <c r="E353" s="25" t="s">
        <v>52</v>
      </c>
      <c r="F353" s="26">
        <v>13</v>
      </c>
      <c r="G353" s="26">
        <f t="shared" si="175"/>
        <v>54.06</v>
      </c>
      <c r="H353" s="26">
        <f t="shared" si="179"/>
        <v>68.55</v>
      </c>
      <c r="I353" s="26">
        <f t="shared" si="180"/>
        <v>891.15</v>
      </c>
      <c r="J353" s="64">
        <f>'COMPOSIÇÃO DE CUSTOS'!G916</f>
        <v>54.06</v>
      </c>
      <c r="K353" s="362">
        <v>63.6</v>
      </c>
      <c r="L353" s="65">
        <f t="shared" si="176"/>
        <v>-9.5399999999999991</v>
      </c>
      <c r="M353" s="65">
        <f t="shared" si="177"/>
        <v>702.78</v>
      </c>
      <c r="N353" s="65"/>
      <c r="O353" s="65">
        <f t="shared" si="178"/>
        <v>891.15</v>
      </c>
      <c r="P353" s="65" t="e">
        <f>IF(B353&lt;&gt;0,VLOOKUP(B353,#REF!,2,FALSE),"")</f>
        <v>#REF!</v>
      </c>
      <c r="Q353" s="2">
        <v>43</v>
      </c>
      <c r="R353" s="62">
        <f t="shared" si="167"/>
        <v>30</v>
      </c>
      <c r="AD353" s="21"/>
      <c r="AE353" s="481"/>
      <c r="AF353" s="481"/>
      <c r="AG353" s="481"/>
      <c r="AH353" s="481"/>
      <c r="AI353" s="873">
        <f t="shared" si="169"/>
        <v>60.22</v>
      </c>
      <c r="AJ353" s="26">
        <f t="shared" si="168"/>
        <v>76.36</v>
      </c>
      <c r="AK353" s="26">
        <f t="shared" si="170"/>
        <v>992.68</v>
      </c>
    </row>
    <row r="354" spans="1:38" ht="60">
      <c r="A354" s="25" t="s">
        <v>969</v>
      </c>
      <c r="B354" s="24" t="s">
        <v>2165</v>
      </c>
      <c r="C354" s="23" t="s">
        <v>171</v>
      </c>
      <c r="D354" s="25" t="s">
        <v>1915</v>
      </c>
      <c r="E354" s="25" t="s">
        <v>52</v>
      </c>
      <c r="F354" s="26">
        <v>43</v>
      </c>
      <c r="G354" s="26">
        <f t="shared" si="175"/>
        <v>44.302</v>
      </c>
      <c r="H354" s="26">
        <f t="shared" si="179"/>
        <v>56.18</v>
      </c>
      <c r="I354" s="26">
        <f t="shared" si="180"/>
        <v>2415.7399999999998</v>
      </c>
      <c r="J354" s="64">
        <f>'COMPOSIÇÃO DE CUSTOS'!G923</f>
        <v>44.3</v>
      </c>
      <c r="K354" s="362">
        <v>52.12</v>
      </c>
      <c r="L354" s="65">
        <f t="shared" si="176"/>
        <v>-7.8179999999999978</v>
      </c>
      <c r="M354" s="65">
        <f t="shared" si="177"/>
        <v>1904.9859999999999</v>
      </c>
      <c r="N354" s="65"/>
      <c r="O354" s="65">
        <f t="shared" si="178"/>
        <v>2415.7399999999998</v>
      </c>
      <c r="P354" s="65" t="e">
        <f>IF(B354&lt;&gt;0,VLOOKUP(B354,#REF!,2,FALSE),"")</f>
        <v>#REF!</v>
      </c>
      <c r="Q354" s="2">
        <v>26</v>
      </c>
      <c r="R354" s="62">
        <f t="shared" si="167"/>
        <v>-17</v>
      </c>
      <c r="AD354" s="21"/>
      <c r="AE354" s="481"/>
      <c r="AF354" s="481"/>
      <c r="AG354" s="481"/>
      <c r="AH354" s="481"/>
      <c r="AI354" s="873">
        <f t="shared" si="169"/>
        <v>49.35</v>
      </c>
      <c r="AJ354" s="26">
        <f t="shared" si="168"/>
        <v>62.58</v>
      </c>
      <c r="AK354" s="26">
        <f t="shared" si="170"/>
        <v>2690.94</v>
      </c>
    </row>
    <row r="355" spans="1:38" ht="60">
      <c r="A355" s="25" t="s">
        <v>970</v>
      </c>
      <c r="B355" s="24" t="s">
        <v>2166</v>
      </c>
      <c r="C355" s="23" t="s">
        <v>172</v>
      </c>
      <c r="D355" s="25" t="s">
        <v>1915</v>
      </c>
      <c r="E355" s="25" t="s">
        <v>52</v>
      </c>
      <c r="F355" s="26">
        <v>26</v>
      </c>
      <c r="G355" s="26">
        <f t="shared" si="175"/>
        <v>190.58699999999999</v>
      </c>
      <c r="H355" s="26">
        <f t="shared" si="179"/>
        <v>241.68</v>
      </c>
      <c r="I355" s="26">
        <f t="shared" si="180"/>
        <v>6283.68</v>
      </c>
      <c r="J355" s="64">
        <f>'COMPOSIÇÃO DE CUSTOS'!G930</f>
        <v>190.58</v>
      </c>
      <c r="K355" s="362">
        <v>224.22</v>
      </c>
      <c r="L355" s="65">
        <f t="shared" si="176"/>
        <v>-33.63300000000001</v>
      </c>
      <c r="M355" s="65">
        <f t="shared" si="177"/>
        <v>4955.2619999999997</v>
      </c>
      <c r="N355" s="65"/>
      <c r="O355" s="65">
        <f t="shared" si="178"/>
        <v>6283.68</v>
      </c>
      <c r="P355" s="65" t="e">
        <f>IF(B355&lt;&gt;0,VLOOKUP(B355,#REF!,2,FALSE),"")</f>
        <v>#REF!</v>
      </c>
      <c r="Q355" s="2">
        <v>13</v>
      </c>
      <c r="R355" s="62">
        <f t="shared" si="167"/>
        <v>-13</v>
      </c>
      <c r="AD355" s="21"/>
      <c r="AE355" s="481"/>
      <c r="AF355" s="481"/>
      <c r="AG355" s="481"/>
      <c r="AH355" s="481"/>
      <c r="AI355" s="873">
        <f t="shared" si="169"/>
        <v>212.32</v>
      </c>
      <c r="AJ355" s="26">
        <f t="shared" si="168"/>
        <v>269.24</v>
      </c>
      <c r="AK355" s="26">
        <f t="shared" si="170"/>
        <v>7000.24</v>
      </c>
    </row>
    <row r="356" spans="1:38" ht="84.75" customHeight="1">
      <c r="A356" s="25" t="s">
        <v>971</v>
      </c>
      <c r="B356" s="24" t="s">
        <v>2164</v>
      </c>
      <c r="C356" s="23" t="s">
        <v>173</v>
      </c>
      <c r="D356" s="25" t="s">
        <v>1915</v>
      </c>
      <c r="E356" s="25" t="s">
        <v>17</v>
      </c>
      <c r="F356" s="26">
        <v>13</v>
      </c>
      <c r="G356" s="26">
        <f t="shared" si="175"/>
        <v>25.219500000000004</v>
      </c>
      <c r="H356" s="26">
        <f t="shared" si="179"/>
        <v>31.98</v>
      </c>
      <c r="I356" s="26">
        <f t="shared" si="180"/>
        <v>415.74</v>
      </c>
      <c r="J356" s="64">
        <f>'COMPOSIÇÃO DE CUSTOS'!G939</f>
        <v>25.21</v>
      </c>
      <c r="K356" s="362">
        <v>29.67</v>
      </c>
      <c r="L356" s="65">
        <f t="shared" si="176"/>
        <v>-4.4504999999999981</v>
      </c>
      <c r="M356" s="65">
        <f t="shared" si="177"/>
        <v>327.85350000000005</v>
      </c>
      <c r="N356" s="65"/>
      <c r="O356" s="65">
        <f t="shared" si="178"/>
        <v>415.74</v>
      </c>
      <c r="P356" s="65" t="e">
        <f>IF(B356&lt;&gt;0,VLOOKUP(B356,#REF!,2,FALSE),"")</f>
        <v>#REF!</v>
      </c>
      <c r="Q356" s="2">
        <v>6</v>
      </c>
      <c r="R356" s="62">
        <f t="shared" si="167"/>
        <v>-7</v>
      </c>
      <c r="AD356" s="21"/>
      <c r="AE356" s="481"/>
      <c r="AF356" s="481"/>
      <c r="AG356" s="481"/>
      <c r="AH356" s="481"/>
      <c r="AI356" s="873">
        <f t="shared" si="169"/>
        <v>28.09</v>
      </c>
      <c r="AJ356" s="26">
        <f t="shared" si="168"/>
        <v>35.619999999999997</v>
      </c>
      <c r="AK356" s="26">
        <f t="shared" si="170"/>
        <v>463.06</v>
      </c>
    </row>
    <row r="357" spans="1:38" s="45" customFormat="1" ht="26.25" customHeight="1">
      <c r="A357" s="25" t="s">
        <v>972</v>
      </c>
      <c r="B357" s="24">
        <v>672043</v>
      </c>
      <c r="C357" s="23" t="s">
        <v>174</v>
      </c>
      <c r="D357" s="25" t="s">
        <v>1915</v>
      </c>
      <c r="E357" s="25" t="s">
        <v>17</v>
      </c>
      <c r="F357" s="26">
        <v>6</v>
      </c>
      <c r="G357" s="26">
        <f t="shared" si="175"/>
        <v>198.66200000000001</v>
      </c>
      <c r="H357" s="26">
        <f t="shared" si="179"/>
        <v>251.92</v>
      </c>
      <c r="I357" s="26">
        <f t="shared" si="180"/>
        <v>1511.52</v>
      </c>
      <c r="J357" s="64">
        <f>'COMPOSIÇÃO DE CUSTOS'!G946</f>
        <v>198.66</v>
      </c>
      <c r="K357" s="362">
        <v>233.72</v>
      </c>
      <c r="L357" s="65">
        <f t="shared" si="176"/>
        <v>-35.057999999999993</v>
      </c>
      <c r="M357" s="65">
        <f t="shared" si="177"/>
        <v>1191.972</v>
      </c>
      <c r="N357" s="65"/>
      <c r="O357" s="65">
        <f t="shared" si="178"/>
        <v>1511.52</v>
      </c>
      <c r="P357" s="65" t="e">
        <f>IF(B357&lt;&gt;0,VLOOKUP(B357,#REF!,2,FALSE),"")</f>
        <v>#REF!</v>
      </c>
      <c r="Q357" s="45">
        <v>2</v>
      </c>
      <c r="R357" s="62">
        <f t="shared" si="167"/>
        <v>-4</v>
      </c>
      <c r="AD357" s="56"/>
      <c r="AE357" s="481"/>
      <c r="AF357" s="481"/>
      <c r="AG357" s="481"/>
      <c r="AH357" s="481"/>
      <c r="AI357" s="873">
        <f t="shared" si="169"/>
        <v>221.31</v>
      </c>
      <c r="AJ357" s="26">
        <f t="shared" si="168"/>
        <v>280.64</v>
      </c>
      <c r="AK357" s="26">
        <f t="shared" si="170"/>
        <v>1683.84</v>
      </c>
      <c r="AL357" s="724"/>
    </row>
    <row r="358" spans="1:38" ht="15" customHeight="1">
      <c r="A358" s="25" t="s">
        <v>973</v>
      </c>
      <c r="B358" s="24">
        <v>92346</v>
      </c>
      <c r="C358" s="23" t="s">
        <v>1659</v>
      </c>
      <c r="D358" s="25" t="s">
        <v>12</v>
      </c>
      <c r="E358" s="25" t="s">
        <v>17</v>
      </c>
      <c r="F358" s="26">
        <v>2</v>
      </c>
      <c r="G358" s="26">
        <f t="shared" si="175"/>
        <v>57.451500000000003</v>
      </c>
      <c r="H358" s="26">
        <f t="shared" si="179"/>
        <v>72.849999999999994</v>
      </c>
      <c r="I358" s="26">
        <f t="shared" si="180"/>
        <v>145.69999999999999</v>
      </c>
      <c r="J358" s="64" t="e">
        <f>IF(B358&lt;&gt;0,VLOOKUP(B358,#REF!,4,FALSE),"")</f>
        <v>#REF!</v>
      </c>
      <c r="K358" s="362" t="s">
        <v>3290</v>
      </c>
      <c r="L358" s="65">
        <f t="shared" si="176"/>
        <v>-10.138500000000001</v>
      </c>
      <c r="M358" s="65">
        <f t="shared" si="177"/>
        <v>114.90300000000001</v>
      </c>
      <c r="N358" s="65"/>
      <c r="O358" s="65">
        <f t="shared" si="178"/>
        <v>145.69999999999999</v>
      </c>
      <c r="P358" s="65" t="e">
        <f>IF(B358&lt;&gt;0,VLOOKUP(B358,#REF!,2,FALSE),"")</f>
        <v>#REF!</v>
      </c>
      <c r="Q358" s="2">
        <v>1</v>
      </c>
      <c r="R358" s="62">
        <f t="shared" si="167"/>
        <v>-1</v>
      </c>
      <c r="AD358" s="21"/>
      <c r="AE358" s="481"/>
      <c r="AF358" s="481"/>
      <c r="AG358" s="481"/>
      <c r="AH358" s="481"/>
      <c r="AI358" s="873">
        <f t="shared" si="169"/>
        <v>64</v>
      </c>
      <c r="AJ358" s="26">
        <f t="shared" si="168"/>
        <v>81.16</v>
      </c>
      <c r="AK358" s="26">
        <f t="shared" si="170"/>
        <v>162.32</v>
      </c>
    </row>
    <row r="359" spans="1:38" ht="40.5" customHeight="1">
      <c r="A359" s="25" t="s">
        <v>974</v>
      </c>
      <c r="B359" s="24">
        <v>231112</v>
      </c>
      <c r="C359" s="23" t="s">
        <v>175</v>
      </c>
      <c r="D359" s="25" t="s">
        <v>1915</v>
      </c>
      <c r="E359" s="25" t="s">
        <v>17</v>
      </c>
      <c r="F359" s="26">
        <v>1</v>
      </c>
      <c r="G359" s="26">
        <f t="shared" si="175"/>
        <v>170.63749999999999</v>
      </c>
      <c r="H359" s="26">
        <f t="shared" si="179"/>
        <v>216.39</v>
      </c>
      <c r="I359" s="26">
        <f t="shared" si="180"/>
        <v>216.39</v>
      </c>
      <c r="J359" s="64">
        <f>'COMPOSIÇÃO DE CUSTOS'!G953</f>
        <v>170.64</v>
      </c>
      <c r="K359" s="362">
        <v>200.75</v>
      </c>
      <c r="L359" s="65">
        <f t="shared" si="176"/>
        <v>-30.112500000000011</v>
      </c>
      <c r="M359" s="65">
        <f t="shared" si="177"/>
        <v>170.63749999999999</v>
      </c>
      <c r="N359" s="65"/>
      <c r="O359" s="65">
        <f t="shared" si="178"/>
        <v>216.39</v>
      </c>
      <c r="P359" s="65" t="e">
        <f>IF(B359&lt;&gt;0,VLOOKUP(B359,#REF!,2,FALSE),"")</f>
        <v>#REF!</v>
      </c>
      <c r="Q359" s="2">
        <v>41</v>
      </c>
      <c r="R359" s="62">
        <f t="shared" si="167"/>
        <v>40</v>
      </c>
      <c r="AD359" s="21"/>
      <c r="AE359" s="481"/>
      <c r="AF359" s="481"/>
      <c r="AG359" s="481"/>
      <c r="AH359" s="481"/>
      <c r="AI359" s="873">
        <f t="shared" si="169"/>
        <v>190.09</v>
      </c>
      <c r="AJ359" s="26">
        <f t="shared" si="168"/>
        <v>241.05</v>
      </c>
      <c r="AK359" s="26">
        <f t="shared" si="170"/>
        <v>241.05</v>
      </c>
    </row>
    <row r="360" spans="1:38" s="28" customFormat="1" ht="30">
      <c r="A360" s="25" t="s">
        <v>975</v>
      </c>
      <c r="B360" s="24">
        <v>854519</v>
      </c>
      <c r="C360" s="23" t="s">
        <v>176</v>
      </c>
      <c r="D360" s="25" t="s">
        <v>1915</v>
      </c>
      <c r="E360" s="25" t="s">
        <v>17</v>
      </c>
      <c r="F360" s="26">
        <v>41</v>
      </c>
      <c r="G360" s="26">
        <f t="shared" si="175"/>
        <v>45.526000000000003</v>
      </c>
      <c r="H360" s="26">
        <f t="shared" si="179"/>
        <v>57.73</v>
      </c>
      <c r="I360" s="26">
        <f t="shared" si="180"/>
        <v>2366.9299999999998</v>
      </c>
      <c r="J360" s="64">
        <f>'COMPOSIÇÃO DE CUSTOS'!G960</f>
        <v>45.52</v>
      </c>
      <c r="K360" s="362">
        <v>53.56</v>
      </c>
      <c r="L360" s="65">
        <f t="shared" si="176"/>
        <v>-8.0339999999999989</v>
      </c>
      <c r="M360" s="65">
        <f t="shared" si="177"/>
        <v>1866.566</v>
      </c>
      <c r="N360" s="65"/>
      <c r="O360" s="65">
        <f t="shared" si="178"/>
        <v>2366.9299999999998</v>
      </c>
      <c r="P360" s="65" t="e">
        <f>IF(B360&lt;&gt;0,VLOOKUP(B360,#REF!,2,FALSE),"")</f>
        <v>#REF!</v>
      </c>
      <c r="Q360" s="28">
        <v>25</v>
      </c>
      <c r="R360" s="62">
        <f t="shared" si="167"/>
        <v>-16</v>
      </c>
      <c r="AD360" s="370"/>
      <c r="AE360" s="481"/>
      <c r="AF360" s="481"/>
      <c r="AG360" s="481"/>
      <c r="AH360" s="481"/>
      <c r="AI360" s="873">
        <f t="shared" si="169"/>
        <v>50.72</v>
      </c>
      <c r="AJ360" s="26">
        <f t="shared" si="168"/>
        <v>64.319999999999993</v>
      </c>
      <c r="AK360" s="26">
        <f t="shared" si="170"/>
        <v>2637.12</v>
      </c>
      <c r="AL360" s="787"/>
    </row>
    <row r="361" spans="1:38" s="62" customFormat="1" ht="45">
      <c r="A361" s="25" t="s">
        <v>976</v>
      </c>
      <c r="B361" s="24">
        <v>95811</v>
      </c>
      <c r="C361" s="23" t="s">
        <v>1660</v>
      </c>
      <c r="D361" s="25" t="s">
        <v>12</v>
      </c>
      <c r="E361" s="25" t="s">
        <v>17</v>
      </c>
      <c r="F361" s="26">
        <v>25</v>
      </c>
      <c r="G361" s="26">
        <f t="shared" si="175"/>
        <v>10.693</v>
      </c>
      <c r="H361" s="26">
        <f t="shared" si="179"/>
        <v>13.56</v>
      </c>
      <c r="I361" s="26">
        <f t="shared" si="180"/>
        <v>339</v>
      </c>
      <c r="J361" s="64" t="e">
        <f>IF(B361&lt;&gt;0,VLOOKUP(B361,#REF!,4,FALSE),"")</f>
        <v>#REF!</v>
      </c>
      <c r="K361" s="362" t="s">
        <v>3153</v>
      </c>
      <c r="L361" s="65">
        <f t="shared" si="176"/>
        <v>-1.8870000000000005</v>
      </c>
      <c r="M361" s="65">
        <f t="shared" si="177"/>
        <v>267.32499999999999</v>
      </c>
      <c r="N361" s="65"/>
      <c r="O361" s="65">
        <f t="shared" si="178"/>
        <v>339</v>
      </c>
      <c r="P361" s="65" t="e">
        <f>IF(B361&lt;&gt;0,VLOOKUP(B361,#REF!,2,FALSE),"")</f>
        <v>#REF!</v>
      </c>
      <c r="Q361" s="62">
        <v>7</v>
      </c>
      <c r="R361" s="62">
        <f t="shared" si="167"/>
        <v>-18</v>
      </c>
      <c r="AD361" s="221"/>
      <c r="AE361" s="481"/>
      <c r="AF361" s="481"/>
      <c r="AG361" s="481"/>
      <c r="AH361" s="481"/>
      <c r="AI361" s="873">
        <f t="shared" si="169"/>
        <v>11.91</v>
      </c>
      <c r="AJ361" s="26">
        <f t="shared" si="168"/>
        <v>15.1</v>
      </c>
      <c r="AK361" s="26">
        <f t="shared" si="170"/>
        <v>377.5</v>
      </c>
      <c r="AL361" s="224"/>
    </row>
    <row r="362" spans="1:38" s="62" customFormat="1" ht="30">
      <c r="A362" s="25" t="s">
        <v>977</v>
      </c>
      <c r="B362" s="24" t="s">
        <v>2152</v>
      </c>
      <c r="C362" s="23" t="s">
        <v>177</v>
      </c>
      <c r="D362" s="25" t="s">
        <v>1915</v>
      </c>
      <c r="E362" s="25" t="s">
        <v>26</v>
      </c>
      <c r="F362" s="26">
        <v>7</v>
      </c>
      <c r="G362" s="26">
        <f t="shared" si="175"/>
        <v>19.9495</v>
      </c>
      <c r="H362" s="26">
        <f t="shared" si="179"/>
        <v>25.3</v>
      </c>
      <c r="I362" s="26">
        <f t="shared" si="180"/>
        <v>177.1</v>
      </c>
      <c r="J362" s="64">
        <f>'COMPOSIÇÃO DE CUSTOS'!G970</f>
        <v>19.95</v>
      </c>
      <c r="K362" s="362">
        <v>23.47</v>
      </c>
      <c r="L362" s="65">
        <f t="shared" si="176"/>
        <v>-3.5204999999999984</v>
      </c>
      <c r="M362" s="65">
        <f t="shared" si="177"/>
        <v>139.6465</v>
      </c>
      <c r="N362" s="65"/>
      <c r="O362" s="65">
        <f t="shared" si="178"/>
        <v>177.1</v>
      </c>
      <c r="P362" s="65" t="e">
        <f>IF(B362&lt;&gt;0,VLOOKUP(B362,#REF!,2,FALSE),"")</f>
        <v>#REF!</v>
      </c>
      <c r="R362" s="62">
        <f t="shared" si="167"/>
        <v>-7</v>
      </c>
      <c r="AD362" s="221"/>
      <c r="AE362" s="481"/>
      <c r="AF362" s="481"/>
      <c r="AG362" s="481"/>
      <c r="AH362" s="481"/>
      <c r="AI362" s="873">
        <f t="shared" si="169"/>
        <v>22.22</v>
      </c>
      <c r="AJ362" s="26">
        <f t="shared" si="168"/>
        <v>28.18</v>
      </c>
      <c r="AK362" s="26">
        <f t="shared" si="170"/>
        <v>197.26</v>
      </c>
      <c r="AL362" s="224"/>
    </row>
    <row r="363" spans="1:38">
      <c r="A363" s="77" t="s">
        <v>978</v>
      </c>
      <c r="B363" s="139"/>
      <c r="C363" s="340" t="s">
        <v>178</v>
      </c>
      <c r="D363" s="341"/>
      <c r="E363" s="341"/>
      <c r="F363" s="341"/>
      <c r="G363" s="26"/>
      <c r="H363" s="341"/>
      <c r="I363" s="96"/>
      <c r="J363" s="65" t="str">
        <f>IF(B363&lt;&gt;0,VLOOKUP(B363,#REF!,4,FALSE),"")</f>
        <v/>
      </c>
      <c r="K363" s="362" t="s">
        <v>1892</v>
      </c>
      <c r="L363" s="65"/>
      <c r="M363" s="65">
        <f t="shared" si="177"/>
        <v>0</v>
      </c>
      <c r="N363" s="65"/>
      <c r="O363" s="65">
        <f t="shared" si="178"/>
        <v>0</v>
      </c>
      <c r="P363" s="65" t="str">
        <f>IF(B363&lt;&gt;0,VLOOKUP(B363,#REF!,2,FALSE),"")</f>
        <v/>
      </c>
      <c r="Q363" s="2">
        <v>9</v>
      </c>
      <c r="R363" s="62">
        <f t="shared" si="167"/>
        <v>9</v>
      </c>
      <c r="AD363" s="21"/>
      <c r="AE363" s="481"/>
      <c r="AF363" s="481"/>
      <c r="AG363" s="481"/>
      <c r="AH363" s="481"/>
      <c r="AI363" s="873"/>
      <c r="AJ363" s="26"/>
      <c r="AK363" s="26"/>
    </row>
    <row r="364" spans="1:38" ht="90">
      <c r="A364" s="250" t="s">
        <v>3557</v>
      </c>
      <c r="B364" s="24">
        <v>96765</v>
      </c>
      <c r="C364" s="470" t="s">
        <v>3744</v>
      </c>
      <c r="D364" s="25" t="s">
        <v>12</v>
      </c>
      <c r="E364" s="25" t="s">
        <v>17</v>
      </c>
      <c r="F364" s="26">
        <v>9</v>
      </c>
      <c r="G364" s="26">
        <f t="shared" si="175"/>
        <v>1107.992</v>
      </c>
      <c r="H364" s="26">
        <f t="shared" ref="H364:H381" si="181">ROUND(G364*(1+$J$13),2)</f>
        <v>1405.04</v>
      </c>
      <c r="I364" s="26">
        <f t="shared" ref="I364:I381" si="182">ROUND(H364*F364,2)</f>
        <v>12645.36</v>
      </c>
      <c r="J364" s="64" t="e">
        <f>IF(B364&lt;&gt;0,VLOOKUP(B364,#REF!,4,FALSE),"")</f>
        <v>#REF!</v>
      </c>
      <c r="K364" s="362" t="s">
        <v>3265</v>
      </c>
      <c r="L364" s="65">
        <f t="shared" si="176"/>
        <v>-195.52800000000002</v>
      </c>
      <c r="M364" s="65">
        <f t="shared" si="177"/>
        <v>9971.9279999999999</v>
      </c>
      <c r="N364" s="65"/>
      <c r="O364" s="65">
        <f t="shared" si="178"/>
        <v>12645.36</v>
      </c>
      <c r="P364" s="65" t="e">
        <f>IF(B364&lt;&gt;0,VLOOKUP(B364,#REF!,2,FALSE),"")</f>
        <v>#REF!</v>
      </c>
      <c r="Q364" s="2">
        <v>23</v>
      </c>
      <c r="R364" s="62">
        <f t="shared" si="167"/>
        <v>14</v>
      </c>
      <c r="AD364" s="21"/>
      <c r="AE364" s="481"/>
      <c r="AF364" s="481"/>
      <c r="AG364" s="481"/>
      <c r="AH364" s="481"/>
      <c r="AI364" s="873">
        <f t="shared" si="169"/>
        <v>1234.31</v>
      </c>
      <c r="AJ364" s="26">
        <f t="shared" si="168"/>
        <v>1565.23</v>
      </c>
      <c r="AK364" s="26">
        <f t="shared" si="170"/>
        <v>14087.07</v>
      </c>
    </row>
    <row r="365" spans="1:38" ht="30">
      <c r="A365" s="25" t="s">
        <v>979</v>
      </c>
      <c r="B365" s="24">
        <v>102493</v>
      </c>
      <c r="C365" s="23" t="s">
        <v>179</v>
      </c>
      <c r="D365" s="25" t="s">
        <v>12</v>
      </c>
      <c r="E365" s="25" t="s">
        <v>26</v>
      </c>
      <c r="F365" s="26">
        <v>23</v>
      </c>
      <c r="G365" s="26">
        <f t="shared" si="175"/>
        <v>8.7464999999999993</v>
      </c>
      <c r="H365" s="26">
        <f t="shared" si="181"/>
        <v>11.09</v>
      </c>
      <c r="I365" s="26">
        <f t="shared" si="182"/>
        <v>255.07</v>
      </c>
      <c r="J365" s="64" t="e">
        <f>IF(B365&lt;&gt;0,VLOOKUP(B365,#REF!,4,FALSE),"")</f>
        <v>#REF!</v>
      </c>
      <c r="K365" s="362" t="s">
        <v>1858</v>
      </c>
      <c r="L365" s="65">
        <f t="shared" si="176"/>
        <v>-1.5434999999999999</v>
      </c>
      <c r="M365" s="65">
        <f t="shared" si="177"/>
        <v>201.16949999999997</v>
      </c>
      <c r="N365" s="65"/>
      <c r="O365" s="65">
        <f t="shared" si="178"/>
        <v>255.07</v>
      </c>
      <c r="P365" s="65" t="e">
        <f>IF(B365&lt;&gt;0,VLOOKUP(B365,#REF!,2,FALSE),"")</f>
        <v>#REF!</v>
      </c>
      <c r="Q365" s="2">
        <v>2</v>
      </c>
      <c r="R365" s="62">
        <f t="shared" si="167"/>
        <v>-21</v>
      </c>
      <c r="AD365" s="21"/>
      <c r="AE365" s="481"/>
      <c r="AF365" s="481"/>
      <c r="AG365" s="481"/>
      <c r="AH365" s="481"/>
      <c r="AI365" s="873">
        <f t="shared" si="169"/>
        <v>9.74</v>
      </c>
      <c r="AJ365" s="26">
        <f t="shared" si="168"/>
        <v>12.35</v>
      </c>
      <c r="AK365" s="26">
        <f t="shared" si="170"/>
        <v>284.05</v>
      </c>
    </row>
    <row r="366" spans="1:38" ht="30">
      <c r="A366" s="25" t="s">
        <v>980</v>
      </c>
      <c r="B366" s="24">
        <v>11173</v>
      </c>
      <c r="C366" s="23" t="s">
        <v>2022</v>
      </c>
      <c r="D366" s="25" t="s">
        <v>44</v>
      </c>
      <c r="E366" s="25" t="s">
        <v>17</v>
      </c>
      <c r="F366" s="26">
        <v>2</v>
      </c>
      <c r="G366" s="26">
        <f t="shared" si="175"/>
        <v>2172.4810000000002</v>
      </c>
      <c r="H366" s="26">
        <f t="shared" si="181"/>
        <v>2754.92</v>
      </c>
      <c r="I366" s="26">
        <f t="shared" si="182"/>
        <v>5509.84</v>
      </c>
      <c r="J366" s="64">
        <f>'COMPOSIÇÃO DE CUSTOS'!G2246</f>
        <v>2172.48</v>
      </c>
      <c r="K366" s="362">
        <v>2555.86</v>
      </c>
      <c r="L366" s="65">
        <f t="shared" si="176"/>
        <v>-383.37899999999991</v>
      </c>
      <c r="M366" s="65">
        <f t="shared" si="177"/>
        <v>4344.9620000000004</v>
      </c>
      <c r="N366" s="65"/>
      <c r="O366" s="65">
        <f t="shared" si="178"/>
        <v>5509.84</v>
      </c>
      <c r="P366" s="65" t="e">
        <f>IF(B366&lt;&gt;0,VLOOKUP(B366,#REF!,2,FALSE),"")</f>
        <v>#REF!</v>
      </c>
      <c r="Q366" s="2">
        <v>12</v>
      </c>
      <c r="R366" s="62">
        <f t="shared" si="167"/>
        <v>10</v>
      </c>
      <c r="AD366" s="21"/>
      <c r="AE366" s="481"/>
      <c r="AF366" s="481"/>
      <c r="AG366" s="481"/>
      <c r="AH366" s="481"/>
      <c r="AI366" s="873">
        <f t="shared" si="169"/>
        <v>2420.16</v>
      </c>
      <c r="AJ366" s="26">
        <f t="shared" si="168"/>
        <v>3069</v>
      </c>
      <c r="AK366" s="26">
        <f t="shared" si="170"/>
        <v>6138</v>
      </c>
    </row>
    <row r="367" spans="1:38" s="62" customFormat="1" ht="30">
      <c r="A367" s="25" t="s">
        <v>2725</v>
      </c>
      <c r="B367" s="24">
        <v>101908</v>
      </c>
      <c r="C367" s="23" t="s">
        <v>180</v>
      </c>
      <c r="D367" s="25" t="s">
        <v>12</v>
      </c>
      <c r="E367" s="25" t="s">
        <v>17</v>
      </c>
      <c r="F367" s="26">
        <v>12</v>
      </c>
      <c r="G367" s="26">
        <f t="shared" si="175"/>
        <v>154.55550000000002</v>
      </c>
      <c r="H367" s="26">
        <f t="shared" si="181"/>
        <v>195.99</v>
      </c>
      <c r="I367" s="26">
        <f t="shared" si="182"/>
        <v>2351.88</v>
      </c>
      <c r="J367" s="64" t="e">
        <f>IF(B367&lt;&gt;0,VLOOKUP(B367,#REF!,4,FALSE),"")</f>
        <v>#REF!</v>
      </c>
      <c r="K367" s="362" t="s">
        <v>3267</v>
      </c>
      <c r="L367" s="65">
        <f t="shared" si="176"/>
        <v>-27.274499999999989</v>
      </c>
      <c r="M367" s="65">
        <f t="shared" si="177"/>
        <v>1854.6660000000002</v>
      </c>
      <c r="N367" s="65"/>
      <c r="O367" s="65">
        <f t="shared" si="178"/>
        <v>2351.88</v>
      </c>
      <c r="P367" s="65" t="e">
        <f>IF(B367&lt;&gt;0,VLOOKUP(B367,#REF!,2,FALSE),"")</f>
        <v>#REF!</v>
      </c>
      <c r="Q367" s="62">
        <v>2</v>
      </c>
      <c r="R367" s="62">
        <f t="shared" si="167"/>
        <v>-10</v>
      </c>
      <c r="AD367" s="221"/>
      <c r="AE367" s="481"/>
      <c r="AF367" s="481"/>
      <c r="AG367" s="481"/>
      <c r="AH367" s="481"/>
      <c r="AI367" s="873">
        <f t="shared" si="169"/>
        <v>172.18</v>
      </c>
      <c r="AJ367" s="26">
        <f t="shared" si="168"/>
        <v>218.34</v>
      </c>
      <c r="AK367" s="26">
        <f t="shared" si="170"/>
        <v>2620.08</v>
      </c>
      <c r="AL367" s="224"/>
    </row>
    <row r="368" spans="1:38" s="62" customFormat="1" ht="30">
      <c r="A368" s="25" t="s">
        <v>2726</v>
      </c>
      <c r="B368" s="24">
        <v>101907</v>
      </c>
      <c r="C368" s="23" t="s">
        <v>181</v>
      </c>
      <c r="D368" s="25" t="s">
        <v>12</v>
      </c>
      <c r="E368" s="25" t="s">
        <v>17</v>
      </c>
      <c r="F368" s="26">
        <v>2</v>
      </c>
      <c r="G368" s="26">
        <f t="shared" si="175"/>
        <v>516.0095</v>
      </c>
      <c r="H368" s="26">
        <f t="shared" si="181"/>
        <v>654.35</v>
      </c>
      <c r="I368" s="26">
        <f t="shared" si="182"/>
        <v>1308.7</v>
      </c>
      <c r="J368" s="64" t="e">
        <f>IF(B368&lt;&gt;0,VLOOKUP(B368,#REF!,4,FALSE),"")</f>
        <v>#REF!</v>
      </c>
      <c r="K368" s="362" t="s">
        <v>3266</v>
      </c>
      <c r="L368" s="65">
        <f t="shared" si="176"/>
        <v>-91.060500000000047</v>
      </c>
      <c r="M368" s="65">
        <f t="shared" si="177"/>
        <v>1032.019</v>
      </c>
      <c r="N368" s="65"/>
      <c r="O368" s="65">
        <f t="shared" si="178"/>
        <v>1308.7</v>
      </c>
      <c r="P368" s="65" t="e">
        <f>IF(B368&lt;&gt;0,VLOOKUP(B368,#REF!,2,FALSE),"")</f>
        <v>#REF!</v>
      </c>
      <c r="Q368" s="62">
        <v>1</v>
      </c>
      <c r="R368" s="62">
        <f t="shared" si="167"/>
        <v>-1</v>
      </c>
      <c r="AD368" s="221"/>
      <c r="AE368" s="481"/>
      <c r="AF368" s="481"/>
      <c r="AG368" s="481"/>
      <c r="AH368" s="481"/>
      <c r="AI368" s="873">
        <f t="shared" si="169"/>
        <v>574.84</v>
      </c>
      <c r="AJ368" s="26">
        <f t="shared" si="168"/>
        <v>728.95</v>
      </c>
      <c r="AK368" s="26">
        <f t="shared" si="170"/>
        <v>1457.9</v>
      </c>
      <c r="AL368" s="224"/>
    </row>
    <row r="369" spans="1:38" s="62" customFormat="1" ht="30">
      <c r="A369" s="25" t="s">
        <v>2727</v>
      </c>
      <c r="B369" s="24" t="s">
        <v>2216</v>
      </c>
      <c r="C369" s="23" t="s">
        <v>182</v>
      </c>
      <c r="D369" s="25" t="s">
        <v>70</v>
      </c>
      <c r="E369" s="25" t="s">
        <v>17</v>
      </c>
      <c r="F369" s="26">
        <v>1</v>
      </c>
      <c r="G369" s="26">
        <f t="shared" si="175"/>
        <v>600.79700000000003</v>
      </c>
      <c r="H369" s="26">
        <f t="shared" si="181"/>
        <v>761.87</v>
      </c>
      <c r="I369" s="26">
        <f t="shared" si="182"/>
        <v>761.87</v>
      </c>
      <c r="J369" s="64">
        <f>'COMPOSIÇÃO DE CUSTOS'!G978</f>
        <v>600.79</v>
      </c>
      <c r="K369" s="362">
        <v>706.82</v>
      </c>
      <c r="L369" s="65">
        <f t="shared" si="176"/>
        <v>-106.02300000000002</v>
      </c>
      <c r="M369" s="65">
        <f t="shared" si="177"/>
        <v>600.79700000000003</v>
      </c>
      <c r="N369" s="65"/>
      <c r="O369" s="65">
        <f t="shared" si="178"/>
        <v>761.87</v>
      </c>
      <c r="P369" s="65" t="e">
        <f>IF(B369&lt;&gt;0,VLOOKUP(B369,#REF!,2,FALSE),"")</f>
        <v>#REF!</v>
      </c>
      <c r="Q369" s="62">
        <v>1</v>
      </c>
      <c r="R369" s="62">
        <f t="shared" si="167"/>
        <v>0</v>
      </c>
      <c r="AD369" s="221"/>
      <c r="AE369" s="481"/>
      <c r="AF369" s="481"/>
      <c r="AG369" s="481"/>
      <c r="AH369" s="481"/>
      <c r="AI369" s="873">
        <f t="shared" si="169"/>
        <v>669.29</v>
      </c>
      <c r="AJ369" s="26">
        <f t="shared" si="168"/>
        <v>848.73</v>
      </c>
      <c r="AK369" s="26">
        <f t="shared" si="170"/>
        <v>848.73</v>
      </c>
      <c r="AL369" s="224"/>
    </row>
    <row r="370" spans="1:38">
      <c r="A370" s="25" t="s">
        <v>2728</v>
      </c>
      <c r="B370" s="24" t="s">
        <v>2215</v>
      </c>
      <c r="C370" s="23" t="s">
        <v>183</v>
      </c>
      <c r="D370" s="25" t="s">
        <v>70</v>
      </c>
      <c r="E370" s="25" t="s">
        <v>17</v>
      </c>
      <c r="F370" s="26">
        <v>1</v>
      </c>
      <c r="G370" s="26">
        <f t="shared" si="175"/>
        <v>692.94550000000004</v>
      </c>
      <c r="H370" s="26">
        <f t="shared" si="181"/>
        <v>878.72</v>
      </c>
      <c r="I370" s="26">
        <f t="shared" si="182"/>
        <v>878.72</v>
      </c>
      <c r="J370" s="64">
        <f>'COMPOSIÇÃO DE CUSTOS'!G984</f>
        <v>692.95</v>
      </c>
      <c r="K370" s="362">
        <v>815.23</v>
      </c>
      <c r="L370" s="65">
        <f t="shared" si="176"/>
        <v>-122.28449999999998</v>
      </c>
      <c r="M370" s="65">
        <f t="shared" si="177"/>
        <v>692.94550000000004</v>
      </c>
      <c r="N370" s="65"/>
      <c r="O370" s="65">
        <f t="shared" si="178"/>
        <v>878.72</v>
      </c>
      <c r="P370" s="65" t="e">
        <f>IF(B370&lt;&gt;0,VLOOKUP(B370,#REF!,2,FALSE),"")</f>
        <v>#REF!</v>
      </c>
      <c r="Q370" s="2">
        <v>1</v>
      </c>
      <c r="R370" s="62">
        <f t="shared" si="167"/>
        <v>0</v>
      </c>
      <c r="AD370" s="21"/>
      <c r="AE370" s="481"/>
      <c r="AF370" s="481"/>
      <c r="AG370" s="481"/>
      <c r="AH370" s="481"/>
      <c r="AI370" s="873">
        <f t="shared" si="169"/>
        <v>771.95</v>
      </c>
      <c r="AJ370" s="26">
        <f t="shared" si="168"/>
        <v>978.91</v>
      </c>
      <c r="AK370" s="26">
        <f t="shared" si="170"/>
        <v>978.91</v>
      </c>
    </row>
    <row r="371" spans="1:38" ht="45">
      <c r="A371" s="25" t="s">
        <v>2729</v>
      </c>
      <c r="B371" s="24">
        <v>427003</v>
      </c>
      <c r="C371" s="23" t="s">
        <v>184</v>
      </c>
      <c r="D371" s="25" t="s">
        <v>1915</v>
      </c>
      <c r="E371" s="25" t="s">
        <v>17</v>
      </c>
      <c r="F371" s="26">
        <v>1</v>
      </c>
      <c r="G371" s="26">
        <f t="shared" si="175"/>
        <v>76.491500000000002</v>
      </c>
      <c r="H371" s="26">
        <f t="shared" si="181"/>
        <v>97</v>
      </c>
      <c r="I371" s="26">
        <f t="shared" si="182"/>
        <v>97</v>
      </c>
      <c r="J371" s="64">
        <f>'COMPOSIÇÃO DE CUSTOS'!G991</f>
        <v>76.48</v>
      </c>
      <c r="K371" s="362">
        <v>89.99</v>
      </c>
      <c r="L371" s="65">
        <f t="shared" si="176"/>
        <v>-13.498499999999993</v>
      </c>
      <c r="M371" s="65">
        <f t="shared" si="177"/>
        <v>76.491500000000002</v>
      </c>
      <c r="N371" s="65"/>
      <c r="O371" s="65">
        <f t="shared" si="178"/>
        <v>97</v>
      </c>
      <c r="P371" s="65" t="e">
        <f>IF(B371&lt;&gt;0,VLOOKUP(B371,#REF!,2,FALSE),"")</f>
        <v>#REF!</v>
      </c>
      <c r="Q371" s="2">
        <v>9</v>
      </c>
      <c r="R371" s="62">
        <f t="shared" si="167"/>
        <v>8</v>
      </c>
      <c r="AD371" s="21"/>
      <c r="AE371" s="481"/>
      <c r="AF371" s="481"/>
      <c r="AG371" s="481"/>
      <c r="AH371" s="481"/>
      <c r="AI371" s="873">
        <f t="shared" si="169"/>
        <v>85.21</v>
      </c>
      <c r="AJ371" s="26">
        <f t="shared" si="168"/>
        <v>108.05</v>
      </c>
      <c r="AK371" s="26">
        <f t="shared" si="170"/>
        <v>108.05</v>
      </c>
    </row>
    <row r="372" spans="1:38" s="62" customFormat="1" ht="75">
      <c r="A372" s="25" t="s">
        <v>2730</v>
      </c>
      <c r="B372" s="24">
        <v>94499</v>
      </c>
      <c r="C372" s="23" t="s">
        <v>1661</v>
      </c>
      <c r="D372" s="25" t="s">
        <v>12</v>
      </c>
      <c r="E372" s="25" t="s">
        <v>17</v>
      </c>
      <c r="F372" s="26">
        <v>9</v>
      </c>
      <c r="G372" s="26">
        <f t="shared" si="175"/>
        <v>207.03449999999998</v>
      </c>
      <c r="H372" s="26">
        <f t="shared" si="181"/>
        <v>262.54000000000002</v>
      </c>
      <c r="I372" s="26">
        <f t="shared" si="182"/>
        <v>2362.86</v>
      </c>
      <c r="J372" s="65" t="e">
        <f>IF(B372&lt;&gt;0,VLOOKUP(B372,#REF!,4,FALSE),"")</f>
        <v>#REF!</v>
      </c>
      <c r="K372" s="362" t="s">
        <v>3302</v>
      </c>
      <c r="L372" s="65">
        <f t="shared" si="176"/>
        <v>-36.535500000000013</v>
      </c>
      <c r="M372" s="65">
        <f t="shared" si="177"/>
        <v>1863.3104999999998</v>
      </c>
      <c r="N372" s="65"/>
      <c r="O372" s="65">
        <f t="shared" si="178"/>
        <v>2362.86</v>
      </c>
      <c r="P372" s="65" t="e">
        <f>IF(B372&lt;&gt;0,VLOOKUP(B372,#REF!,2,FALSE),"")</f>
        <v>#REF!</v>
      </c>
      <c r="Q372" s="62">
        <v>1</v>
      </c>
      <c r="R372" s="62">
        <f t="shared" si="167"/>
        <v>-8</v>
      </c>
      <c r="AD372" s="221"/>
      <c r="AE372" s="481"/>
      <c r="AF372" s="481"/>
      <c r="AG372" s="481"/>
      <c r="AH372" s="481"/>
      <c r="AI372" s="873">
        <f t="shared" si="169"/>
        <v>230.64</v>
      </c>
      <c r="AJ372" s="26">
        <f t="shared" si="168"/>
        <v>292.47000000000003</v>
      </c>
      <c r="AK372" s="26">
        <f t="shared" si="170"/>
        <v>2632.23</v>
      </c>
      <c r="AL372" s="224"/>
    </row>
    <row r="373" spans="1:38" s="62" customFormat="1" ht="30">
      <c r="A373" s="25" t="s">
        <v>2731</v>
      </c>
      <c r="B373" s="24">
        <v>99624</v>
      </c>
      <c r="C373" s="23" t="s">
        <v>185</v>
      </c>
      <c r="D373" s="25" t="s">
        <v>12</v>
      </c>
      <c r="E373" s="25" t="s">
        <v>17</v>
      </c>
      <c r="F373" s="26">
        <v>1</v>
      </c>
      <c r="G373" s="26">
        <f t="shared" si="175"/>
        <v>337.80700000000002</v>
      </c>
      <c r="H373" s="26">
        <f t="shared" si="181"/>
        <v>428.37</v>
      </c>
      <c r="I373" s="26">
        <f t="shared" si="182"/>
        <v>428.37</v>
      </c>
      <c r="J373" s="64" t="e">
        <f>IF(B373&lt;&gt;0,VLOOKUP(B373,#REF!,4,FALSE),"")</f>
        <v>#REF!</v>
      </c>
      <c r="K373" s="362" t="s">
        <v>3305</v>
      </c>
      <c r="L373" s="65">
        <f t="shared" si="176"/>
        <v>-59.613</v>
      </c>
      <c r="M373" s="65">
        <f t="shared" si="177"/>
        <v>337.80700000000002</v>
      </c>
      <c r="N373" s="65"/>
      <c r="O373" s="65">
        <f t="shared" si="178"/>
        <v>428.37</v>
      </c>
      <c r="P373" s="65" t="e">
        <f>IF(B373&lt;&gt;0,VLOOKUP(B373,#REF!,2,FALSE),"")</f>
        <v>#REF!</v>
      </c>
      <c r="Q373" s="62">
        <v>1</v>
      </c>
      <c r="R373" s="62">
        <f t="shared" si="167"/>
        <v>0</v>
      </c>
      <c r="AD373" s="221"/>
      <c r="AE373" s="481"/>
      <c r="AF373" s="481"/>
      <c r="AG373" s="481"/>
      <c r="AH373" s="481"/>
      <c r="AI373" s="873">
        <f t="shared" si="169"/>
        <v>376.32</v>
      </c>
      <c r="AJ373" s="26">
        <f t="shared" si="168"/>
        <v>477.21</v>
      </c>
      <c r="AK373" s="26">
        <f t="shared" si="170"/>
        <v>477.21</v>
      </c>
      <c r="AL373" s="224"/>
    </row>
    <row r="374" spans="1:38" s="28" customFormat="1" ht="38.25" customHeight="1">
      <c r="A374" s="25" t="s">
        <v>2732</v>
      </c>
      <c r="B374" s="24">
        <v>12899</v>
      </c>
      <c r="C374" s="23" t="s">
        <v>186</v>
      </c>
      <c r="D374" s="25" t="s">
        <v>12</v>
      </c>
      <c r="E374" s="25" t="s">
        <v>17</v>
      </c>
      <c r="F374" s="26">
        <v>1</v>
      </c>
      <c r="G374" s="26">
        <f t="shared" si="175"/>
        <v>75.845500000000001</v>
      </c>
      <c r="H374" s="26">
        <f t="shared" si="181"/>
        <v>96.18</v>
      </c>
      <c r="I374" s="26">
        <f t="shared" si="182"/>
        <v>96.18</v>
      </c>
      <c r="J374" s="64" t="e">
        <f>IF(B374&lt;&gt;0,VLOOKUP(B374,#REF!,4,FALSE),"")</f>
        <v>#REF!</v>
      </c>
      <c r="K374" s="362" t="s">
        <v>3121</v>
      </c>
      <c r="L374" s="65">
        <f t="shared" si="176"/>
        <v>-13.384500000000003</v>
      </c>
      <c r="M374" s="65">
        <f t="shared" si="177"/>
        <v>75.845500000000001</v>
      </c>
      <c r="N374" s="65"/>
      <c r="O374" s="65">
        <f t="shared" si="178"/>
        <v>96.18</v>
      </c>
      <c r="P374" s="65" t="e">
        <f>IF(B374&lt;&gt;0,VLOOKUP(B374,#REF!,2,FALSE),"")</f>
        <v>#REF!</v>
      </c>
      <c r="Q374" s="28">
        <v>12</v>
      </c>
      <c r="R374" s="62">
        <f t="shared" si="167"/>
        <v>11</v>
      </c>
      <c r="AD374" s="370"/>
      <c r="AE374" s="481"/>
      <c r="AF374" s="481"/>
      <c r="AG374" s="481"/>
      <c r="AH374" s="481"/>
      <c r="AI374" s="873">
        <f t="shared" si="169"/>
        <v>84.49</v>
      </c>
      <c r="AJ374" s="26">
        <f t="shared" si="168"/>
        <v>107.14</v>
      </c>
      <c r="AK374" s="26">
        <f t="shared" si="170"/>
        <v>107.14</v>
      </c>
      <c r="AL374" s="787"/>
    </row>
    <row r="375" spans="1:38" s="28" customFormat="1" ht="30">
      <c r="A375" s="25" t="s">
        <v>2733</v>
      </c>
      <c r="B375" s="24">
        <v>11824</v>
      </c>
      <c r="C375" s="23" t="s">
        <v>1980</v>
      </c>
      <c r="D375" s="25" t="s">
        <v>44</v>
      </c>
      <c r="E375" s="25" t="s">
        <v>17</v>
      </c>
      <c r="F375" s="26">
        <v>12</v>
      </c>
      <c r="G375" s="26">
        <f t="shared" si="175"/>
        <v>142.3835</v>
      </c>
      <c r="H375" s="26">
        <f t="shared" si="181"/>
        <v>180.56</v>
      </c>
      <c r="I375" s="26">
        <f t="shared" si="182"/>
        <v>2166.7199999999998</v>
      </c>
      <c r="J375" s="64">
        <f>'COMPOSIÇÃO DE CUSTOS'!G2045</f>
        <v>142.38</v>
      </c>
      <c r="K375" s="362">
        <v>167.51</v>
      </c>
      <c r="L375" s="65">
        <f t="shared" si="176"/>
        <v>-25.126499999999993</v>
      </c>
      <c r="M375" s="65">
        <f t="shared" si="177"/>
        <v>1708.6019999999999</v>
      </c>
      <c r="N375" s="65"/>
      <c r="O375" s="65">
        <f t="shared" si="178"/>
        <v>2166.7200000000003</v>
      </c>
      <c r="P375" s="65" t="e">
        <f>IF(B375&lt;&gt;0,VLOOKUP(B375,#REF!,2,FALSE),"")</f>
        <v>#REF!</v>
      </c>
      <c r="Q375" s="28">
        <v>285</v>
      </c>
      <c r="R375" s="62">
        <f t="shared" si="167"/>
        <v>273</v>
      </c>
      <c r="AD375" s="370"/>
      <c r="AE375" s="481"/>
      <c r="AF375" s="481"/>
      <c r="AG375" s="481"/>
      <c r="AH375" s="481"/>
      <c r="AI375" s="873">
        <f t="shared" si="169"/>
        <v>158.62</v>
      </c>
      <c r="AJ375" s="26">
        <f t="shared" si="168"/>
        <v>201.15</v>
      </c>
      <c r="AK375" s="26">
        <f t="shared" si="170"/>
        <v>2413.8000000000002</v>
      </c>
      <c r="AL375" s="787"/>
    </row>
    <row r="376" spans="1:38" s="34" customFormat="1" ht="30">
      <c r="A376" s="472" t="s">
        <v>2734</v>
      </c>
      <c r="B376" s="475">
        <v>9973</v>
      </c>
      <c r="C376" s="471" t="s">
        <v>187</v>
      </c>
      <c r="D376" s="472" t="s">
        <v>44</v>
      </c>
      <c r="E376" s="472" t="s">
        <v>17</v>
      </c>
      <c r="F376" s="473">
        <v>285</v>
      </c>
      <c r="G376" s="473">
        <f t="shared" si="175"/>
        <v>118.02249999999999</v>
      </c>
      <c r="H376" s="473">
        <f t="shared" si="181"/>
        <v>149.66</v>
      </c>
      <c r="I376" s="473">
        <f t="shared" si="182"/>
        <v>42653.1</v>
      </c>
      <c r="J376" s="474">
        <f>'COMPOSIÇÃO DE CUSTOS'!G998</f>
        <v>118.02</v>
      </c>
      <c r="K376" s="378">
        <v>138.85</v>
      </c>
      <c r="L376" s="47">
        <f t="shared" si="176"/>
        <v>-20.827500000000001</v>
      </c>
      <c r="M376" s="47">
        <f t="shared" si="177"/>
        <v>33636.412499999999</v>
      </c>
      <c r="N376" s="47"/>
      <c r="O376" s="47">
        <f t="shared" si="178"/>
        <v>42653.1</v>
      </c>
      <c r="P376" s="47" t="e">
        <f>IF(B376&lt;&gt;0,VLOOKUP(B376,#REF!,2,FALSE),"")</f>
        <v>#REF!</v>
      </c>
      <c r="Q376" s="34">
        <v>28</v>
      </c>
      <c r="R376" s="34">
        <f t="shared" si="167"/>
        <v>-257</v>
      </c>
      <c r="AD376" s="577"/>
      <c r="AE376" s="502"/>
      <c r="AF376" s="502"/>
      <c r="AG376" s="502"/>
      <c r="AH376" s="502"/>
      <c r="AI376" s="872">
        <f>AL376</f>
        <v>55.07</v>
      </c>
      <c r="AJ376" s="473">
        <f>ROUND(AI376*(1+$J$13),2)</f>
        <v>69.83</v>
      </c>
      <c r="AK376" s="473">
        <f>ROUND(AJ376*F376,2)</f>
        <v>19901.55</v>
      </c>
      <c r="AL376" s="788">
        <f>'PLANILHA ORÇA - CORREGEDORIA'!BG420</f>
        <v>55.07</v>
      </c>
    </row>
    <row r="377" spans="1:38" s="45" customFormat="1" ht="30">
      <c r="A377" s="25" t="s">
        <v>2735</v>
      </c>
      <c r="B377" s="24">
        <v>12895</v>
      </c>
      <c r="C377" s="23" t="s">
        <v>1978</v>
      </c>
      <c r="D377" s="25" t="s">
        <v>44</v>
      </c>
      <c r="E377" s="25" t="s">
        <v>17</v>
      </c>
      <c r="F377" s="26">
        <v>28</v>
      </c>
      <c r="G377" s="26">
        <f t="shared" si="175"/>
        <v>10.863</v>
      </c>
      <c r="H377" s="26">
        <f t="shared" si="181"/>
        <v>13.78</v>
      </c>
      <c r="I377" s="26">
        <f t="shared" si="182"/>
        <v>385.84</v>
      </c>
      <c r="J377" s="64">
        <f>'COMPOSIÇÃO DE CUSTOS'!G2038</f>
        <v>10.86</v>
      </c>
      <c r="K377" s="362">
        <v>12.78</v>
      </c>
      <c r="L377" s="65">
        <f t="shared" si="176"/>
        <v>-1.9169999999999998</v>
      </c>
      <c r="M377" s="65">
        <f t="shared" si="177"/>
        <v>304.16399999999999</v>
      </c>
      <c r="N377" s="65"/>
      <c r="O377" s="65">
        <f t="shared" si="178"/>
        <v>385.84</v>
      </c>
      <c r="P377" s="65" t="e">
        <f>IF(B377&lt;&gt;0,VLOOKUP(B377,#REF!,2,FALSE),"")</f>
        <v>#REF!</v>
      </c>
      <c r="Q377" s="45">
        <v>17</v>
      </c>
      <c r="R377" s="62">
        <f t="shared" ref="R377:R433" si="183">Q377-F377</f>
        <v>-11</v>
      </c>
      <c r="AD377" s="56"/>
      <c r="AE377" s="481"/>
      <c r="AF377" s="481"/>
      <c r="AG377" s="481"/>
      <c r="AH377" s="481"/>
      <c r="AI377" s="873">
        <f t="shared" ref="AI377:AI381" si="184">ROUND(G377*$AM$11,2)</f>
        <v>12.1</v>
      </c>
      <c r="AJ377" s="26">
        <f t="shared" si="168"/>
        <v>15.34</v>
      </c>
      <c r="AK377" s="26">
        <f t="shared" ref="AK377:AK381" si="185">ROUND(AJ377*F377,2)</f>
        <v>429.52</v>
      </c>
      <c r="AL377" s="724"/>
    </row>
    <row r="378" spans="1:38">
      <c r="A378" s="25" t="s">
        <v>2736</v>
      </c>
      <c r="B378" s="24">
        <v>115031</v>
      </c>
      <c r="C378" s="23" t="s">
        <v>188</v>
      </c>
      <c r="D378" s="25" t="s">
        <v>1915</v>
      </c>
      <c r="E378" s="25" t="s">
        <v>17</v>
      </c>
      <c r="F378" s="26">
        <v>17</v>
      </c>
      <c r="G378" s="26">
        <f t="shared" si="175"/>
        <v>11.849</v>
      </c>
      <c r="H378" s="26">
        <f t="shared" si="181"/>
        <v>15.03</v>
      </c>
      <c r="I378" s="26">
        <f t="shared" si="182"/>
        <v>255.51</v>
      </c>
      <c r="J378" s="64">
        <f>'COMPOSIÇÃO DE CUSTOS'!G1005</f>
        <v>11.85</v>
      </c>
      <c r="K378" s="362">
        <v>13.94</v>
      </c>
      <c r="L378" s="65">
        <f t="shared" si="176"/>
        <v>-2.0909999999999993</v>
      </c>
      <c r="M378" s="65">
        <f t="shared" si="177"/>
        <v>201.43299999999999</v>
      </c>
      <c r="N378" s="65"/>
      <c r="O378" s="65">
        <f t="shared" si="178"/>
        <v>255.51</v>
      </c>
      <c r="P378" s="65" t="e">
        <f>IF(B378&lt;&gt;0,VLOOKUP(B378,#REF!,2,FALSE),"")</f>
        <v>#REF!</v>
      </c>
      <c r="Q378" s="2">
        <v>1</v>
      </c>
      <c r="R378" s="62">
        <f t="shared" si="183"/>
        <v>-16</v>
      </c>
      <c r="AD378" s="21"/>
      <c r="AE378" s="481"/>
      <c r="AF378" s="481"/>
      <c r="AG378" s="481"/>
      <c r="AH378" s="481"/>
      <c r="AI378" s="873">
        <f t="shared" si="184"/>
        <v>13.2</v>
      </c>
      <c r="AJ378" s="26">
        <f t="shared" si="168"/>
        <v>16.739999999999998</v>
      </c>
      <c r="AK378" s="26">
        <f t="shared" si="185"/>
        <v>284.58</v>
      </c>
    </row>
    <row r="379" spans="1:38">
      <c r="A379" s="25" t="s">
        <v>2737</v>
      </c>
      <c r="B379" s="24">
        <v>388251</v>
      </c>
      <c r="C379" s="23" t="s">
        <v>189</v>
      </c>
      <c r="D379" s="25" t="s">
        <v>1915</v>
      </c>
      <c r="E379" s="25" t="s">
        <v>17</v>
      </c>
      <c r="F379" s="26">
        <v>1</v>
      </c>
      <c r="G379" s="26">
        <f t="shared" si="175"/>
        <v>2444.8634999999999</v>
      </c>
      <c r="H379" s="26">
        <f t="shared" si="181"/>
        <v>3100.33</v>
      </c>
      <c r="I379" s="26">
        <f t="shared" si="182"/>
        <v>3100.33</v>
      </c>
      <c r="J379" s="64">
        <f>'COMPOSIÇÃO DE CUSTOS'!G1012</f>
        <v>2444.87</v>
      </c>
      <c r="K379" s="362">
        <v>2876.31</v>
      </c>
      <c r="L379" s="65">
        <f t="shared" si="176"/>
        <v>-431.44650000000001</v>
      </c>
      <c r="M379" s="65">
        <f t="shared" si="177"/>
        <v>2444.8634999999999</v>
      </c>
      <c r="N379" s="65"/>
      <c r="O379" s="65">
        <f t="shared" si="178"/>
        <v>3100.33</v>
      </c>
      <c r="P379" s="65" t="e">
        <f>IF(B379&lt;&gt;0,VLOOKUP(B379,#REF!,2,FALSE),"")</f>
        <v>#REF!</v>
      </c>
      <c r="Q379" s="2">
        <v>17</v>
      </c>
      <c r="R379" s="62">
        <f t="shared" si="183"/>
        <v>16</v>
      </c>
      <c r="AD379" s="21"/>
      <c r="AE379" s="481"/>
      <c r="AF379" s="481"/>
      <c r="AG379" s="481"/>
      <c r="AH379" s="481"/>
      <c r="AI379" s="873">
        <f t="shared" si="184"/>
        <v>2723.6</v>
      </c>
      <c r="AJ379" s="26">
        <f t="shared" si="168"/>
        <v>3453.8</v>
      </c>
      <c r="AK379" s="26">
        <f t="shared" si="185"/>
        <v>3453.8</v>
      </c>
    </row>
    <row r="380" spans="1:38" s="28" customFormat="1" ht="45">
      <c r="A380" s="25" t="s">
        <v>2738</v>
      </c>
      <c r="B380" s="24">
        <v>95777</v>
      </c>
      <c r="C380" s="23" t="s">
        <v>1662</v>
      </c>
      <c r="D380" s="25" t="s">
        <v>12</v>
      </c>
      <c r="E380" s="25" t="s">
        <v>17</v>
      </c>
      <c r="F380" s="26">
        <v>17</v>
      </c>
      <c r="G380" s="26">
        <f t="shared" si="175"/>
        <v>18.750999999999998</v>
      </c>
      <c r="H380" s="26">
        <f t="shared" si="181"/>
        <v>23.78</v>
      </c>
      <c r="I380" s="26">
        <f t="shared" si="182"/>
        <v>404.26</v>
      </c>
      <c r="J380" s="64" t="e">
        <f>IF(B380&lt;&gt;0,VLOOKUP(B380,#REF!,4,FALSE),"")</f>
        <v>#REF!</v>
      </c>
      <c r="K380" s="362" t="s">
        <v>3237</v>
      </c>
      <c r="L380" s="65">
        <f t="shared" si="176"/>
        <v>-3.3090000000000011</v>
      </c>
      <c r="M380" s="65">
        <f t="shared" si="177"/>
        <v>318.76699999999994</v>
      </c>
      <c r="N380" s="65"/>
      <c r="O380" s="65">
        <f t="shared" si="178"/>
        <v>404.26</v>
      </c>
      <c r="P380" s="65" t="e">
        <f>IF(B380&lt;&gt;0,VLOOKUP(B380,#REF!,2,FALSE),"")</f>
        <v>#REF!</v>
      </c>
      <c r="Q380" s="28">
        <v>1</v>
      </c>
      <c r="R380" s="62">
        <f t="shared" si="183"/>
        <v>-16</v>
      </c>
      <c r="AD380" s="370"/>
      <c r="AE380" s="481"/>
      <c r="AF380" s="481"/>
      <c r="AG380" s="481"/>
      <c r="AH380" s="481"/>
      <c r="AI380" s="873">
        <f t="shared" si="184"/>
        <v>20.89</v>
      </c>
      <c r="AJ380" s="26">
        <f t="shared" si="168"/>
        <v>26.49</v>
      </c>
      <c r="AK380" s="26">
        <f t="shared" si="185"/>
        <v>450.33</v>
      </c>
      <c r="AL380" s="787"/>
    </row>
    <row r="381" spans="1:38" s="28" customFormat="1" ht="30">
      <c r="A381" s="25" t="s">
        <v>2739</v>
      </c>
      <c r="B381" s="24" t="s">
        <v>2174</v>
      </c>
      <c r="C381" s="23" t="s">
        <v>190</v>
      </c>
      <c r="D381" s="25" t="s">
        <v>70</v>
      </c>
      <c r="E381" s="25" t="s">
        <v>17</v>
      </c>
      <c r="F381" s="26">
        <v>1</v>
      </c>
      <c r="G381" s="26">
        <f t="shared" si="175"/>
        <v>342.15899999999999</v>
      </c>
      <c r="H381" s="26">
        <f t="shared" si="181"/>
        <v>433.89</v>
      </c>
      <c r="I381" s="26">
        <f t="shared" si="182"/>
        <v>433.89</v>
      </c>
      <c r="J381" s="64">
        <f>'COMPOSIÇÃO DE CUSTOS'!G1019</f>
        <v>342.15</v>
      </c>
      <c r="K381" s="362">
        <v>402.54</v>
      </c>
      <c r="L381" s="65">
        <f t="shared" si="176"/>
        <v>-60.381000000000029</v>
      </c>
      <c r="M381" s="65">
        <f t="shared" si="177"/>
        <v>342.15899999999999</v>
      </c>
      <c r="N381" s="65"/>
      <c r="O381" s="65">
        <f t="shared" si="178"/>
        <v>433.89</v>
      </c>
      <c r="P381" s="65" t="e">
        <f>IF(B381&lt;&gt;0,VLOOKUP(B381,#REF!,2,FALSE),"")</f>
        <v>#REF!</v>
      </c>
      <c r="R381" s="62">
        <f t="shared" si="183"/>
        <v>-1</v>
      </c>
      <c r="AD381" s="370"/>
      <c r="AE381" s="481"/>
      <c r="AF381" s="481"/>
      <c r="AG381" s="481"/>
      <c r="AH381" s="481"/>
      <c r="AI381" s="873">
        <f t="shared" si="184"/>
        <v>381.17</v>
      </c>
      <c r="AJ381" s="26">
        <f t="shared" si="168"/>
        <v>483.36</v>
      </c>
      <c r="AK381" s="26">
        <f t="shared" si="185"/>
        <v>483.36</v>
      </c>
      <c r="AL381" s="787"/>
    </row>
    <row r="382" spans="1:38" s="28" customFormat="1">
      <c r="A382" s="25"/>
      <c r="B382" s="24"/>
      <c r="C382" s="23"/>
      <c r="D382" s="25"/>
      <c r="E382" s="25"/>
      <c r="F382" s="26"/>
      <c r="G382" s="26"/>
      <c r="H382" s="26"/>
      <c r="I382" s="155"/>
      <c r="J382" s="67" t="str">
        <f>IF(B382&lt;&gt;0,VLOOKUP(B382,#REF!,4,FALSE),"")</f>
        <v/>
      </c>
      <c r="K382" s="385" t="s">
        <v>1892</v>
      </c>
      <c r="L382" s="67"/>
      <c r="M382" s="67">
        <f t="shared" si="177"/>
        <v>0</v>
      </c>
      <c r="N382" s="67"/>
      <c r="O382" s="67">
        <f t="shared" si="178"/>
        <v>0</v>
      </c>
      <c r="P382" s="67" t="str">
        <f>IF(B382&lt;&gt;0,VLOOKUP(B382,#REF!,2,FALSE),"")</f>
        <v/>
      </c>
      <c r="Q382" s="370"/>
      <c r="R382" s="221">
        <f t="shared" si="183"/>
        <v>0</v>
      </c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481"/>
      <c r="AF382" s="481"/>
      <c r="AG382" s="481"/>
      <c r="AH382" s="481"/>
      <c r="AI382" s="552"/>
      <c r="AJ382" s="552"/>
      <c r="AK382" s="552"/>
      <c r="AL382" s="787"/>
    </row>
    <row r="383" spans="1:38" s="28" customFormat="1">
      <c r="A383" s="77" t="s">
        <v>981</v>
      </c>
      <c r="B383" s="139"/>
      <c r="C383" s="340" t="s">
        <v>191</v>
      </c>
      <c r="D383" s="341"/>
      <c r="E383" s="341"/>
      <c r="F383" s="341"/>
      <c r="G383" s="26"/>
      <c r="H383" s="156"/>
      <c r="I383" s="548">
        <f>ROUND(I384+I425+I492+I511+I546+I550+I592+I605+I660+I817+I846,2)</f>
        <v>1232200.57</v>
      </c>
      <c r="J383" s="557" t="str">
        <f>IF(B383&lt;&gt;0,VLOOKUP(B383,#REF!,4,FALSE),"")</f>
        <v/>
      </c>
      <c r="K383" s="558" t="s">
        <v>1892</v>
      </c>
      <c r="L383" s="557"/>
      <c r="M383" s="557">
        <f t="shared" si="177"/>
        <v>0</v>
      </c>
      <c r="N383" s="557"/>
      <c r="O383" s="557">
        <f t="shared" si="178"/>
        <v>0</v>
      </c>
      <c r="P383" s="557" t="str">
        <f>IF(B383&lt;&gt;0,VLOOKUP(B383,#REF!,2,FALSE),"")</f>
        <v/>
      </c>
      <c r="Q383" s="559"/>
      <c r="R383" s="556">
        <f t="shared" si="183"/>
        <v>0</v>
      </c>
      <c r="S383" s="559"/>
      <c r="T383" s="559"/>
      <c r="U383" s="559"/>
      <c r="V383" s="559"/>
      <c r="W383" s="559"/>
      <c r="X383" s="559"/>
      <c r="Y383" s="559"/>
      <c r="Z383" s="559"/>
      <c r="AA383" s="559"/>
      <c r="AB383" s="559"/>
      <c r="AC383" s="559"/>
      <c r="AD383" s="877"/>
      <c r="AE383" s="481"/>
      <c r="AF383" s="481"/>
      <c r="AG383" s="481"/>
      <c r="AH383" s="481"/>
      <c r="AI383" s="855"/>
      <c r="AJ383" s="481"/>
      <c r="AK383" s="548">
        <f>ROUND(AK384+AK425+AK492+AK511+AK546+AK550+AK592+AK605+AK660+AK817+AK846,2)</f>
        <v>1407200.5</v>
      </c>
      <c r="AL383" s="787"/>
    </row>
    <row r="384" spans="1:38" s="28" customFormat="1">
      <c r="A384" s="77" t="s">
        <v>982</v>
      </c>
      <c r="B384" s="139"/>
      <c r="C384" s="340" t="s">
        <v>192</v>
      </c>
      <c r="D384" s="341"/>
      <c r="E384" s="341"/>
      <c r="F384" s="341"/>
      <c r="G384" s="26"/>
      <c r="H384" s="156"/>
      <c r="I384" s="548">
        <f>SUM(I386:I423)</f>
        <v>84046.17</v>
      </c>
      <c r="J384" s="557" t="str">
        <f>IF(B384&lt;&gt;0,VLOOKUP(B384,#REF!,4,FALSE),"")</f>
        <v/>
      </c>
      <c r="K384" s="558" t="s">
        <v>1892</v>
      </c>
      <c r="L384" s="557"/>
      <c r="M384" s="557">
        <f t="shared" si="177"/>
        <v>0</v>
      </c>
      <c r="N384" s="557"/>
      <c r="O384" s="557">
        <f t="shared" si="178"/>
        <v>0</v>
      </c>
      <c r="P384" s="557" t="str">
        <f>IF(B384&lt;&gt;0,VLOOKUP(B384,#REF!,2,FALSE),"")</f>
        <v/>
      </c>
      <c r="Q384" s="559"/>
      <c r="R384" s="556">
        <f t="shared" si="183"/>
        <v>0</v>
      </c>
      <c r="S384" s="559"/>
      <c r="T384" s="559"/>
      <c r="U384" s="559"/>
      <c r="V384" s="559"/>
      <c r="W384" s="559"/>
      <c r="X384" s="559"/>
      <c r="Y384" s="559"/>
      <c r="Z384" s="559"/>
      <c r="AA384" s="559"/>
      <c r="AB384" s="559"/>
      <c r="AC384" s="559"/>
      <c r="AD384" s="877"/>
      <c r="AE384" s="481"/>
      <c r="AF384" s="481"/>
      <c r="AG384" s="481"/>
      <c r="AH384" s="481"/>
      <c r="AI384" s="855"/>
      <c r="AJ384" s="481"/>
      <c r="AK384" s="548">
        <f>SUM(AK386:AK423)</f>
        <v>128518.53</v>
      </c>
      <c r="AL384" s="787"/>
    </row>
    <row r="385" spans="1:38" s="28" customFormat="1">
      <c r="A385" s="77" t="s">
        <v>983</v>
      </c>
      <c r="B385" s="139"/>
      <c r="C385" s="340" t="s">
        <v>193</v>
      </c>
      <c r="D385" s="341"/>
      <c r="E385" s="341"/>
      <c r="F385" s="341"/>
      <c r="G385" s="26"/>
      <c r="H385" s="156"/>
      <c r="I385" s="548"/>
      <c r="J385" s="557" t="str">
        <f>IF(B385&lt;&gt;0,VLOOKUP(B385,#REF!,4,FALSE),"")</f>
        <v/>
      </c>
      <c r="K385" s="558" t="s">
        <v>1892</v>
      </c>
      <c r="L385" s="557"/>
      <c r="M385" s="557">
        <f t="shared" si="177"/>
        <v>0</v>
      </c>
      <c r="N385" s="557"/>
      <c r="O385" s="557">
        <f t="shared" si="178"/>
        <v>0</v>
      </c>
      <c r="P385" s="557" t="str">
        <f>IF(B385&lt;&gt;0,VLOOKUP(B385,#REF!,2,FALSE),"")</f>
        <v/>
      </c>
      <c r="Q385" s="559">
        <v>10</v>
      </c>
      <c r="R385" s="556">
        <f t="shared" si="183"/>
        <v>10</v>
      </c>
      <c r="S385" s="559"/>
      <c r="T385" s="559"/>
      <c r="U385" s="559"/>
      <c r="V385" s="559"/>
      <c r="W385" s="559"/>
      <c r="X385" s="559"/>
      <c r="Y385" s="559"/>
      <c r="Z385" s="559"/>
      <c r="AA385" s="559"/>
      <c r="AB385" s="559"/>
      <c r="AC385" s="559"/>
      <c r="AD385" s="877"/>
      <c r="AE385" s="481"/>
      <c r="AF385" s="481"/>
      <c r="AG385" s="481"/>
      <c r="AH385" s="481"/>
      <c r="AI385" s="855"/>
      <c r="AJ385" s="481"/>
      <c r="AK385" s="481"/>
      <c r="AL385" s="787"/>
    </row>
    <row r="386" spans="1:38" s="62" customFormat="1" ht="30">
      <c r="A386" s="25" t="s">
        <v>984</v>
      </c>
      <c r="B386" s="24" t="s">
        <v>2312</v>
      </c>
      <c r="C386" s="23" t="s">
        <v>245</v>
      </c>
      <c r="D386" s="25" t="s">
        <v>70</v>
      </c>
      <c r="E386" s="25" t="s">
        <v>52</v>
      </c>
      <c r="F386" s="26">
        <v>10</v>
      </c>
      <c r="G386" s="26">
        <f t="shared" si="175"/>
        <v>21.5305</v>
      </c>
      <c r="H386" s="157">
        <f t="shared" ref="H386:H407" si="186">ROUND(G386*(1+$J$13),2)</f>
        <v>27.3</v>
      </c>
      <c r="I386" s="158">
        <f t="shared" ref="I386:I407" si="187">ROUND(H386*F386,2)</f>
        <v>273</v>
      </c>
      <c r="J386" s="560">
        <f>'COMPOSIÇÃO DE CUSTOS'!G1364</f>
        <v>23.41</v>
      </c>
      <c r="K386" s="558">
        <v>25.33</v>
      </c>
      <c r="L386" s="557">
        <f t="shared" si="176"/>
        <v>-3.7994999999999983</v>
      </c>
      <c r="M386" s="557">
        <f t="shared" si="177"/>
        <v>215.30500000000001</v>
      </c>
      <c r="N386" s="557"/>
      <c r="O386" s="557">
        <f t="shared" si="178"/>
        <v>273</v>
      </c>
      <c r="P386" s="557" t="e">
        <f>IF(B386&lt;&gt;0,VLOOKUP(B386,#REF!,2,FALSE),"")</f>
        <v>#REF!</v>
      </c>
      <c r="Q386" s="556">
        <v>16</v>
      </c>
      <c r="R386" s="556">
        <f t="shared" si="183"/>
        <v>6</v>
      </c>
      <c r="S386" s="556"/>
      <c r="T386" s="556"/>
      <c r="U386" s="556"/>
      <c r="V386" s="556"/>
      <c r="W386" s="556"/>
      <c r="X386" s="556"/>
      <c r="Y386" s="556"/>
      <c r="Z386" s="556"/>
      <c r="AA386" s="556"/>
      <c r="AB386" s="556"/>
      <c r="AC386" s="556"/>
      <c r="AD386" s="875"/>
      <c r="AE386" s="481"/>
      <c r="AF386" s="481"/>
      <c r="AG386" s="481"/>
      <c r="AH386" s="481"/>
      <c r="AI386" s="871">
        <f t="shared" ref="AI386" si="188">ROUND(G386*$AM$11,2)</f>
        <v>23.99</v>
      </c>
      <c r="AJ386" s="158">
        <f t="shared" ref="AJ386:AJ413" si="189">ROUND(AI386*(1+$J$13),2)</f>
        <v>30.42</v>
      </c>
      <c r="AK386" s="158">
        <f t="shared" ref="AK386" si="190">ROUND(AJ386*F386,2)</f>
        <v>304.2</v>
      </c>
      <c r="AL386" s="224"/>
    </row>
    <row r="387" spans="1:38" s="62" customFormat="1" ht="45">
      <c r="A387" s="25" t="s">
        <v>985</v>
      </c>
      <c r="B387" s="24">
        <v>91865</v>
      </c>
      <c r="C387" s="23" t="s">
        <v>1702</v>
      </c>
      <c r="D387" s="25" t="s">
        <v>12</v>
      </c>
      <c r="E387" s="25" t="s">
        <v>52</v>
      </c>
      <c r="F387" s="26">
        <v>16</v>
      </c>
      <c r="G387" s="26">
        <f t="shared" si="175"/>
        <v>11.322000000000001</v>
      </c>
      <c r="H387" s="157">
        <f t="shared" si="186"/>
        <v>14.36</v>
      </c>
      <c r="I387" s="158">
        <f t="shared" si="187"/>
        <v>229.76</v>
      </c>
      <c r="J387" s="557" t="e">
        <f>IF(B387&lt;&gt;0,VLOOKUP(B387,#REF!,4,FALSE),"")</f>
        <v>#REF!</v>
      </c>
      <c r="K387" s="558" t="s">
        <v>3105</v>
      </c>
      <c r="L387" s="557">
        <f t="shared" si="176"/>
        <v>-1.9979999999999993</v>
      </c>
      <c r="M387" s="557">
        <f t="shared" si="177"/>
        <v>181.15200000000002</v>
      </c>
      <c r="N387" s="557"/>
      <c r="O387" s="557">
        <f t="shared" si="178"/>
        <v>229.76</v>
      </c>
      <c r="P387" s="557" t="e">
        <f>IF(B387&lt;&gt;0,VLOOKUP(B387,#REF!,2,FALSE),"")</f>
        <v>#REF!</v>
      </c>
      <c r="Q387" s="556">
        <v>6</v>
      </c>
      <c r="R387" s="556">
        <f t="shared" si="183"/>
        <v>-10</v>
      </c>
      <c r="S387" s="556"/>
      <c r="T387" s="556"/>
      <c r="U387" s="556"/>
      <c r="V387" s="556"/>
      <c r="W387" s="556"/>
      <c r="X387" s="556"/>
      <c r="Y387" s="556"/>
      <c r="Z387" s="556"/>
      <c r="AA387" s="556"/>
      <c r="AB387" s="556"/>
      <c r="AC387" s="556"/>
      <c r="AD387" s="875"/>
      <c r="AE387" s="481"/>
      <c r="AF387" s="481"/>
      <c r="AG387" s="481"/>
      <c r="AH387" s="481"/>
      <c r="AI387" s="871">
        <f t="shared" ref="AI387:AI413" si="191">ROUND(G387*$AM$11,2)</f>
        <v>12.61</v>
      </c>
      <c r="AJ387" s="158">
        <f t="shared" si="189"/>
        <v>15.99</v>
      </c>
      <c r="AK387" s="158">
        <f t="shared" ref="AK387:AK413" si="192">ROUND(AJ387*F387,2)</f>
        <v>255.84</v>
      </c>
      <c r="AL387" s="224"/>
    </row>
    <row r="388" spans="1:38" s="62" customFormat="1" ht="60">
      <c r="A388" s="25" t="s">
        <v>986</v>
      </c>
      <c r="B388" s="24">
        <v>91877</v>
      </c>
      <c r="C388" s="23" t="s">
        <v>1704</v>
      </c>
      <c r="D388" s="25" t="s">
        <v>12</v>
      </c>
      <c r="E388" s="25" t="s">
        <v>17</v>
      </c>
      <c r="F388" s="26">
        <v>6</v>
      </c>
      <c r="G388" s="26">
        <f t="shared" si="175"/>
        <v>6.681</v>
      </c>
      <c r="H388" s="26">
        <f t="shared" si="186"/>
        <v>8.4700000000000006</v>
      </c>
      <c r="I388" s="159">
        <f t="shared" si="187"/>
        <v>50.82</v>
      </c>
      <c r="J388" s="67" t="e">
        <f>IF(B388&lt;&gt;0,VLOOKUP(B388,#REF!,4,FALSE),"")</f>
        <v>#REF!</v>
      </c>
      <c r="K388" s="385" t="s">
        <v>3037</v>
      </c>
      <c r="L388" s="67">
        <f t="shared" si="176"/>
        <v>-1.1790000000000003</v>
      </c>
      <c r="M388" s="67">
        <f t="shared" si="177"/>
        <v>40.085999999999999</v>
      </c>
      <c r="N388" s="67"/>
      <c r="O388" s="67">
        <f t="shared" si="178"/>
        <v>50.820000000000007</v>
      </c>
      <c r="P388" s="67" t="e">
        <f>IF(B388&lt;&gt;0,VLOOKUP(B388,#REF!,2,FALSE),"")</f>
        <v>#REF!</v>
      </c>
      <c r="Q388" s="221">
        <v>80</v>
      </c>
      <c r="R388" s="221">
        <f t="shared" si="183"/>
        <v>74</v>
      </c>
      <c r="S388" s="221"/>
      <c r="T388" s="221"/>
      <c r="U388" s="221"/>
      <c r="V388" s="221"/>
      <c r="W388" s="221"/>
      <c r="X388" s="221"/>
      <c r="Y388" s="221"/>
      <c r="Z388" s="221"/>
      <c r="AA388" s="221"/>
      <c r="AB388" s="221"/>
      <c r="AC388" s="221"/>
      <c r="AD388" s="221"/>
      <c r="AE388" s="481"/>
      <c r="AF388" s="481"/>
      <c r="AG388" s="481"/>
      <c r="AH388" s="481"/>
      <c r="AI388" s="878">
        <f t="shared" si="191"/>
        <v>7.44</v>
      </c>
      <c r="AJ388" s="159">
        <f t="shared" si="189"/>
        <v>9.43</v>
      </c>
      <c r="AK388" s="159">
        <f t="shared" si="192"/>
        <v>56.58</v>
      </c>
      <c r="AL388" s="224"/>
    </row>
    <row r="389" spans="1:38" s="62" customFormat="1" ht="45">
      <c r="A389" s="25" t="s">
        <v>987</v>
      </c>
      <c r="B389" s="24">
        <v>91873</v>
      </c>
      <c r="C389" s="23" t="s">
        <v>1665</v>
      </c>
      <c r="D389" s="25" t="s">
        <v>12</v>
      </c>
      <c r="E389" s="25" t="s">
        <v>52</v>
      </c>
      <c r="F389" s="26">
        <v>80</v>
      </c>
      <c r="G389" s="26">
        <f t="shared" si="175"/>
        <v>11.8065</v>
      </c>
      <c r="H389" s="26">
        <f t="shared" si="186"/>
        <v>14.97</v>
      </c>
      <c r="I389" s="26">
        <f t="shared" si="187"/>
        <v>1197.5999999999999</v>
      </c>
      <c r="J389" s="65" t="e">
        <f>IF(B389&lt;&gt;0,VLOOKUP(B389,#REF!,4,FALSE),"")</f>
        <v>#REF!</v>
      </c>
      <c r="K389" s="362" t="s">
        <v>3157</v>
      </c>
      <c r="L389" s="65">
        <f t="shared" si="176"/>
        <v>-2.0835000000000008</v>
      </c>
      <c r="M389" s="65">
        <f t="shared" si="177"/>
        <v>944.52</v>
      </c>
      <c r="N389" s="65"/>
      <c r="O389" s="65">
        <f t="shared" si="178"/>
        <v>1197.6000000000001</v>
      </c>
      <c r="P389" s="65" t="e">
        <f>IF(B389&lt;&gt;0,VLOOKUP(B389,#REF!,2,FALSE),"")</f>
        <v>#REF!</v>
      </c>
      <c r="Q389" s="62">
        <v>21</v>
      </c>
      <c r="R389" s="62">
        <f t="shared" si="183"/>
        <v>-59</v>
      </c>
      <c r="AD389" s="221"/>
      <c r="AE389" s="481"/>
      <c r="AF389" s="481"/>
      <c r="AG389" s="481"/>
      <c r="AH389" s="481"/>
      <c r="AI389" s="873">
        <f t="shared" si="191"/>
        <v>13.15</v>
      </c>
      <c r="AJ389" s="26">
        <f t="shared" si="189"/>
        <v>16.68</v>
      </c>
      <c r="AK389" s="26">
        <f t="shared" si="192"/>
        <v>1334.4</v>
      </c>
      <c r="AL389" s="224"/>
    </row>
    <row r="390" spans="1:38" s="62" customFormat="1" ht="60">
      <c r="A390" s="25" t="s">
        <v>988</v>
      </c>
      <c r="B390" s="24">
        <v>91920</v>
      </c>
      <c r="C390" s="23" t="s">
        <v>1666</v>
      </c>
      <c r="D390" s="25" t="s">
        <v>12</v>
      </c>
      <c r="E390" s="25" t="s">
        <v>17</v>
      </c>
      <c r="F390" s="26">
        <v>21</v>
      </c>
      <c r="G390" s="26">
        <f t="shared" si="175"/>
        <v>11.942500000000001</v>
      </c>
      <c r="H390" s="26">
        <f t="shared" si="186"/>
        <v>15.14</v>
      </c>
      <c r="I390" s="26">
        <f t="shared" si="187"/>
        <v>317.94</v>
      </c>
      <c r="J390" s="65" t="e">
        <f>IF(B390&lt;&gt;0,VLOOKUP(B390,#REF!,4,FALSE),"")</f>
        <v>#REF!</v>
      </c>
      <c r="K390" s="362" t="s">
        <v>3210</v>
      </c>
      <c r="L390" s="65">
        <f t="shared" si="176"/>
        <v>-2.1074999999999999</v>
      </c>
      <c r="M390" s="65">
        <f t="shared" si="177"/>
        <v>250.79250000000002</v>
      </c>
      <c r="N390" s="65"/>
      <c r="O390" s="65">
        <f t="shared" si="178"/>
        <v>317.94</v>
      </c>
      <c r="P390" s="65" t="e">
        <f>IF(B390&lt;&gt;0,VLOOKUP(B390,#REF!,2,FALSE),"")</f>
        <v>#REF!</v>
      </c>
      <c r="Q390" s="62">
        <v>67</v>
      </c>
      <c r="R390" s="62">
        <f t="shared" si="183"/>
        <v>46</v>
      </c>
      <c r="AD390" s="221"/>
      <c r="AE390" s="481"/>
      <c r="AF390" s="481"/>
      <c r="AG390" s="481"/>
      <c r="AH390" s="481"/>
      <c r="AI390" s="873">
        <f t="shared" si="191"/>
        <v>13.3</v>
      </c>
      <c r="AJ390" s="26">
        <f t="shared" si="189"/>
        <v>16.87</v>
      </c>
      <c r="AK390" s="26">
        <f t="shared" si="192"/>
        <v>354.27</v>
      </c>
      <c r="AL390" s="224"/>
    </row>
    <row r="391" spans="1:38" s="62" customFormat="1" ht="60">
      <c r="A391" s="25" t="s">
        <v>989</v>
      </c>
      <c r="B391" s="24">
        <v>91886</v>
      </c>
      <c r="C391" s="23" t="s">
        <v>1667</v>
      </c>
      <c r="D391" s="25" t="s">
        <v>12</v>
      </c>
      <c r="E391" s="25" t="s">
        <v>17</v>
      </c>
      <c r="F391" s="26">
        <v>67</v>
      </c>
      <c r="G391" s="26">
        <f t="shared" si="175"/>
        <v>7.5565000000000007</v>
      </c>
      <c r="H391" s="26">
        <f t="shared" si="186"/>
        <v>9.58</v>
      </c>
      <c r="I391" s="26">
        <f t="shared" si="187"/>
        <v>641.86</v>
      </c>
      <c r="J391" s="65" t="e">
        <f>IF(B391&lt;&gt;0,VLOOKUP(B391,#REF!,4,FALSE),"")</f>
        <v>#REF!</v>
      </c>
      <c r="K391" s="362" t="s">
        <v>1907</v>
      </c>
      <c r="L391" s="65">
        <f t="shared" si="176"/>
        <v>-1.3334999999999999</v>
      </c>
      <c r="M391" s="65">
        <f t="shared" si="177"/>
        <v>506.28550000000007</v>
      </c>
      <c r="N391" s="65"/>
      <c r="O391" s="65">
        <f t="shared" si="178"/>
        <v>641.86</v>
      </c>
      <c r="P391" s="65" t="e">
        <f>IF(B391&lt;&gt;0,VLOOKUP(B391,#REF!,2,FALSE),"")</f>
        <v>#REF!</v>
      </c>
      <c r="Q391" s="62">
        <v>16</v>
      </c>
      <c r="R391" s="62">
        <f t="shared" si="183"/>
        <v>-51</v>
      </c>
      <c r="AD391" s="221"/>
      <c r="AE391" s="481"/>
      <c r="AF391" s="481"/>
      <c r="AG391" s="481"/>
      <c r="AH391" s="481"/>
      <c r="AI391" s="873">
        <f t="shared" si="191"/>
        <v>8.42</v>
      </c>
      <c r="AJ391" s="26">
        <f t="shared" si="189"/>
        <v>10.68</v>
      </c>
      <c r="AK391" s="26">
        <f t="shared" si="192"/>
        <v>715.56</v>
      </c>
      <c r="AL391" s="224"/>
    </row>
    <row r="392" spans="1:38" s="62" customFormat="1" ht="30">
      <c r="A392" s="25" t="s">
        <v>990</v>
      </c>
      <c r="B392" s="24">
        <v>93009</v>
      </c>
      <c r="C392" s="23" t="s">
        <v>1669</v>
      </c>
      <c r="D392" s="25" t="s">
        <v>12</v>
      </c>
      <c r="E392" s="25" t="s">
        <v>52</v>
      </c>
      <c r="F392" s="26">
        <v>16</v>
      </c>
      <c r="G392" s="26">
        <f t="shared" si="175"/>
        <v>14.807000000000002</v>
      </c>
      <c r="H392" s="26">
        <f t="shared" si="186"/>
        <v>18.78</v>
      </c>
      <c r="I392" s="26">
        <f t="shared" si="187"/>
        <v>300.48</v>
      </c>
      <c r="J392" s="65" t="e">
        <f>IF(B392&lt;&gt;0,VLOOKUP(B392,#REF!,4,FALSE),"")</f>
        <v>#REF!</v>
      </c>
      <c r="K392" s="362" t="s">
        <v>3224</v>
      </c>
      <c r="L392" s="65">
        <f t="shared" si="176"/>
        <v>-2.6129999999999995</v>
      </c>
      <c r="M392" s="65">
        <f t="shared" si="177"/>
        <v>236.91200000000003</v>
      </c>
      <c r="N392" s="65"/>
      <c r="O392" s="65">
        <f t="shared" si="178"/>
        <v>300.48</v>
      </c>
      <c r="P392" s="65" t="e">
        <f>IF(B392&lt;&gt;0,VLOOKUP(B392,#REF!,2,FALSE),"")</f>
        <v>#REF!</v>
      </c>
      <c r="Q392" s="62">
        <v>6</v>
      </c>
      <c r="R392" s="62">
        <f t="shared" si="183"/>
        <v>-10</v>
      </c>
      <c r="AD392" s="221"/>
      <c r="AE392" s="481"/>
      <c r="AF392" s="481"/>
      <c r="AG392" s="481"/>
      <c r="AH392" s="481"/>
      <c r="AI392" s="873">
        <f t="shared" si="191"/>
        <v>16.5</v>
      </c>
      <c r="AJ392" s="26">
        <f t="shared" si="189"/>
        <v>20.92</v>
      </c>
      <c r="AK392" s="26">
        <f t="shared" si="192"/>
        <v>334.72</v>
      </c>
      <c r="AL392" s="224"/>
    </row>
    <row r="393" spans="1:38" ht="52.5" customHeight="1">
      <c r="A393" s="25" t="s">
        <v>991</v>
      </c>
      <c r="B393" s="24">
        <v>93014</v>
      </c>
      <c r="C393" s="23" t="s">
        <v>1671</v>
      </c>
      <c r="D393" s="25" t="s">
        <v>12</v>
      </c>
      <c r="E393" s="25" t="s">
        <v>17</v>
      </c>
      <c r="F393" s="26">
        <v>6</v>
      </c>
      <c r="G393" s="26">
        <f t="shared" si="175"/>
        <v>10.795</v>
      </c>
      <c r="H393" s="26">
        <f t="shared" si="186"/>
        <v>13.69</v>
      </c>
      <c r="I393" s="26">
        <f t="shared" si="187"/>
        <v>82.14</v>
      </c>
      <c r="J393" s="65" t="e">
        <f>IF(B393&lt;&gt;0,VLOOKUP(B393,#REF!,4,FALSE),"")</f>
        <v>#REF!</v>
      </c>
      <c r="K393" s="362" t="s">
        <v>3218</v>
      </c>
      <c r="L393" s="65">
        <f t="shared" si="176"/>
        <v>-1.9049999999999994</v>
      </c>
      <c r="M393" s="65">
        <f t="shared" si="177"/>
        <v>64.77</v>
      </c>
      <c r="N393" s="65"/>
      <c r="O393" s="65">
        <f t="shared" si="178"/>
        <v>82.14</v>
      </c>
      <c r="P393" s="65" t="e">
        <f>IF(B393&lt;&gt;0,VLOOKUP(B393,#REF!,2,FALSE),"")</f>
        <v>#REF!</v>
      </c>
      <c r="Q393" s="2">
        <v>20</v>
      </c>
      <c r="R393" s="62">
        <f t="shared" si="183"/>
        <v>14</v>
      </c>
      <c r="AD393" s="21"/>
      <c r="AE393" s="481"/>
      <c r="AF393" s="481"/>
      <c r="AG393" s="481"/>
      <c r="AH393" s="481"/>
      <c r="AI393" s="873">
        <f t="shared" si="191"/>
        <v>12.03</v>
      </c>
      <c r="AJ393" s="26">
        <f t="shared" si="189"/>
        <v>15.26</v>
      </c>
      <c r="AK393" s="26">
        <f t="shared" si="192"/>
        <v>91.56</v>
      </c>
    </row>
    <row r="394" spans="1:38" s="28" customFormat="1" ht="30">
      <c r="A394" s="25" t="s">
        <v>992</v>
      </c>
      <c r="B394" s="24">
        <v>93010</v>
      </c>
      <c r="C394" s="23" t="s">
        <v>1672</v>
      </c>
      <c r="D394" s="25" t="s">
        <v>12</v>
      </c>
      <c r="E394" s="25" t="s">
        <v>52</v>
      </c>
      <c r="F394" s="26">
        <v>20</v>
      </c>
      <c r="G394" s="26">
        <f t="shared" si="175"/>
        <v>20.672000000000001</v>
      </c>
      <c r="H394" s="26">
        <f t="shared" si="186"/>
        <v>26.21</v>
      </c>
      <c r="I394" s="26">
        <f t="shared" si="187"/>
        <v>524.20000000000005</v>
      </c>
      <c r="J394" s="65" t="e">
        <f>IF(B394&lt;&gt;0,VLOOKUP(B394,#REF!,4,FALSE),"")</f>
        <v>#REF!</v>
      </c>
      <c r="K394" s="362" t="s">
        <v>3208</v>
      </c>
      <c r="L394" s="65">
        <f t="shared" si="176"/>
        <v>-3.6479999999999997</v>
      </c>
      <c r="M394" s="65">
        <f t="shared" si="177"/>
        <v>413.44</v>
      </c>
      <c r="N394" s="65"/>
      <c r="O394" s="65">
        <f t="shared" si="178"/>
        <v>524.20000000000005</v>
      </c>
      <c r="P394" s="65" t="e">
        <f>IF(B394&lt;&gt;0,VLOOKUP(B394,#REF!,2,FALSE),"")</f>
        <v>#REF!</v>
      </c>
      <c r="Q394" s="28">
        <v>3</v>
      </c>
      <c r="R394" s="62">
        <f t="shared" si="183"/>
        <v>-17</v>
      </c>
      <c r="AD394" s="370"/>
      <c r="AE394" s="481"/>
      <c r="AF394" s="481"/>
      <c r="AG394" s="481"/>
      <c r="AH394" s="481"/>
      <c r="AI394" s="873">
        <f t="shared" si="191"/>
        <v>23.03</v>
      </c>
      <c r="AJ394" s="26">
        <f t="shared" si="189"/>
        <v>29.2</v>
      </c>
      <c r="AK394" s="26">
        <f t="shared" si="192"/>
        <v>584</v>
      </c>
      <c r="AL394" s="787"/>
    </row>
    <row r="395" spans="1:38" s="45" customFormat="1" ht="30">
      <c r="A395" s="25" t="s">
        <v>2740</v>
      </c>
      <c r="B395" s="24">
        <v>93015</v>
      </c>
      <c r="C395" s="23" t="s">
        <v>1673</v>
      </c>
      <c r="D395" s="25" t="s">
        <v>12</v>
      </c>
      <c r="E395" s="25" t="s">
        <v>17</v>
      </c>
      <c r="F395" s="26">
        <v>3</v>
      </c>
      <c r="G395" s="26">
        <f t="shared" si="175"/>
        <v>16.804500000000001</v>
      </c>
      <c r="H395" s="26">
        <f t="shared" si="186"/>
        <v>21.31</v>
      </c>
      <c r="I395" s="26">
        <f t="shared" si="187"/>
        <v>63.93</v>
      </c>
      <c r="J395" s="65" t="e">
        <f>IF(B395&lt;&gt;0,VLOOKUP(B395,#REF!,4,FALSE),"")</f>
        <v>#REF!</v>
      </c>
      <c r="K395" s="362" t="s">
        <v>3185</v>
      </c>
      <c r="L395" s="65">
        <f t="shared" si="176"/>
        <v>-2.9654999999999987</v>
      </c>
      <c r="M395" s="65">
        <f t="shared" si="177"/>
        <v>50.413499999999999</v>
      </c>
      <c r="N395" s="65"/>
      <c r="O395" s="65">
        <f t="shared" si="178"/>
        <v>63.929999999999993</v>
      </c>
      <c r="P395" s="65" t="e">
        <f>IF(B395&lt;&gt;0,VLOOKUP(B395,#REF!,2,FALSE),"")</f>
        <v>#REF!</v>
      </c>
      <c r="Q395" s="45">
        <v>4</v>
      </c>
      <c r="R395" s="62">
        <f t="shared" si="183"/>
        <v>1</v>
      </c>
      <c r="AD395" s="56"/>
      <c r="AE395" s="481"/>
      <c r="AF395" s="481"/>
      <c r="AG395" s="481"/>
      <c r="AH395" s="481"/>
      <c r="AI395" s="873">
        <f t="shared" si="191"/>
        <v>18.72</v>
      </c>
      <c r="AJ395" s="26">
        <f t="shared" si="189"/>
        <v>23.74</v>
      </c>
      <c r="AK395" s="26">
        <f t="shared" si="192"/>
        <v>71.22</v>
      </c>
      <c r="AL395" s="724"/>
    </row>
    <row r="396" spans="1:38" s="62" customFormat="1" ht="60">
      <c r="A396" s="25" t="s">
        <v>2741</v>
      </c>
      <c r="B396" s="24">
        <v>93022</v>
      </c>
      <c r="C396" s="23" t="s">
        <v>2742</v>
      </c>
      <c r="D396" s="25" t="s">
        <v>12</v>
      </c>
      <c r="E396" s="25" t="s">
        <v>17</v>
      </c>
      <c r="F396" s="26">
        <v>4</v>
      </c>
      <c r="G396" s="26">
        <f t="shared" si="175"/>
        <v>30.004999999999999</v>
      </c>
      <c r="H396" s="26">
        <f t="shared" si="186"/>
        <v>38.049999999999997</v>
      </c>
      <c r="I396" s="26">
        <f t="shared" si="187"/>
        <v>152.19999999999999</v>
      </c>
      <c r="J396" s="65" t="e">
        <f>IF(B396&lt;&gt;0,VLOOKUP(B396,#REF!,4,FALSE),"")</f>
        <v>#REF!</v>
      </c>
      <c r="K396" s="362" t="s">
        <v>3211</v>
      </c>
      <c r="L396" s="65">
        <f t="shared" si="176"/>
        <v>-5.2949999999999982</v>
      </c>
      <c r="M396" s="65">
        <f t="shared" si="177"/>
        <v>120.02</v>
      </c>
      <c r="N396" s="65"/>
      <c r="O396" s="65">
        <f t="shared" si="178"/>
        <v>152.19999999999999</v>
      </c>
      <c r="P396" s="65" t="e">
        <f>IF(B396&lt;&gt;0,VLOOKUP(B396,#REF!,2,FALSE),"")</f>
        <v>#REF!</v>
      </c>
      <c r="Q396" s="62">
        <v>16</v>
      </c>
      <c r="R396" s="62">
        <f t="shared" si="183"/>
        <v>12</v>
      </c>
      <c r="AD396" s="221"/>
      <c r="AE396" s="481"/>
      <c r="AF396" s="481"/>
      <c r="AG396" s="481"/>
      <c r="AH396" s="481"/>
      <c r="AI396" s="873">
        <f t="shared" si="191"/>
        <v>33.43</v>
      </c>
      <c r="AJ396" s="26">
        <f t="shared" si="189"/>
        <v>42.39</v>
      </c>
      <c r="AK396" s="26">
        <f t="shared" si="192"/>
        <v>169.56</v>
      </c>
      <c r="AL396" s="224"/>
    </row>
    <row r="397" spans="1:38" s="62" customFormat="1" ht="45">
      <c r="A397" s="25" t="s">
        <v>2743</v>
      </c>
      <c r="B397" s="24">
        <v>93011</v>
      </c>
      <c r="C397" s="23" t="s">
        <v>1674</v>
      </c>
      <c r="D397" s="25" t="s">
        <v>12</v>
      </c>
      <c r="E397" s="25" t="s">
        <v>52</v>
      </c>
      <c r="F397" s="26">
        <v>16</v>
      </c>
      <c r="G397" s="26">
        <f t="shared" si="175"/>
        <v>25.3215</v>
      </c>
      <c r="H397" s="26">
        <f t="shared" si="186"/>
        <v>32.11</v>
      </c>
      <c r="I397" s="26">
        <f t="shared" si="187"/>
        <v>513.76</v>
      </c>
      <c r="J397" s="65" t="e">
        <f>IF(B397&lt;&gt;0,VLOOKUP(B397,#REF!,4,FALSE),"")</f>
        <v>#REF!</v>
      </c>
      <c r="K397" s="362" t="s">
        <v>3175</v>
      </c>
      <c r="L397" s="65">
        <f t="shared" si="176"/>
        <v>-4.4684999999999988</v>
      </c>
      <c r="M397" s="65">
        <f t="shared" si="177"/>
        <v>405.14400000000001</v>
      </c>
      <c r="N397" s="65"/>
      <c r="O397" s="65">
        <f t="shared" si="178"/>
        <v>513.76</v>
      </c>
      <c r="P397" s="65" t="e">
        <f>IF(B397&lt;&gt;0,VLOOKUP(B397,#REF!,2,FALSE),"")</f>
        <v>#REF!</v>
      </c>
      <c r="Q397" s="62">
        <v>6</v>
      </c>
      <c r="R397" s="62">
        <f t="shared" si="183"/>
        <v>-10</v>
      </c>
      <c r="AD397" s="221"/>
      <c r="AE397" s="481"/>
      <c r="AF397" s="481"/>
      <c r="AG397" s="481"/>
      <c r="AH397" s="481"/>
      <c r="AI397" s="873">
        <f t="shared" si="191"/>
        <v>28.21</v>
      </c>
      <c r="AJ397" s="26">
        <f t="shared" si="189"/>
        <v>35.770000000000003</v>
      </c>
      <c r="AK397" s="26">
        <f t="shared" si="192"/>
        <v>572.32000000000005</v>
      </c>
      <c r="AL397" s="224"/>
    </row>
    <row r="398" spans="1:38" s="62" customFormat="1" ht="45">
      <c r="A398" s="25" t="s">
        <v>2744</v>
      </c>
      <c r="B398" s="24">
        <v>93016</v>
      </c>
      <c r="C398" s="23" t="s">
        <v>1676</v>
      </c>
      <c r="D398" s="25" t="s">
        <v>12</v>
      </c>
      <c r="E398" s="25" t="s">
        <v>17</v>
      </c>
      <c r="F398" s="26">
        <v>6</v>
      </c>
      <c r="G398" s="26">
        <f t="shared" si="175"/>
        <v>20.6295</v>
      </c>
      <c r="H398" s="26">
        <f t="shared" si="186"/>
        <v>26.16</v>
      </c>
      <c r="I398" s="26">
        <f t="shared" si="187"/>
        <v>156.96</v>
      </c>
      <c r="J398" s="65" t="e">
        <f>IF(B398&lt;&gt;0,VLOOKUP(B398,#REF!,4,FALSE),"")</f>
        <v>#REF!</v>
      </c>
      <c r="K398" s="362" t="s">
        <v>2646</v>
      </c>
      <c r="L398" s="65">
        <f t="shared" si="176"/>
        <v>-3.6404999999999994</v>
      </c>
      <c r="M398" s="65">
        <f t="shared" si="177"/>
        <v>123.777</v>
      </c>
      <c r="N398" s="65"/>
      <c r="O398" s="65">
        <f t="shared" si="178"/>
        <v>156.96</v>
      </c>
      <c r="P398" s="65" t="e">
        <f>IF(B398&lt;&gt;0,VLOOKUP(B398,#REF!,2,FALSE),"")</f>
        <v>#REF!</v>
      </c>
      <c r="Q398" s="62">
        <v>10</v>
      </c>
      <c r="R398" s="62">
        <f t="shared" si="183"/>
        <v>4</v>
      </c>
      <c r="AD398" s="221"/>
      <c r="AE398" s="481"/>
      <c r="AF398" s="481"/>
      <c r="AG398" s="481"/>
      <c r="AH398" s="481"/>
      <c r="AI398" s="873">
        <f t="shared" si="191"/>
        <v>22.98</v>
      </c>
      <c r="AJ398" s="26">
        <f t="shared" si="189"/>
        <v>29.14</v>
      </c>
      <c r="AK398" s="26">
        <f t="shared" si="192"/>
        <v>174.84</v>
      </c>
      <c r="AL398" s="224"/>
    </row>
    <row r="399" spans="1:38" s="62" customFormat="1" ht="30">
      <c r="A399" s="25" t="s">
        <v>2745</v>
      </c>
      <c r="B399" s="24">
        <v>762</v>
      </c>
      <c r="C399" s="23" t="s">
        <v>1749</v>
      </c>
      <c r="D399" s="25" t="s">
        <v>44</v>
      </c>
      <c r="E399" s="25" t="s">
        <v>17</v>
      </c>
      <c r="F399" s="26">
        <v>10</v>
      </c>
      <c r="G399" s="26">
        <f t="shared" si="175"/>
        <v>57.230499999999999</v>
      </c>
      <c r="H399" s="26">
        <f t="shared" si="186"/>
        <v>72.569999999999993</v>
      </c>
      <c r="I399" s="26">
        <f t="shared" si="187"/>
        <v>725.7</v>
      </c>
      <c r="J399" s="64">
        <f>'COMPOSIÇÃO DE CUSTOS'!G1265</f>
        <v>57.23</v>
      </c>
      <c r="K399" s="362">
        <v>67.33</v>
      </c>
      <c r="L399" s="65">
        <f t="shared" si="176"/>
        <v>-10.099499999999999</v>
      </c>
      <c r="M399" s="65">
        <f t="shared" si="177"/>
        <v>572.30499999999995</v>
      </c>
      <c r="N399" s="65"/>
      <c r="O399" s="65">
        <f t="shared" si="178"/>
        <v>725.69999999999993</v>
      </c>
      <c r="P399" s="65" t="e">
        <f>IF(B399&lt;&gt;0,VLOOKUP(B399,#REF!,2,FALSE),"")</f>
        <v>#REF!</v>
      </c>
      <c r="Q399" s="62">
        <v>1</v>
      </c>
      <c r="R399" s="62">
        <f t="shared" si="183"/>
        <v>-9</v>
      </c>
      <c r="AD399" s="221"/>
      <c r="AE399" s="481"/>
      <c r="AF399" s="481"/>
      <c r="AG399" s="481"/>
      <c r="AH399" s="481"/>
      <c r="AI399" s="873">
        <f t="shared" si="191"/>
        <v>63.76</v>
      </c>
      <c r="AJ399" s="26">
        <f t="shared" si="189"/>
        <v>80.849999999999994</v>
      </c>
      <c r="AK399" s="26">
        <f t="shared" si="192"/>
        <v>808.5</v>
      </c>
      <c r="AL399" s="224"/>
    </row>
    <row r="400" spans="1:38" s="62" customFormat="1" ht="30">
      <c r="A400" s="25" t="s">
        <v>2746</v>
      </c>
      <c r="B400" s="24">
        <v>8443</v>
      </c>
      <c r="C400" s="23" t="s">
        <v>1759</v>
      </c>
      <c r="D400" s="25" t="s">
        <v>44</v>
      </c>
      <c r="E400" s="25" t="s">
        <v>17</v>
      </c>
      <c r="F400" s="26">
        <v>1</v>
      </c>
      <c r="G400" s="26">
        <f t="shared" si="175"/>
        <v>57.179499999999997</v>
      </c>
      <c r="H400" s="26">
        <f t="shared" si="186"/>
        <v>72.510000000000005</v>
      </c>
      <c r="I400" s="26">
        <f t="shared" si="187"/>
        <v>72.510000000000005</v>
      </c>
      <c r="J400" s="64">
        <f>'COMPOSIÇÃO DE CUSTOS'!G1272</f>
        <v>57.18</v>
      </c>
      <c r="K400" s="362">
        <v>67.27</v>
      </c>
      <c r="L400" s="65">
        <f t="shared" si="176"/>
        <v>-10.090499999999999</v>
      </c>
      <c r="M400" s="65">
        <f t="shared" si="177"/>
        <v>57.179499999999997</v>
      </c>
      <c r="N400" s="65"/>
      <c r="O400" s="65">
        <f t="shared" si="178"/>
        <v>72.510000000000005</v>
      </c>
      <c r="P400" s="65" t="e">
        <f>IF(B400&lt;&gt;0,VLOOKUP(B400,#REF!,2,FALSE),"")</f>
        <v>#REF!</v>
      </c>
      <c r="Q400" s="62">
        <v>2</v>
      </c>
      <c r="R400" s="62">
        <f t="shared" si="183"/>
        <v>1</v>
      </c>
      <c r="AD400" s="221"/>
      <c r="AE400" s="481"/>
      <c r="AF400" s="481"/>
      <c r="AG400" s="481"/>
      <c r="AH400" s="481"/>
      <c r="AI400" s="873">
        <f t="shared" si="191"/>
        <v>63.7</v>
      </c>
      <c r="AJ400" s="26">
        <f t="shared" si="189"/>
        <v>80.78</v>
      </c>
      <c r="AK400" s="26">
        <f t="shared" si="192"/>
        <v>80.78</v>
      </c>
      <c r="AL400" s="224"/>
    </row>
    <row r="401" spans="1:38" s="62" customFormat="1" ht="30">
      <c r="A401" s="25" t="s">
        <v>2747</v>
      </c>
      <c r="B401" s="24">
        <v>8113</v>
      </c>
      <c r="C401" s="23" t="s">
        <v>1750</v>
      </c>
      <c r="D401" s="25" t="s">
        <v>44</v>
      </c>
      <c r="E401" s="25" t="s">
        <v>17</v>
      </c>
      <c r="F401" s="26">
        <v>2</v>
      </c>
      <c r="G401" s="26">
        <f t="shared" si="175"/>
        <v>35.929500000000004</v>
      </c>
      <c r="H401" s="26">
        <f t="shared" si="186"/>
        <v>45.56</v>
      </c>
      <c r="I401" s="26">
        <f t="shared" si="187"/>
        <v>91.12</v>
      </c>
      <c r="J401" s="64">
        <f>'COMPOSIÇÃO DE CUSTOS'!G1300</f>
        <v>35.93</v>
      </c>
      <c r="K401" s="362">
        <v>42.27</v>
      </c>
      <c r="L401" s="65">
        <f t="shared" si="176"/>
        <v>-6.3404999999999987</v>
      </c>
      <c r="M401" s="65">
        <f t="shared" si="177"/>
        <v>71.859000000000009</v>
      </c>
      <c r="N401" s="65"/>
      <c r="O401" s="65">
        <f t="shared" si="178"/>
        <v>91.12</v>
      </c>
      <c r="P401" s="65" t="e">
        <f>IF(B401&lt;&gt;0,VLOOKUP(B401,#REF!,2,FALSE),"")</f>
        <v>#REF!</v>
      </c>
      <c r="Q401" s="62">
        <v>2</v>
      </c>
      <c r="R401" s="62">
        <f t="shared" si="183"/>
        <v>0</v>
      </c>
      <c r="AD401" s="221"/>
      <c r="AE401" s="481"/>
      <c r="AF401" s="481"/>
      <c r="AG401" s="481"/>
      <c r="AH401" s="481"/>
      <c r="AI401" s="873">
        <f t="shared" si="191"/>
        <v>40.03</v>
      </c>
      <c r="AJ401" s="26">
        <f t="shared" si="189"/>
        <v>50.76</v>
      </c>
      <c r="AK401" s="26">
        <f t="shared" si="192"/>
        <v>101.52</v>
      </c>
      <c r="AL401" s="224"/>
    </row>
    <row r="402" spans="1:38" s="62" customFormat="1" ht="30">
      <c r="A402" s="25" t="s">
        <v>2748</v>
      </c>
      <c r="B402" s="24">
        <v>9533</v>
      </c>
      <c r="C402" s="23" t="s">
        <v>1751</v>
      </c>
      <c r="D402" s="25" t="s">
        <v>44</v>
      </c>
      <c r="E402" s="25" t="s">
        <v>17</v>
      </c>
      <c r="F402" s="26">
        <v>2</v>
      </c>
      <c r="G402" s="26">
        <f t="shared" si="175"/>
        <v>12.1295</v>
      </c>
      <c r="H402" s="26">
        <f t="shared" si="186"/>
        <v>15.38</v>
      </c>
      <c r="I402" s="26">
        <f t="shared" si="187"/>
        <v>30.76</v>
      </c>
      <c r="J402" s="64">
        <f>'COMPOSIÇÃO DE CUSTOS'!G1279</f>
        <v>12.13</v>
      </c>
      <c r="K402" s="362">
        <v>14.27</v>
      </c>
      <c r="L402" s="65">
        <f t="shared" si="176"/>
        <v>-2.1404999999999994</v>
      </c>
      <c r="M402" s="65">
        <f t="shared" si="177"/>
        <v>24.259</v>
      </c>
      <c r="N402" s="65"/>
      <c r="O402" s="65">
        <f t="shared" si="178"/>
        <v>30.76</v>
      </c>
      <c r="P402" s="65" t="e">
        <f>IF(B402&lt;&gt;0,VLOOKUP(B402,#REF!,2,FALSE),"")</f>
        <v>#REF!</v>
      </c>
      <c r="Q402" s="62">
        <v>3</v>
      </c>
      <c r="R402" s="62">
        <f t="shared" si="183"/>
        <v>1</v>
      </c>
      <c r="AD402" s="221"/>
      <c r="AE402" s="481"/>
      <c r="AF402" s="481"/>
      <c r="AG402" s="481"/>
      <c r="AH402" s="481"/>
      <c r="AI402" s="873">
        <f t="shared" si="191"/>
        <v>13.51</v>
      </c>
      <c r="AJ402" s="26">
        <f t="shared" si="189"/>
        <v>17.13</v>
      </c>
      <c r="AK402" s="26">
        <f t="shared" si="192"/>
        <v>34.26</v>
      </c>
      <c r="AL402" s="224"/>
    </row>
    <row r="403" spans="1:38" s="62" customFormat="1" ht="30">
      <c r="A403" s="25" t="s">
        <v>2749</v>
      </c>
      <c r="B403" s="24">
        <v>63988</v>
      </c>
      <c r="C403" s="23" t="s">
        <v>2750</v>
      </c>
      <c r="D403" s="25" t="s">
        <v>1915</v>
      </c>
      <c r="E403" s="25" t="s">
        <v>17</v>
      </c>
      <c r="F403" s="26">
        <v>3</v>
      </c>
      <c r="G403" s="26">
        <f t="shared" si="175"/>
        <v>82.212000000000003</v>
      </c>
      <c r="H403" s="26">
        <f t="shared" si="186"/>
        <v>104.25</v>
      </c>
      <c r="I403" s="26">
        <f t="shared" si="187"/>
        <v>312.75</v>
      </c>
      <c r="J403" s="64">
        <f>'COMPOSIÇÃO DE CUSTOS'!G1123</f>
        <v>82.21</v>
      </c>
      <c r="K403" s="362">
        <v>96.72</v>
      </c>
      <c r="L403" s="65">
        <f t="shared" si="176"/>
        <v>-14.507999999999996</v>
      </c>
      <c r="M403" s="65">
        <f t="shared" si="177"/>
        <v>246.63600000000002</v>
      </c>
      <c r="N403" s="65"/>
      <c r="O403" s="65">
        <f t="shared" si="178"/>
        <v>312.75</v>
      </c>
      <c r="P403" s="65" t="e">
        <f>IF(B403&lt;&gt;0,VLOOKUP(B403,#REF!,2,FALSE),"")</f>
        <v>#REF!</v>
      </c>
      <c r="Q403" s="62">
        <v>1</v>
      </c>
      <c r="R403" s="62">
        <f t="shared" si="183"/>
        <v>-2</v>
      </c>
      <c r="AD403" s="221"/>
      <c r="AE403" s="481"/>
      <c r="AF403" s="481"/>
      <c r="AG403" s="481"/>
      <c r="AH403" s="481"/>
      <c r="AI403" s="873">
        <f t="shared" si="191"/>
        <v>91.58</v>
      </c>
      <c r="AJ403" s="26">
        <f t="shared" si="189"/>
        <v>116.13</v>
      </c>
      <c r="AK403" s="26">
        <f t="shared" si="192"/>
        <v>348.39</v>
      </c>
      <c r="AL403" s="224"/>
    </row>
    <row r="404" spans="1:38" s="62" customFormat="1" ht="30">
      <c r="A404" s="25" t="s">
        <v>2751</v>
      </c>
      <c r="B404" s="24">
        <v>8112</v>
      </c>
      <c r="C404" s="23" t="s">
        <v>225</v>
      </c>
      <c r="D404" s="25" t="s">
        <v>44</v>
      </c>
      <c r="E404" s="25" t="s">
        <v>17</v>
      </c>
      <c r="F404" s="26">
        <v>1</v>
      </c>
      <c r="G404" s="26">
        <f t="shared" si="175"/>
        <v>141.4145</v>
      </c>
      <c r="H404" s="26">
        <f t="shared" si="186"/>
        <v>179.33</v>
      </c>
      <c r="I404" s="26">
        <f t="shared" si="187"/>
        <v>179.33</v>
      </c>
      <c r="J404" s="64">
        <f>'COMPOSIÇÃO DE CUSTOS'!G1293</f>
        <v>141.41</v>
      </c>
      <c r="K404" s="362">
        <v>166.37</v>
      </c>
      <c r="L404" s="65">
        <f t="shared" si="176"/>
        <v>-24.955500000000001</v>
      </c>
      <c r="M404" s="65">
        <f t="shared" si="177"/>
        <v>141.4145</v>
      </c>
      <c r="N404" s="65"/>
      <c r="O404" s="65">
        <f t="shared" si="178"/>
        <v>179.33</v>
      </c>
      <c r="P404" s="65" t="e">
        <f>IF(B404&lt;&gt;0,VLOOKUP(B404,#REF!,2,FALSE),"")</f>
        <v>#REF!</v>
      </c>
      <c r="Q404" s="62">
        <v>1</v>
      </c>
      <c r="R404" s="62">
        <f t="shared" si="183"/>
        <v>0</v>
      </c>
      <c r="AD404" s="221"/>
      <c r="AE404" s="481"/>
      <c r="AF404" s="481"/>
      <c r="AG404" s="481"/>
      <c r="AH404" s="481"/>
      <c r="AI404" s="873">
        <f t="shared" si="191"/>
        <v>157.54</v>
      </c>
      <c r="AJ404" s="26">
        <f t="shared" si="189"/>
        <v>199.78</v>
      </c>
      <c r="AK404" s="26">
        <f t="shared" si="192"/>
        <v>199.78</v>
      </c>
      <c r="AL404" s="224"/>
    </row>
    <row r="405" spans="1:38" s="62" customFormat="1" ht="30">
      <c r="A405" s="25" t="s">
        <v>2752</v>
      </c>
      <c r="B405" s="24" t="s">
        <v>2240</v>
      </c>
      <c r="C405" s="23" t="s">
        <v>204</v>
      </c>
      <c r="D405" s="25" t="s">
        <v>1915</v>
      </c>
      <c r="E405" s="25" t="s">
        <v>17</v>
      </c>
      <c r="F405" s="26">
        <v>1</v>
      </c>
      <c r="G405" s="26">
        <f t="shared" si="175"/>
        <v>73.5505</v>
      </c>
      <c r="H405" s="26">
        <f t="shared" si="186"/>
        <v>93.27</v>
      </c>
      <c r="I405" s="26">
        <f t="shared" si="187"/>
        <v>93.27</v>
      </c>
      <c r="J405" s="64">
        <f>'COMPOSIÇÃO DE CUSTOS'!G1130</f>
        <v>73.55</v>
      </c>
      <c r="K405" s="362">
        <v>86.53</v>
      </c>
      <c r="L405" s="65">
        <f t="shared" si="176"/>
        <v>-12.979500000000002</v>
      </c>
      <c r="M405" s="65">
        <f t="shared" si="177"/>
        <v>73.5505</v>
      </c>
      <c r="N405" s="65"/>
      <c r="O405" s="65">
        <f t="shared" si="178"/>
        <v>93.27</v>
      </c>
      <c r="P405" s="65" t="e">
        <f>IF(B405&lt;&gt;0,VLOOKUP(B405,#REF!,2,FALSE),"")</f>
        <v>#REF!</v>
      </c>
      <c r="Q405" s="62">
        <v>1</v>
      </c>
      <c r="R405" s="62">
        <f t="shared" si="183"/>
        <v>0</v>
      </c>
      <c r="AD405" s="221"/>
      <c r="AE405" s="481"/>
      <c r="AF405" s="481"/>
      <c r="AG405" s="481"/>
      <c r="AH405" s="481"/>
      <c r="AI405" s="873">
        <f t="shared" si="191"/>
        <v>81.94</v>
      </c>
      <c r="AJ405" s="26">
        <f t="shared" si="189"/>
        <v>103.91</v>
      </c>
      <c r="AK405" s="26">
        <f t="shared" si="192"/>
        <v>103.91</v>
      </c>
      <c r="AL405" s="224"/>
    </row>
    <row r="406" spans="1:38" s="62" customFormat="1" ht="30">
      <c r="A406" s="25" t="s">
        <v>2753</v>
      </c>
      <c r="B406" s="24">
        <v>4109</v>
      </c>
      <c r="C406" s="23" t="s">
        <v>1752</v>
      </c>
      <c r="D406" s="25" t="s">
        <v>44</v>
      </c>
      <c r="E406" s="25" t="s">
        <v>17</v>
      </c>
      <c r="F406" s="26">
        <v>1</v>
      </c>
      <c r="G406" s="26">
        <f t="shared" ref="G406:G469" si="193">K406-(K406*$L$14)</f>
        <v>26.749499999999998</v>
      </c>
      <c r="H406" s="26">
        <f t="shared" si="186"/>
        <v>33.92</v>
      </c>
      <c r="I406" s="26">
        <f t="shared" si="187"/>
        <v>33.92</v>
      </c>
      <c r="J406" s="64">
        <f>'COMPOSIÇÃO DE CUSTOS'!G1286</f>
        <v>26.75</v>
      </c>
      <c r="K406" s="362">
        <v>31.47</v>
      </c>
      <c r="L406" s="65">
        <f t="shared" ref="L406:L469" si="194">G406-K406</f>
        <v>-4.7205000000000013</v>
      </c>
      <c r="M406" s="65">
        <f t="shared" ref="M406:M469" si="195">F406*G406</f>
        <v>26.749499999999998</v>
      </c>
      <c r="N406" s="65"/>
      <c r="O406" s="65">
        <f t="shared" ref="O406:O469" si="196">F406*H406</f>
        <v>33.92</v>
      </c>
      <c r="P406" s="65" t="e">
        <f>IF(B406&lt;&gt;0,VLOOKUP(B406,#REF!,2,FALSE),"")</f>
        <v>#REF!</v>
      </c>
      <c r="Q406" s="62">
        <v>13</v>
      </c>
      <c r="R406" s="62">
        <f t="shared" si="183"/>
        <v>12</v>
      </c>
      <c r="AD406" s="221"/>
      <c r="AE406" s="481"/>
      <c r="AF406" s="481"/>
      <c r="AG406" s="481"/>
      <c r="AH406" s="481"/>
      <c r="AI406" s="873">
        <f t="shared" si="191"/>
        <v>29.8</v>
      </c>
      <c r="AJ406" s="26">
        <f t="shared" si="189"/>
        <v>37.79</v>
      </c>
      <c r="AK406" s="26">
        <f t="shared" si="192"/>
        <v>37.79</v>
      </c>
      <c r="AL406" s="224"/>
    </row>
    <row r="407" spans="1:38" s="62" customFormat="1" ht="30">
      <c r="A407" s="25" t="s">
        <v>2754</v>
      </c>
      <c r="B407" s="24">
        <v>725</v>
      </c>
      <c r="C407" s="23" t="s">
        <v>2271</v>
      </c>
      <c r="D407" s="25" t="s">
        <v>44</v>
      </c>
      <c r="E407" s="25" t="s">
        <v>17</v>
      </c>
      <c r="F407" s="26">
        <v>13</v>
      </c>
      <c r="G407" s="26">
        <f t="shared" si="193"/>
        <v>5.5419999999999998</v>
      </c>
      <c r="H407" s="26">
        <f t="shared" si="186"/>
        <v>7.03</v>
      </c>
      <c r="I407" s="26">
        <f t="shared" si="187"/>
        <v>91.39</v>
      </c>
      <c r="J407" s="64">
        <f>'COMPOSIÇÃO DE CUSTOS'!G1172</f>
        <v>5.55</v>
      </c>
      <c r="K407" s="362">
        <v>6.52</v>
      </c>
      <c r="L407" s="65">
        <f t="shared" si="194"/>
        <v>-0.97799999999999976</v>
      </c>
      <c r="M407" s="65">
        <f t="shared" si="195"/>
        <v>72.045999999999992</v>
      </c>
      <c r="N407" s="65"/>
      <c r="O407" s="65">
        <f t="shared" si="196"/>
        <v>91.39</v>
      </c>
      <c r="P407" s="65" t="e">
        <f>IF(B407&lt;&gt;0,VLOOKUP(B407,#REF!,2,FALSE),"")</f>
        <v>#REF!</v>
      </c>
      <c r="R407" s="62">
        <f t="shared" si="183"/>
        <v>-13</v>
      </c>
      <c r="AD407" s="221"/>
      <c r="AE407" s="481"/>
      <c r="AF407" s="481"/>
      <c r="AG407" s="481"/>
      <c r="AH407" s="481"/>
      <c r="AI407" s="873">
        <f t="shared" si="191"/>
        <v>6.17</v>
      </c>
      <c r="AJ407" s="26">
        <f t="shared" si="189"/>
        <v>7.82</v>
      </c>
      <c r="AK407" s="26">
        <f t="shared" si="192"/>
        <v>101.66</v>
      </c>
      <c r="AL407" s="224"/>
    </row>
    <row r="408" spans="1:38" s="62" customFormat="1">
      <c r="A408" s="77" t="s">
        <v>993</v>
      </c>
      <c r="B408" s="139"/>
      <c r="C408" s="340" t="s">
        <v>209</v>
      </c>
      <c r="D408" s="341"/>
      <c r="E408" s="341"/>
      <c r="F408" s="341"/>
      <c r="G408" s="26"/>
      <c r="H408" s="341"/>
      <c r="I408" s="96"/>
      <c r="J408" s="65" t="str">
        <f>IF(B408&lt;&gt;0,VLOOKUP(B408,#REF!,4,FALSE),"")</f>
        <v/>
      </c>
      <c r="K408" s="362" t="s">
        <v>1892</v>
      </c>
      <c r="L408" s="65"/>
      <c r="M408" s="65">
        <f t="shared" si="195"/>
        <v>0</v>
      </c>
      <c r="N408" s="65"/>
      <c r="O408" s="65">
        <f t="shared" si="196"/>
        <v>0</v>
      </c>
      <c r="P408" s="65" t="str">
        <f>IF(B408&lt;&gt;0,VLOOKUP(B408,#REF!,2,FALSE),"")</f>
        <v/>
      </c>
      <c r="Q408" s="62">
        <v>4</v>
      </c>
      <c r="R408" s="62">
        <f t="shared" si="183"/>
        <v>4</v>
      </c>
      <c r="AD408" s="221"/>
      <c r="AE408" s="481"/>
      <c r="AF408" s="481"/>
      <c r="AG408" s="481"/>
      <c r="AH408" s="481"/>
      <c r="AI408" s="873"/>
      <c r="AJ408" s="26"/>
      <c r="AK408" s="26"/>
      <c r="AL408" s="224"/>
    </row>
    <row r="409" spans="1:38" s="62" customFormat="1" ht="30">
      <c r="A409" s="25" t="s">
        <v>994</v>
      </c>
      <c r="B409" s="24">
        <v>7384</v>
      </c>
      <c r="C409" s="23" t="s">
        <v>229</v>
      </c>
      <c r="D409" s="25" t="s">
        <v>44</v>
      </c>
      <c r="E409" s="25" t="s">
        <v>52</v>
      </c>
      <c r="F409" s="26">
        <v>4</v>
      </c>
      <c r="G409" s="26">
        <f t="shared" si="193"/>
        <v>19.244</v>
      </c>
      <c r="H409" s="26">
        <f>ROUND(G409*(1+$J$13),2)</f>
        <v>24.4</v>
      </c>
      <c r="I409" s="26">
        <f t="shared" ref="I409:I411" si="197">ROUND(H409*F409,2)</f>
        <v>97.6</v>
      </c>
      <c r="J409" s="64">
        <f>'COMPOSIÇÃO DE CUSTOS'!G1195</f>
        <v>19.25</v>
      </c>
      <c r="K409" s="362">
        <v>22.64</v>
      </c>
      <c r="L409" s="65">
        <f t="shared" si="194"/>
        <v>-3.3960000000000008</v>
      </c>
      <c r="M409" s="65">
        <f t="shared" si="195"/>
        <v>76.975999999999999</v>
      </c>
      <c r="N409" s="65"/>
      <c r="O409" s="65">
        <f t="shared" si="196"/>
        <v>97.6</v>
      </c>
      <c r="P409" s="65" t="e">
        <f>IF(B409&lt;&gt;0,VLOOKUP(B409,#REF!,2,FALSE),"")</f>
        <v>#REF!</v>
      </c>
      <c r="Q409" s="62">
        <v>7</v>
      </c>
      <c r="R409" s="62">
        <f t="shared" si="183"/>
        <v>3</v>
      </c>
      <c r="AD409" s="221"/>
      <c r="AE409" s="481"/>
      <c r="AF409" s="481"/>
      <c r="AG409" s="481"/>
      <c r="AH409" s="481"/>
      <c r="AI409" s="873">
        <f t="shared" si="191"/>
        <v>21.44</v>
      </c>
      <c r="AJ409" s="26">
        <f t="shared" si="189"/>
        <v>27.19</v>
      </c>
      <c r="AK409" s="26">
        <f t="shared" si="192"/>
        <v>108.76</v>
      </c>
      <c r="AL409" s="224"/>
    </row>
    <row r="410" spans="1:38" s="62" customFormat="1" ht="30">
      <c r="A410" s="25" t="s">
        <v>995</v>
      </c>
      <c r="B410" s="24">
        <v>7879</v>
      </c>
      <c r="C410" s="23" t="s">
        <v>1764</v>
      </c>
      <c r="D410" s="25" t="s">
        <v>44</v>
      </c>
      <c r="E410" s="25" t="s">
        <v>17</v>
      </c>
      <c r="F410" s="26">
        <v>7</v>
      </c>
      <c r="G410" s="26">
        <f t="shared" si="193"/>
        <v>9.4945000000000004</v>
      </c>
      <c r="H410" s="26">
        <f>ROUND(G410*(1+$J$13),2)</f>
        <v>12.04</v>
      </c>
      <c r="I410" s="26">
        <f t="shared" si="197"/>
        <v>84.28</v>
      </c>
      <c r="J410" s="64">
        <f>'COMPOSIÇÃO DE CUSTOS'!G1258</f>
        <v>9.49</v>
      </c>
      <c r="K410" s="362">
        <v>11.17</v>
      </c>
      <c r="L410" s="65">
        <f t="shared" si="194"/>
        <v>-1.6754999999999995</v>
      </c>
      <c r="M410" s="65">
        <f t="shared" si="195"/>
        <v>66.461500000000001</v>
      </c>
      <c r="N410" s="65"/>
      <c r="O410" s="65">
        <f t="shared" si="196"/>
        <v>84.28</v>
      </c>
      <c r="P410" s="65" t="e">
        <f>IF(B410&lt;&gt;0,VLOOKUP(B410,#REF!,2,FALSE),"")</f>
        <v>#REF!</v>
      </c>
      <c r="Q410" s="62">
        <v>5</v>
      </c>
      <c r="R410" s="62">
        <f t="shared" si="183"/>
        <v>-2</v>
      </c>
      <c r="AD410" s="221"/>
      <c r="AE410" s="481"/>
      <c r="AF410" s="481"/>
      <c r="AG410" s="481"/>
      <c r="AH410" s="481"/>
      <c r="AI410" s="873">
        <f t="shared" si="191"/>
        <v>10.58</v>
      </c>
      <c r="AJ410" s="26">
        <f t="shared" si="189"/>
        <v>13.42</v>
      </c>
      <c r="AK410" s="26">
        <f t="shared" si="192"/>
        <v>93.94</v>
      </c>
      <c r="AL410" s="224"/>
    </row>
    <row r="411" spans="1:38" s="62" customFormat="1" ht="30">
      <c r="A411" s="25" t="s">
        <v>996</v>
      </c>
      <c r="B411" s="24">
        <v>12977</v>
      </c>
      <c r="C411" s="23" t="s">
        <v>212</v>
      </c>
      <c r="D411" s="25" t="s">
        <v>44</v>
      </c>
      <c r="E411" s="25" t="s">
        <v>17</v>
      </c>
      <c r="F411" s="26">
        <v>5</v>
      </c>
      <c r="G411" s="26">
        <f t="shared" si="193"/>
        <v>13.5745</v>
      </c>
      <c r="H411" s="26">
        <f>ROUND(G411*(1+$J$13),2)</f>
        <v>17.21</v>
      </c>
      <c r="I411" s="26">
        <f t="shared" si="197"/>
        <v>86.05</v>
      </c>
      <c r="J411" s="64">
        <f>'COMPOSIÇÃO DE CUSTOS'!G1223</f>
        <v>13.57</v>
      </c>
      <c r="K411" s="362">
        <v>15.97</v>
      </c>
      <c r="L411" s="65">
        <f t="shared" si="194"/>
        <v>-2.3955000000000002</v>
      </c>
      <c r="M411" s="65">
        <f t="shared" si="195"/>
        <v>67.872500000000002</v>
      </c>
      <c r="N411" s="65"/>
      <c r="O411" s="65">
        <f t="shared" si="196"/>
        <v>86.050000000000011</v>
      </c>
      <c r="P411" s="65" t="e">
        <f>IF(B411&lt;&gt;0,VLOOKUP(B411,#REF!,2,FALSE),"")</f>
        <v>#REF!</v>
      </c>
      <c r="R411" s="62">
        <f t="shared" si="183"/>
        <v>-5</v>
      </c>
      <c r="AD411" s="221"/>
      <c r="AE411" s="481"/>
      <c r="AF411" s="481"/>
      <c r="AG411" s="481"/>
      <c r="AH411" s="481"/>
      <c r="AI411" s="873">
        <f t="shared" si="191"/>
        <v>15.12</v>
      </c>
      <c r="AJ411" s="26">
        <f t="shared" si="189"/>
        <v>19.170000000000002</v>
      </c>
      <c r="AK411" s="26">
        <f t="shared" si="192"/>
        <v>95.85</v>
      </c>
      <c r="AL411" s="224"/>
    </row>
    <row r="412" spans="1:38" s="62" customFormat="1">
      <c r="A412" s="77" t="s">
        <v>1000</v>
      </c>
      <c r="B412" s="139"/>
      <c r="C412" s="340" t="s">
        <v>214</v>
      </c>
      <c r="D412" s="341"/>
      <c r="E412" s="341"/>
      <c r="F412" s="341"/>
      <c r="G412" s="26"/>
      <c r="H412" s="341"/>
      <c r="I412" s="96"/>
      <c r="J412" s="65" t="str">
        <f>IF(B412&lt;&gt;0,VLOOKUP(B412,#REF!,4,FALSE),"")</f>
        <v/>
      </c>
      <c r="K412" s="362" t="s">
        <v>1892</v>
      </c>
      <c r="L412" s="65"/>
      <c r="M412" s="65">
        <f t="shared" si="195"/>
        <v>0</v>
      </c>
      <c r="N412" s="65"/>
      <c r="O412" s="65">
        <f t="shared" si="196"/>
        <v>0</v>
      </c>
      <c r="P412" s="65" t="str">
        <f>IF(B412&lt;&gt;0,VLOOKUP(B412,#REF!,2,FALSE),"")</f>
        <v/>
      </c>
      <c r="Q412" s="62">
        <v>104</v>
      </c>
      <c r="R412" s="62">
        <f t="shared" si="183"/>
        <v>104</v>
      </c>
      <c r="AD412" s="221"/>
      <c r="AE412" s="481"/>
      <c r="AF412" s="481"/>
      <c r="AG412" s="481"/>
      <c r="AH412" s="481"/>
      <c r="AI412" s="873"/>
      <c r="AJ412" s="26"/>
      <c r="AK412" s="26"/>
      <c r="AL412" s="224"/>
    </row>
    <row r="413" spans="1:38" s="62" customFormat="1" ht="45">
      <c r="A413" s="25" t="s">
        <v>1001</v>
      </c>
      <c r="B413" s="24">
        <v>91929</v>
      </c>
      <c r="C413" s="23" t="s">
        <v>1681</v>
      </c>
      <c r="D413" s="25" t="s">
        <v>12</v>
      </c>
      <c r="E413" s="25" t="s">
        <v>52</v>
      </c>
      <c r="F413" s="26">
        <v>104</v>
      </c>
      <c r="G413" s="26">
        <f t="shared" si="193"/>
        <v>5.8819999999999997</v>
      </c>
      <c r="H413" s="26">
        <f t="shared" ref="H413:H419" si="198">ROUND(G413*(1+$J$13),2)</f>
        <v>7.46</v>
      </c>
      <c r="I413" s="26">
        <f t="shared" ref="I413:I419" si="199">ROUND(H413*F413,2)</f>
        <v>775.84</v>
      </c>
      <c r="J413" s="65" t="e">
        <f>IF(B413&lt;&gt;0,VLOOKUP(B413,#REF!,4,FALSE),"")</f>
        <v>#REF!</v>
      </c>
      <c r="K413" s="362" t="s">
        <v>1860</v>
      </c>
      <c r="L413" s="65">
        <f t="shared" si="194"/>
        <v>-1.0380000000000003</v>
      </c>
      <c r="M413" s="65">
        <f t="shared" si="195"/>
        <v>611.72799999999995</v>
      </c>
      <c r="N413" s="65"/>
      <c r="O413" s="65">
        <f t="shared" si="196"/>
        <v>775.84</v>
      </c>
      <c r="P413" s="65" t="e">
        <f>IF(B413&lt;&gt;0,VLOOKUP(B413,#REF!,2,FALSE),"")</f>
        <v>#REF!</v>
      </c>
      <c r="Q413" s="62">
        <v>1879</v>
      </c>
      <c r="R413" s="62">
        <f t="shared" si="183"/>
        <v>1775</v>
      </c>
      <c r="AD413" s="221"/>
      <c r="AE413" s="481"/>
      <c r="AF413" s="481"/>
      <c r="AG413" s="481"/>
      <c r="AH413" s="481"/>
      <c r="AI413" s="873">
        <f t="shared" si="191"/>
        <v>6.55</v>
      </c>
      <c r="AJ413" s="26">
        <f t="shared" si="189"/>
        <v>8.31</v>
      </c>
      <c r="AK413" s="26">
        <f t="shared" si="192"/>
        <v>864.24</v>
      </c>
      <c r="AL413" s="224"/>
    </row>
    <row r="414" spans="1:38" s="34" customFormat="1" ht="45">
      <c r="A414" s="472" t="s">
        <v>1002</v>
      </c>
      <c r="B414" s="475">
        <v>92982</v>
      </c>
      <c r="C414" s="471" t="s">
        <v>1683</v>
      </c>
      <c r="D414" s="472" t="s">
        <v>12</v>
      </c>
      <c r="E414" s="472" t="s">
        <v>52</v>
      </c>
      <c r="F414" s="473">
        <v>1879</v>
      </c>
      <c r="G414" s="473">
        <f t="shared" si="193"/>
        <v>14.195</v>
      </c>
      <c r="H414" s="473">
        <f t="shared" si="198"/>
        <v>18</v>
      </c>
      <c r="I414" s="473">
        <f t="shared" si="199"/>
        <v>33822</v>
      </c>
      <c r="J414" s="47" t="e">
        <f>IF(B414&lt;&gt;0,VLOOKUP(B414,#REF!,4,FALSE),"")</f>
        <v>#REF!</v>
      </c>
      <c r="K414" s="378" t="s">
        <v>1848</v>
      </c>
      <c r="L414" s="47">
        <f t="shared" si="194"/>
        <v>-2.504999999999999</v>
      </c>
      <c r="M414" s="47">
        <f t="shared" si="195"/>
        <v>26672.404999999999</v>
      </c>
      <c r="N414" s="47"/>
      <c r="O414" s="47">
        <f t="shared" si="196"/>
        <v>33822</v>
      </c>
      <c r="P414" s="47" t="e">
        <f>IF(B414&lt;&gt;0,VLOOKUP(B414,#REF!,2,FALSE),"")</f>
        <v>#REF!</v>
      </c>
      <c r="Q414" s="34">
        <v>134</v>
      </c>
      <c r="R414" s="34">
        <f t="shared" si="183"/>
        <v>-1745</v>
      </c>
      <c r="AD414" s="577"/>
      <c r="AE414" s="502"/>
      <c r="AF414" s="502"/>
      <c r="AG414" s="502"/>
      <c r="AH414" s="502"/>
      <c r="AI414" s="872">
        <f t="shared" ref="AI414:AI419" si="200">AL414</f>
        <v>26.01</v>
      </c>
      <c r="AJ414" s="473">
        <f t="shared" ref="AJ414:AJ419" si="201">ROUND(AI414*(1+$J$13),2)</f>
        <v>32.979999999999997</v>
      </c>
      <c r="AK414" s="473">
        <f t="shared" ref="AK414:AK419" si="202">ROUND(AJ414*F414,2)</f>
        <v>61969.42</v>
      </c>
      <c r="AL414" s="788">
        <f>'PLANILHA ORÇA - CORREGEDORIA'!BG490</f>
        <v>26.01</v>
      </c>
    </row>
    <row r="415" spans="1:38" s="34" customFormat="1" ht="45">
      <c r="A415" s="472" t="s">
        <v>1003</v>
      </c>
      <c r="B415" s="475">
        <v>92984</v>
      </c>
      <c r="C415" s="471" t="s">
        <v>1684</v>
      </c>
      <c r="D415" s="472" t="s">
        <v>12</v>
      </c>
      <c r="E415" s="472" t="s">
        <v>52</v>
      </c>
      <c r="F415" s="473">
        <v>134</v>
      </c>
      <c r="G415" s="473">
        <f t="shared" si="193"/>
        <v>22.5505</v>
      </c>
      <c r="H415" s="473">
        <f t="shared" si="198"/>
        <v>28.6</v>
      </c>
      <c r="I415" s="473">
        <f t="shared" si="199"/>
        <v>3832.4</v>
      </c>
      <c r="J415" s="47" t="e">
        <f>IF(B415&lt;&gt;0,VLOOKUP(B415,#REF!,4,FALSE),"")</f>
        <v>#REF!</v>
      </c>
      <c r="K415" s="378" t="s">
        <v>3230</v>
      </c>
      <c r="L415" s="47">
        <f t="shared" si="194"/>
        <v>-3.9795000000000016</v>
      </c>
      <c r="M415" s="47">
        <f t="shared" si="195"/>
        <v>3021.7669999999998</v>
      </c>
      <c r="N415" s="47"/>
      <c r="O415" s="47">
        <f t="shared" si="196"/>
        <v>3832.4</v>
      </c>
      <c r="P415" s="47" t="e">
        <f>IF(B415&lt;&gt;0,VLOOKUP(B415,#REF!,2,FALSE),"")</f>
        <v>#REF!</v>
      </c>
      <c r="Q415" s="34">
        <v>22</v>
      </c>
      <c r="R415" s="34">
        <f t="shared" si="183"/>
        <v>-112</v>
      </c>
      <c r="AD415" s="577"/>
      <c r="AE415" s="502"/>
      <c r="AF415" s="502"/>
      <c r="AG415" s="502"/>
      <c r="AH415" s="502"/>
      <c r="AI415" s="872">
        <f t="shared" si="200"/>
        <v>24.84</v>
      </c>
      <c r="AJ415" s="473">
        <f t="shared" si="201"/>
        <v>31.5</v>
      </c>
      <c r="AK415" s="473">
        <f t="shared" si="202"/>
        <v>4221</v>
      </c>
      <c r="AL415" s="788">
        <f>'PLANILHA ORÇA - CORREGEDORIA'!BG491</f>
        <v>24.84</v>
      </c>
    </row>
    <row r="416" spans="1:38" s="34" customFormat="1" ht="45">
      <c r="A416" s="472" t="s">
        <v>1004</v>
      </c>
      <c r="B416" s="475">
        <v>92986</v>
      </c>
      <c r="C416" s="471" t="s">
        <v>1685</v>
      </c>
      <c r="D416" s="472" t="s">
        <v>12</v>
      </c>
      <c r="E416" s="472" t="s">
        <v>52</v>
      </c>
      <c r="F416" s="473">
        <v>22</v>
      </c>
      <c r="G416" s="473">
        <f t="shared" si="193"/>
        <v>30.667999999999999</v>
      </c>
      <c r="H416" s="473">
        <f t="shared" si="198"/>
        <v>38.89</v>
      </c>
      <c r="I416" s="473">
        <f t="shared" si="199"/>
        <v>855.58</v>
      </c>
      <c r="J416" s="47" t="e">
        <f>IF(B416&lt;&gt;0,VLOOKUP(B416,#REF!,4,FALSE),"")</f>
        <v>#REF!</v>
      </c>
      <c r="K416" s="378" t="s">
        <v>3231</v>
      </c>
      <c r="L416" s="47">
        <f t="shared" si="194"/>
        <v>-5.411999999999999</v>
      </c>
      <c r="M416" s="47">
        <f t="shared" si="195"/>
        <v>674.69600000000003</v>
      </c>
      <c r="N416" s="47"/>
      <c r="O416" s="47">
        <f t="shared" si="196"/>
        <v>855.58</v>
      </c>
      <c r="P416" s="47" t="e">
        <f>IF(B416&lt;&gt;0,VLOOKUP(B416,#REF!,2,FALSE),"")</f>
        <v>#REF!</v>
      </c>
      <c r="Q416" s="34">
        <v>117</v>
      </c>
      <c r="R416" s="34">
        <f t="shared" si="183"/>
        <v>95</v>
      </c>
      <c r="AD416" s="577"/>
      <c r="AE416" s="502"/>
      <c r="AF416" s="502"/>
      <c r="AG416" s="502"/>
      <c r="AH416" s="502"/>
      <c r="AI416" s="872">
        <f t="shared" si="200"/>
        <v>47.53</v>
      </c>
      <c r="AJ416" s="473">
        <f t="shared" si="201"/>
        <v>60.27</v>
      </c>
      <c r="AK416" s="473">
        <f t="shared" si="202"/>
        <v>1325.94</v>
      </c>
      <c r="AL416" s="788">
        <f>'PLANILHA ORÇA - CORREGEDORIA'!BG492</f>
        <v>47.53</v>
      </c>
    </row>
    <row r="417" spans="1:38" s="34" customFormat="1" ht="45">
      <c r="A417" s="472" t="s">
        <v>1005</v>
      </c>
      <c r="B417" s="475">
        <v>92988</v>
      </c>
      <c r="C417" s="471" t="s">
        <v>1686</v>
      </c>
      <c r="D417" s="472" t="s">
        <v>12</v>
      </c>
      <c r="E417" s="472" t="s">
        <v>52</v>
      </c>
      <c r="F417" s="473">
        <v>117</v>
      </c>
      <c r="G417" s="473">
        <f t="shared" si="193"/>
        <v>43.248000000000005</v>
      </c>
      <c r="H417" s="473">
        <f t="shared" si="198"/>
        <v>54.84</v>
      </c>
      <c r="I417" s="473">
        <f t="shared" si="199"/>
        <v>6416.28</v>
      </c>
      <c r="J417" s="47" t="e">
        <f>IF(B417&lt;&gt;0,VLOOKUP(B417,#REF!,4,FALSE),"")</f>
        <v>#REF!</v>
      </c>
      <c r="K417" s="378" t="s">
        <v>3232</v>
      </c>
      <c r="L417" s="47">
        <f t="shared" si="194"/>
        <v>-7.6319999999999979</v>
      </c>
      <c r="M417" s="47">
        <f t="shared" si="195"/>
        <v>5060.0160000000005</v>
      </c>
      <c r="N417" s="47"/>
      <c r="O417" s="47">
        <f t="shared" si="196"/>
        <v>6416.2800000000007</v>
      </c>
      <c r="P417" s="47" t="e">
        <f>IF(B417&lt;&gt;0,VLOOKUP(B417,#REF!,2,FALSE),"")</f>
        <v>#REF!</v>
      </c>
      <c r="Q417" s="34">
        <v>86</v>
      </c>
      <c r="R417" s="34">
        <f t="shared" si="183"/>
        <v>-31</v>
      </c>
      <c r="AD417" s="577"/>
      <c r="AE417" s="502"/>
      <c r="AF417" s="502"/>
      <c r="AG417" s="502"/>
      <c r="AH417" s="502"/>
      <c r="AI417" s="872">
        <f t="shared" si="200"/>
        <v>65.13</v>
      </c>
      <c r="AJ417" s="473">
        <f t="shared" si="201"/>
        <v>82.59</v>
      </c>
      <c r="AK417" s="473">
        <f t="shared" si="202"/>
        <v>9663.0300000000007</v>
      </c>
      <c r="AL417" s="788">
        <f>'PLANILHA ORÇA - CORREGEDORIA'!BG493</f>
        <v>65.13</v>
      </c>
    </row>
    <row r="418" spans="1:38" s="34" customFormat="1" ht="45">
      <c r="A418" s="472" t="s">
        <v>1006</v>
      </c>
      <c r="B418" s="475">
        <v>92990</v>
      </c>
      <c r="C418" s="471" t="s">
        <v>1687</v>
      </c>
      <c r="D418" s="472" t="s">
        <v>12</v>
      </c>
      <c r="E418" s="472" t="s">
        <v>52</v>
      </c>
      <c r="F418" s="473">
        <v>86</v>
      </c>
      <c r="G418" s="473">
        <f t="shared" si="193"/>
        <v>59.474499999999999</v>
      </c>
      <c r="H418" s="473">
        <f t="shared" si="198"/>
        <v>75.42</v>
      </c>
      <c r="I418" s="473">
        <f t="shared" si="199"/>
        <v>6486.12</v>
      </c>
      <c r="J418" s="47" t="e">
        <f>IF(B418&lt;&gt;0,VLOOKUP(B418,#REF!,4,FALSE),"")</f>
        <v>#REF!</v>
      </c>
      <c r="K418" s="378" t="s">
        <v>3233</v>
      </c>
      <c r="L418" s="47">
        <f t="shared" si="194"/>
        <v>-10.4955</v>
      </c>
      <c r="M418" s="47">
        <f t="shared" si="195"/>
        <v>5114.8069999999998</v>
      </c>
      <c r="N418" s="47"/>
      <c r="O418" s="47">
        <f t="shared" si="196"/>
        <v>6486.12</v>
      </c>
      <c r="P418" s="47" t="e">
        <f>IF(B418&lt;&gt;0,VLOOKUP(B418,#REF!,2,FALSE),"")</f>
        <v>#REF!</v>
      </c>
      <c r="Q418" s="34">
        <v>250</v>
      </c>
      <c r="R418" s="34">
        <f t="shared" si="183"/>
        <v>164</v>
      </c>
      <c r="AD418" s="577"/>
      <c r="AE418" s="502"/>
      <c r="AF418" s="502"/>
      <c r="AG418" s="502"/>
      <c r="AH418" s="502"/>
      <c r="AI418" s="872">
        <f t="shared" si="200"/>
        <v>87.62</v>
      </c>
      <c r="AJ418" s="473">
        <f t="shared" si="201"/>
        <v>111.11</v>
      </c>
      <c r="AK418" s="473">
        <f t="shared" si="202"/>
        <v>9555.4599999999991</v>
      </c>
      <c r="AL418" s="788">
        <f>'PLANILHA ORÇA - CORREGEDORIA'!BG494</f>
        <v>87.62</v>
      </c>
    </row>
    <row r="419" spans="1:38" s="34" customFormat="1" ht="45">
      <c r="A419" s="472" t="s">
        <v>1007</v>
      </c>
      <c r="B419" s="475">
        <v>92992</v>
      </c>
      <c r="C419" s="471" t="s">
        <v>1688</v>
      </c>
      <c r="D419" s="472" t="s">
        <v>12</v>
      </c>
      <c r="E419" s="472" t="s">
        <v>52</v>
      </c>
      <c r="F419" s="473">
        <v>250</v>
      </c>
      <c r="G419" s="473">
        <f t="shared" si="193"/>
        <v>78.6845</v>
      </c>
      <c r="H419" s="473">
        <f t="shared" si="198"/>
        <v>99.78</v>
      </c>
      <c r="I419" s="473">
        <f t="shared" si="199"/>
        <v>24945</v>
      </c>
      <c r="J419" s="47" t="e">
        <f>IF(B419&lt;&gt;0,VLOOKUP(B419,#REF!,4,FALSE),"")</f>
        <v>#REF!</v>
      </c>
      <c r="K419" s="378" t="s">
        <v>3156</v>
      </c>
      <c r="L419" s="47">
        <f t="shared" si="194"/>
        <v>-13.885499999999993</v>
      </c>
      <c r="M419" s="47">
        <f t="shared" si="195"/>
        <v>19671.125</v>
      </c>
      <c r="N419" s="47"/>
      <c r="O419" s="47">
        <f t="shared" si="196"/>
        <v>24945</v>
      </c>
      <c r="P419" s="47" t="e">
        <f>IF(B419&lt;&gt;0,VLOOKUP(B419,#REF!,2,FALSE),"")</f>
        <v>#REF!</v>
      </c>
      <c r="R419" s="34">
        <f t="shared" si="183"/>
        <v>-250</v>
      </c>
      <c r="AD419" s="577"/>
      <c r="AE419" s="502"/>
      <c r="AF419" s="502"/>
      <c r="AG419" s="502"/>
      <c r="AH419" s="502"/>
      <c r="AI419" s="872">
        <f t="shared" si="200"/>
        <v>104.78</v>
      </c>
      <c r="AJ419" s="473">
        <f t="shared" si="201"/>
        <v>132.87</v>
      </c>
      <c r="AK419" s="473">
        <f t="shared" si="202"/>
        <v>33217.5</v>
      </c>
      <c r="AL419" s="788">
        <f>'PLANILHA ORÇA - CORREGEDORIA'!BG495</f>
        <v>104.78</v>
      </c>
    </row>
    <row r="420" spans="1:38" s="62" customFormat="1">
      <c r="A420" s="77" t="s">
        <v>1011</v>
      </c>
      <c r="B420" s="139"/>
      <c r="C420" s="340" t="s">
        <v>216</v>
      </c>
      <c r="D420" s="341"/>
      <c r="E420" s="341"/>
      <c r="F420" s="341"/>
      <c r="G420" s="26"/>
      <c r="H420" s="341"/>
      <c r="I420" s="96"/>
      <c r="J420" s="65" t="str">
        <f>IF(B420&lt;&gt;0,VLOOKUP(B420,#REF!,4,FALSE),"")</f>
        <v/>
      </c>
      <c r="K420" s="362" t="s">
        <v>1892</v>
      </c>
      <c r="L420" s="65"/>
      <c r="M420" s="65">
        <f t="shared" si="195"/>
        <v>0</v>
      </c>
      <c r="N420" s="65"/>
      <c r="O420" s="65">
        <f t="shared" si="196"/>
        <v>0</v>
      </c>
      <c r="P420" s="65" t="str">
        <f>IF(B420&lt;&gt;0,VLOOKUP(B420,#REF!,2,FALSE),"")</f>
        <v/>
      </c>
      <c r="Q420" s="62">
        <v>1</v>
      </c>
      <c r="R420" s="62">
        <f t="shared" si="183"/>
        <v>1</v>
      </c>
      <c r="AD420" s="221"/>
      <c r="AE420" s="481"/>
      <c r="AF420" s="481"/>
      <c r="AG420" s="481"/>
      <c r="AH420" s="481"/>
      <c r="AI420" s="552"/>
      <c r="AJ420" s="27"/>
      <c r="AK420" s="27"/>
      <c r="AL420" s="224"/>
    </row>
    <row r="421" spans="1:38" s="62" customFormat="1" ht="30">
      <c r="A421" s="25" t="s">
        <v>1012</v>
      </c>
      <c r="B421" s="24" t="s">
        <v>2266</v>
      </c>
      <c r="C421" s="23" t="s">
        <v>217</v>
      </c>
      <c r="D421" s="25" t="s">
        <v>1915</v>
      </c>
      <c r="E421" s="25" t="s">
        <v>17</v>
      </c>
      <c r="F421" s="26">
        <v>1</v>
      </c>
      <c r="G421" s="26">
        <f t="shared" si="193"/>
        <v>106.98099999999999</v>
      </c>
      <c r="H421" s="26">
        <f>ROUND(G421*(1+$J$13),2)</f>
        <v>135.66</v>
      </c>
      <c r="I421" s="26">
        <f t="shared" ref="I421:I423" si="203">ROUND(H421*F421,2)</f>
        <v>135.66</v>
      </c>
      <c r="J421" s="64">
        <f>'COMPOSIÇÃO DE CUSTOS'!G1244</f>
        <v>106.99</v>
      </c>
      <c r="K421" s="362">
        <v>125.86</v>
      </c>
      <c r="L421" s="65">
        <f t="shared" si="194"/>
        <v>-18.879000000000005</v>
      </c>
      <c r="M421" s="65">
        <f t="shared" si="195"/>
        <v>106.98099999999999</v>
      </c>
      <c r="N421" s="65"/>
      <c r="O421" s="65">
        <f t="shared" si="196"/>
        <v>135.66</v>
      </c>
      <c r="P421" s="65" t="e">
        <f>IF(B421&lt;&gt;0,VLOOKUP(B421,#REF!,2,FALSE),"")</f>
        <v>#REF!</v>
      </c>
      <c r="Q421" s="62">
        <v>3</v>
      </c>
      <c r="R421" s="62">
        <f t="shared" si="183"/>
        <v>2</v>
      </c>
      <c r="AD421" s="221"/>
      <c r="AE421" s="481"/>
      <c r="AF421" s="481"/>
      <c r="AG421" s="481"/>
      <c r="AH421" s="481"/>
      <c r="AI421" s="873">
        <f t="shared" ref="AI421:AI423" si="204">ROUND(G421*$AM$11,2)</f>
        <v>119.18</v>
      </c>
      <c r="AJ421" s="26">
        <f t="shared" ref="AJ421:AJ423" si="205">ROUND(AI421*(1+$J$13),2)</f>
        <v>151.13</v>
      </c>
      <c r="AK421" s="26">
        <f t="shared" ref="AK421:AK423" si="206">ROUND(AJ421*F421,2)</f>
        <v>151.13</v>
      </c>
      <c r="AL421" s="224"/>
    </row>
    <row r="422" spans="1:38" s="62" customFormat="1" ht="45">
      <c r="A422" s="25" t="s">
        <v>1013</v>
      </c>
      <c r="B422" s="24">
        <v>95789</v>
      </c>
      <c r="C422" s="23" t="s">
        <v>1690</v>
      </c>
      <c r="D422" s="25" t="s">
        <v>12</v>
      </c>
      <c r="E422" s="25" t="s">
        <v>17</v>
      </c>
      <c r="F422" s="26">
        <v>3</v>
      </c>
      <c r="G422" s="26">
        <f t="shared" si="193"/>
        <v>23.859500000000001</v>
      </c>
      <c r="H422" s="26">
        <f>ROUND(G422*(1+$J$13),2)</f>
        <v>30.26</v>
      </c>
      <c r="I422" s="26">
        <f t="shared" si="203"/>
        <v>90.78</v>
      </c>
      <c r="J422" s="64" t="e">
        <f>IF(B422&lt;&gt;0,VLOOKUP(B422,#REF!,4,FALSE),"")</f>
        <v>#REF!</v>
      </c>
      <c r="K422" s="362" t="s">
        <v>3151</v>
      </c>
      <c r="L422" s="65">
        <f t="shared" si="194"/>
        <v>-4.2104999999999997</v>
      </c>
      <c r="M422" s="65">
        <f t="shared" si="195"/>
        <v>71.578500000000005</v>
      </c>
      <c r="N422" s="65"/>
      <c r="O422" s="65">
        <f t="shared" si="196"/>
        <v>90.78</v>
      </c>
      <c r="P422" s="65" t="e">
        <f>IF(B422&lt;&gt;0,VLOOKUP(B422,#REF!,2,FALSE),"")</f>
        <v>#REF!</v>
      </c>
      <c r="Q422" s="62">
        <v>1</v>
      </c>
      <c r="R422" s="62">
        <f t="shared" si="183"/>
        <v>-2</v>
      </c>
      <c r="AD422" s="221"/>
      <c r="AE422" s="481"/>
      <c r="AF422" s="481"/>
      <c r="AG422" s="481"/>
      <c r="AH422" s="481"/>
      <c r="AI422" s="873">
        <f t="shared" si="204"/>
        <v>26.58</v>
      </c>
      <c r="AJ422" s="26">
        <f t="shared" si="205"/>
        <v>33.71</v>
      </c>
      <c r="AK422" s="26">
        <f t="shared" si="206"/>
        <v>101.13</v>
      </c>
      <c r="AL422" s="224"/>
    </row>
    <row r="423" spans="1:38" s="62" customFormat="1" ht="30">
      <c r="A423" s="25" t="s">
        <v>1014</v>
      </c>
      <c r="B423" s="24" t="s">
        <v>2755</v>
      </c>
      <c r="C423" s="23" t="s">
        <v>2756</v>
      </c>
      <c r="D423" s="25" t="s">
        <v>70</v>
      </c>
      <c r="E423" s="25" t="s">
        <v>17</v>
      </c>
      <c r="F423" s="26">
        <v>1</v>
      </c>
      <c r="G423" s="26">
        <f t="shared" si="193"/>
        <v>223.31200000000001</v>
      </c>
      <c r="H423" s="26">
        <f>ROUND(G423*(1+$J$13),2)</f>
        <v>283.18</v>
      </c>
      <c r="I423" s="26">
        <f t="shared" si="203"/>
        <v>283.18</v>
      </c>
      <c r="J423" s="64">
        <f>'COMPOSIÇÃO DE CUSTOS'!G2463</f>
        <v>223.32</v>
      </c>
      <c r="K423" s="362">
        <v>262.72000000000003</v>
      </c>
      <c r="L423" s="65">
        <f t="shared" si="194"/>
        <v>-39.408000000000015</v>
      </c>
      <c r="M423" s="65">
        <f t="shared" si="195"/>
        <v>223.31200000000001</v>
      </c>
      <c r="N423" s="65"/>
      <c r="O423" s="65">
        <f t="shared" si="196"/>
        <v>283.18</v>
      </c>
      <c r="P423" s="65" t="e">
        <f>IF(B423&lt;&gt;0,VLOOKUP(B423,#REF!,2,FALSE),"")</f>
        <v>#REF!</v>
      </c>
      <c r="R423" s="62">
        <f t="shared" si="183"/>
        <v>-1</v>
      </c>
      <c r="AD423" s="221"/>
      <c r="AE423" s="481"/>
      <c r="AF423" s="481"/>
      <c r="AG423" s="481"/>
      <c r="AH423" s="481"/>
      <c r="AI423" s="873">
        <f t="shared" si="204"/>
        <v>248.77</v>
      </c>
      <c r="AJ423" s="26">
        <f t="shared" si="205"/>
        <v>315.47000000000003</v>
      </c>
      <c r="AK423" s="26">
        <f t="shared" si="206"/>
        <v>315.47000000000003</v>
      </c>
      <c r="AL423" s="224"/>
    </row>
    <row r="424" spans="1:38" s="62" customFormat="1">
      <c r="A424" s="25"/>
      <c r="B424" s="24"/>
      <c r="C424" s="23"/>
      <c r="D424" s="25"/>
      <c r="E424" s="25"/>
      <c r="F424" s="26"/>
      <c r="G424" s="26"/>
      <c r="H424" s="26"/>
      <c r="I424" s="155"/>
      <c r="J424" s="67" t="str">
        <f>IF(B424&lt;&gt;0,VLOOKUP(B424,#REF!,4,FALSE),"")</f>
        <v/>
      </c>
      <c r="K424" s="385" t="s">
        <v>1892</v>
      </c>
      <c r="L424" s="67"/>
      <c r="M424" s="67">
        <f t="shared" si="195"/>
        <v>0</v>
      </c>
      <c r="N424" s="67"/>
      <c r="O424" s="67">
        <f t="shared" si="196"/>
        <v>0</v>
      </c>
      <c r="P424" s="67" t="str">
        <f>IF(B424&lt;&gt;0,VLOOKUP(B424,#REF!,2,FALSE),"")</f>
        <v/>
      </c>
      <c r="Q424" s="221"/>
      <c r="R424" s="221">
        <f t="shared" si="183"/>
        <v>0</v>
      </c>
      <c r="S424" s="221"/>
      <c r="T424" s="221"/>
      <c r="U424" s="221"/>
      <c r="V424" s="221"/>
      <c r="W424" s="221"/>
      <c r="X424" s="221"/>
      <c r="Y424" s="221"/>
      <c r="Z424" s="221"/>
      <c r="AA424" s="221"/>
      <c r="AB424" s="221"/>
      <c r="AC424" s="221"/>
      <c r="AD424" s="221"/>
      <c r="AE424" s="481"/>
      <c r="AF424" s="481"/>
      <c r="AG424" s="481"/>
      <c r="AH424" s="481"/>
      <c r="AI424" s="552"/>
      <c r="AJ424" s="552"/>
      <c r="AK424" s="552"/>
      <c r="AL424" s="224"/>
    </row>
    <row r="425" spans="1:38" s="62" customFormat="1">
      <c r="A425" s="77" t="s">
        <v>1018</v>
      </c>
      <c r="B425" s="139"/>
      <c r="C425" s="340" t="s">
        <v>218</v>
      </c>
      <c r="D425" s="341"/>
      <c r="E425" s="341"/>
      <c r="F425" s="341"/>
      <c r="G425" s="26"/>
      <c r="H425" s="156"/>
      <c r="I425" s="548">
        <f>ROUND(SUM(I427:I490),2)</f>
        <v>653921.75</v>
      </c>
      <c r="J425" s="560" t="str">
        <f>IF(B425&lt;&gt;0,VLOOKUP(B425,#REF!,4,FALSE),"")</f>
        <v/>
      </c>
      <c r="K425" s="558" t="s">
        <v>1892</v>
      </c>
      <c r="L425" s="557"/>
      <c r="M425" s="557">
        <f t="shared" si="195"/>
        <v>0</v>
      </c>
      <c r="N425" s="557"/>
      <c r="O425" s="557">
        <f t="shared" si="196"/>
        <v>0</v>
      </c>
      <c r="P425" s="557" t="str">
        <f>IF(B425&lt;&gt;0,VLOOKUP(B425,#REF!,2,FALSE),"")</f>
        <v/>
      </c>
      <c r="Q425" s="556"/>
      <c r="R425" s="556">
        <f t="shared" si="183"/>
        <v>0</v>
      </c>
      <c r="S425" s="556"/>
      <c r="T425" s="556"/>
      <c r="U425" s="556"/>
      <c r="V425" s="556"/>
      <c r="W425" s="556"/>
      <c r="X425" s="556"/>
      <c r="Y425" s="556"/>
      <c r="Z425" s="556"/>
      <c r="AA425" s="556"/>
      <c r="AB425" s="556"/>
      <c r="AC425" s="556"/>
      <c r="AD425" s="875"/>
      <c r="AE425" s="481"/>
      <c r="AF425" s="481"/>
      <c r="AG425" s="481"/>
      <c r="AH425" s="481"/>
      <c r="AI425" s="855"/>
      <c r="AJ425" s="481"/>
      <c r="AK425" s="548">
        <f>ROUND(SUM(AK427:AK490),2)</f>
        <v>719919.64</v>
      </c>
      <c r="AL425" s="224"/>
    </row>
    <row r="426" spans="1:38" s="62" customFormat="1">
      <c r="A426" s="77" t="s">
        <v>1019</v>
      </c>
      <c r="B426" s="139"/>
      <c r="C426" s="340" t="s">
        <v>219</v>
      </c>
      <c r="D426" s="341"/>
      <c r="E426" s="341"/>
      <c r="F426" s="341"/>
      <c r="G426" s="26"/>
      <c r="H426" s="156"/>
      <c r="I426" s="548"/>
      <c r="J426" s="557" t="str">
        <f>IF(B426&lt;&gt;0,VLOOKUP(B426,#REF!,4,FALSE),"")</f>
        <v/>
      </c>
      <c r="K426" s="558" t="s">
        <v>1892</v>
      </c>
      <c r="L426" s="557"/>
      <c r="M426" s="557">
        <f t="shared" si="195"/>
        <v>0</v>
      </c>
      <c r="N426" s="557"/>
      <c r="O426" s="557">
        <f t="shared" si="196"/>
        <v>0</v>
      </c>
      <c r="P426" s="557" t="str">
        <f>IF(B426&lt;&gt;0,VLOOKUP(B426,#REF!,2,FALSE),"")</f>
        <v/>
      </c>
      <c r="Q426" s="556">
        <v>1</v>
      </c>
      <c r="R426" s="556">
        <f t="shared" si="183"/>
        <v>1</v>
      </c>
      <c r="S426" s="556"/>
      <c r="T426" s="556"/>
      <c r="U426" s="556"/>
      <c r="V426" s="556"/>
      <c r="W426" s="556"/>
      <c r="X426" s="556"/>
      <c r="Y426" s="556"/>
      <c r="Z426" s="556"/>
      <c r="AA426" s="556"/>
      <c r="AB426" s="556"/>
      <c r="AC426" s="556"/>
      <c r="AD426" s="875"/>
      <c r="AE426" s="481"/>
      <c r="AF426" s="481"/>
      <c r="AG426" s="481"/>
      <c r="AH426" s="481"/>
      <c r="AI426" s="855"/>
      <c r="AJ426" s="481"/>
      <c r="AK426" s="481"/>
      <c r="AL426" s="224"/>
    </row>
    <row r="427" spans="1:38" s="62" customFormat="1" ht="30">
      <c r="A427" s="25" t="s">
        <v>1020</v>
      </c>
      <c r="B427" s="24">
        <v>8681</v>
      </c>
      <c r="C427" s="23" t="s">
        <v>2206</v>
      </c>
      <c r="D427" s="25" t="s">
        <v>44</v>
      </c>
      <c r="E427" s="25" t="s">
        <v>17</v>
      </c>
      <c r="F427" s="26">
        <v>1</v>
      </c>
      <c r="G427" s="26">
        <f t="shared" si="193"/>
        <v>387.66800000000001</v>
      </c>
      <c r="H427" s="157">
        <f>ROUND(G427*(1+$J$13),2)</f>
        <v>491.6</v>
      </c>
      <c r="I427" s="158">
        <f t="shared" ref="I427:I446" si="207">ROUND(H427*F427,2)</f>
        <v>491.6</v>
      </c>
      <c r="J427" s="560">
        <f>'COMPOSIÇÃO DE CUSTOS'!G1940</f>
        <v>387.68</v>
      </c>
      <c r="K427" s="558">
        <v>456.08</v>
      </c>
      <c r="L427" s="557">
        <f t="shared" si="194"/>
        <v>-68.411999999999978</v>
      </c>
      <c r="M427" s="557">
        <f t="shared" si="195"/>
        <v>387.66800000000001</v>
      </c>
      <c r="N427" s="557"/>
      <c r="O427" s="557">
        <f t="shared" si="196"/>
        <v>491.6</v>
      </c>
      <c r="P427" s="557" t="e">
        <f>IF(B427&lt;&gt;0,VLOOKUP(B427,#REF!,2,FALSE),"")</f>
        <v>#REF!</v>
      </c>
      <c r="Q427" s="556">
        <v>1</v>
      </c>
      <c r="R427" s="556">
        <f t="shared" si="183"/>
        <v>0</v>
      </c>
      <c r="S427" s="556"/>
      <c r="T427" s="556"/>
      <c r="U427" s="556"/>
      <c r="V427" s="556"/>
      <c r="W427" s="556"/>
      <c r="X427" s="556"/>
      <c r="Y427" s="556"/>
      <c r="Z427" s="556"/>
      <c r="AA427" s="556"/>
      <c r="AB427" s="556"/>
      <c r="AC427" s="556"/>
      <c r="AD427" s="875"/>
      <c r="AE427" s="481"/>
      <c r="AF427" s="481"/>
      <c r="AG427" s="481"/>
      <c r="AH427" s="481"/>
      <c r="AI427" s="871">
        <f t="shared" ref="AI427:AI429" si="208">ROUND(G427*$AM$11,2)</f>
        <v>431.87</v>
      </c>
      <c r="AJ427" s="158">
        <f t="shared" ref="AJ427:AJ429" si="209">ROUND(AI427*(1+$J$13),2)</f>
        <v>547.65</v>
      </c>
      <c r="AK427" s="158">
        <f t="shared" ref="AK427:AK429" si="210">ROUND(AJ427*F427,2)</f>
        <v>547.65</v>
      </c>
      <c r="AL427" s="224"/>
    </row>
    <row r="428" spans="1:38" s="62" customFormat="1" ht="30">
      <c r="A428" s="25" t="s">
        <v>1021</v>
      </c>
      <c r="B428" s="24">
        <v>10305</v>
      </c>
      <c r="C428" s="23" t="s">
        <v>2757</v>
      </c>
      <c r="D428" s="25" t="s">
        <v>44</v>
      </c>
      <c r="E428" s="25" t="s">
        <v>17</v>
      </c>
      <c r="F428" s="26">
        <v>1</v>
      </c>
      <c r="G428" s="26">
        <f t="shared" si="193"/>
        <v>1657.721</v>
      </c>
      <c r="H428" s="157">
        <f>ROUND(G428*(1+$J$13),2)</f>
        <v>2102.16</v>
      </c>
      <c r="I428" s="158">
        <f t="shared" si="207"/>
        <v>2102.16</v>
      </c>
      <c r="J428" s="560">
        <f>'COMPOSIÇÃO DE CUSTOS'!G2470</f>
        <v>1657.73</v>
      </c>
      <c r="K428" s="558">
        <v>1950.26</v>
      </c>
      <c r="L428" s="557">
        <f t="shared" si="194"/>
        <v>-292.53899999999999</v>
      </c>
      <c r="M428" s="557">
        <f t="shared" si="195"/>
        <v>1657.721</v>
      </c>
      <c r="N428" s="557"/>
      <c r="O428" s="557">
        <f t="shared" si="196"/>
        <v>2102.16</v>
      </c>
      <c r="P428" s="557" t="e">
        <f>IF(B428&lt;&gt;0,VLOOKUP(B428,#REF!,2,FALSE),"")</f>
        <v>#REF!</v>
      </c>
      <c r="Q428" s="556">
        <v>2</v>
      </c>
      <c r="R428" s="556">
        <f t="shared" si="183"/>
        <v>1</v>
      </c>
      <c r="S428" s="556"/>
      <c r="T428" s="556"/>
      <c r="U428" s="556"/>
      <c r="V428" s="556"/>
      <c r="W428" s="556"/>
      <c r="X428" s="556"/>
      <c r="Y428" s="556"/>
      <c r="Z428" s="556"/>
      <c r="AA428" s="556"/>
      <c r="AB428" s="556"/>
      <c r="AC428" s="556"/>
      <c r="AD428" s="875"/>
      <c r="AE428" s="481"/>
      <c r="AF428" s="481"/>
      <c r="AG428" s="481"/>
      <c r="AH428" s="481"/>
      <c r="AI428" s="871">
        <f t="shared" si="208"/>
        <v>1846.72</v>
      </c>
      <c r="AJ428" s="158">
        <f t="shared" si="209"/>
        <v>2341.83</v>
      </c>
      <c r="AK428" s="158">
        <f t="shared" si="210"/>
        <v>2341.83</v>
      </c>
      <c r="AL428" s="224"/>
    </row>
    <row r="429" spans="1:38" s="62" customFormat="1" ht="30">
      <c r="A429" s="25" t="s">
        <v>1022</v>
      </c>
      <c r="B429" s="24">
        <v>11419</v>
      </c>
      <c r="C429" s="23" t="s">
        <v>220</v>
      </c>
      <c r="D429" s="25" t="s">
        <v>44</v>
      </c>
      <c r="E429" s="25" t="s">
        <v>17</v>
      </c>
      <c r="F429" s="26">
        <v>2</v>
      </c>
      <c r="G429" s="26">
        <f t="shared" si="193"/>
        <v>17.977499999999999</v>
      </c>
      <c r="H429" s="26">
        <f>ROUND(G429*(1+$J$13),2)</f>
        <v>22.8</v>
      </c>
      <c r="I429" s="159">
        <f t="shared" si="207"/>
        <v>45.6</v>
      </c>
      <c r="J429" s="66">
        <f>'COMPOSIÇÃO DE CUSTOS'!G1933</f>
        <v>21.15</v>
      </c>
      <c r="K429" s="385">
        <v>21.15</v>
      </c>
      <c r="L429" s="67">
        <f t="shared" si="194"/>
        <v>-3.1724999999999994</v>
      </c>
      <c r="M429" s="67">
        <f t="shared" si="195"/>
        <v>35.954999999999998</v>
      </c>
      <c r="N429" s="67"/>
      <c r="O429" s="67">
        <f t="shared" si="196"/>
        <v>45.6</v>
      </c>
      <c r="P429" s="67" t="e">
        <f>IF(B429&lt;&gt;0,VLOOKUP(B429,#REF!,2,FALSE),"")</f>
        <v>#REF!</v>
      </c>
      <c r="Q429" s="221">
        <v>2</v>
      </c>
      <c r="R429" s="221">
        <f t="shared" si="183"/>
        <v>0</v>
      </c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481"/>
      <c r="AF429" s="481"/>
      <c r="AG429" s="481"/>
      <c r="AH429" s="481"/>
      <c r="AI429" s="878">
        <f t="shared" si="208"/>
        <v>20.03</v>
      </c>
      <c r="AJ429" s="159">
        <f t="shared" si="209"/>
        <v>25.4</v>
      </c>
      <c r="AK429" s="159">
        <f t="shared" si="210"/>
        <v>50.8</v>
      </c>
      <c r="AL429" s="224"/>
    </row>
    <row r="430" spans="1:38" s="34" customFormat="1" ht="30">
      <c r="A430" s="515" t="s">
        <v>2758</v>
      </c>
      <c r="B430" s="475" t="s">
        <v>2569</v>
      </c>
      <c r="C430" s="471" t="s">
        <v>2668</v>
      </c>
      <c r="D430" s="472" t="s">
        <v>1915</v>
      </c>
      <c r="E430" s="472" t="s">
        <v>17</v>
      </c>
      <c r="F430" s="473">
        <v>2</v>
      </c>
      <c r="G430" s="473">
        <f t="shared" si="193"/>
        <v>39969.550000000003</v>
      </c>
      <c r="H430" s="473">
        <f t="shared" ref="H430:H437" si="211">ROUND(G430*(1+$J$14),2)</f>
        <v>47435.86</v>
      </c>
      <c r="I430" s="473">
        <f t="shared" si="207"/>
        <v>94871.72</v>
      </c>
      <c r="J430" s="474">
        <f>'COMPOSIÇÃO DE CUSTOS'!G2284</f>
        <v>39969.550000000003</v>
      </c>
      <c r="K430" s="378">
        <v>47023</v>
      </c>
      <c r="L430" s="47">
        <f t="shared" si="194"/>
        <v>-7053.4499999999971</v>
      </c>
      <c r="M430" s="47">
        <f t="shared" si="195"/>
        <v>79939.100000000006</v>
      </c>
      <c r="N430" s="47"/>
      <c r="O430" s="47">
        <f t="shared" si="196"/>
        <v>94871.72</v>
      </c>
      <c r="P430" s="47" t="e">
        <f>IF(B430&lt;&gt;0,VLOOKUP(B430,#REF!,2,FALSE),"")</f>
        <v>#REF!</v>
      </c>
      <c r="Q430" s="34">
        <v>2</v>
      </c>
      <c r="R430" s="34">
        <f t="shared" si="183"/>
        <v>0</v>
      </c>
      <c r="AD430" s="577"/>
      <c r="AE430" s="502"/>
      <c r="AF430" s="502"/>
      <c r="AG430" s="502"/>
      <c r="AH430" s="502"/>
      <c r="AI430" s="872">
        <f>AL430</f>
        <v>38678.550000000003</v>
      </c>
      <c r="AJ430" s="473">
        <f t="shared" ref="AJ430:AJ435" si="212">ROUND(AI430*(1+$J$14),2)</f>
        <v>45903.7</v>
      </c>
      <c r="AK430" s="473">
        <f>ROUND(AJ430*F430,2)</f>
        <v>91807.4</v>
      </c>
      <c r="AL430" s="788">
        <f>'PLANILHA ORÇA - CORREGEDORIA'!BG510</f>
        <v>38678.550000000003</v>
      </c>
    </row>
    <row r="431" spans="1:38" s="34" customFormat="1" ht="30">
      <c r="A431" s="472" t="s">
        <v>2549</v>
      </c>
      <c r="B431" s="475" t="s">
        <v>2570</v>
      </c>
      <c r="C431" s="471" t="s">
        <v>2576</v>
      </c>
      <c r="D431" s="472" t="s">
        <v>1915</v>
      </c>
      <c r="E431" s="472" t="s">
        <v>17</v>
      </c>
      <c r="F431" s="473">
        <v>2</v>
      </c>
      <c r="G431" s="473">
        <f t="shared" si="193"/>
        <v>28041.5</v>
      </c>
      <c r="H431" s="473">
        <f t="shared" si="211"/>
        <v>33279.65</v>
      </c>
      <c r="I431" s="473">
        <f t="shared" si="207"/>
        <v>66559.3</v>
      </c>
      <c r="J431" s="474">
        <f>'COMPOSIÇÃO DE CUSTOS'!G2289</f>
        <v>28041.5</v>
      </c>
      <c r="K431" s="378">
        <v>32990</v>
      </c>
      <c r="L431" s="47">
        <f t="shared" si="194"/>
        <v>-4948.5</v>
      </c>
      <c r="M431" s="47">
        <f t="shared" si="195"/>
        <v>56083</v>
      </c>
      <c r="N431" s="47"/>
      <c r="O431" s="47">
        <f t="shared" si="196"/>
        <v>66559.3</v>
      </c>
      <c r="P431" s="47" t="e">
        <f>IF(B431&lt;&gt;0,VLOOKUP(B431,#REF!,2,FALSE),"")</f>
        <v>#REF!</v>
      </c>
      <c r="Q431" s="34">
        <v>2</v>
      </c>
      <c r="R431" s="34">
        <f t="shared" si="183"/>
        <v>0</v>
      </c>
      <c r="AD431" s="577"/>
      <c r="AE431" s="502"/>
      <c r="AF431" s="502"/>
      <c r="AG431" s="502"/>
      <c r="AH431" s="502"/>
      <c r="AI431" s="872">
        <f>AL431</f>
        <v>42843.05</v>
      </c>
      <c r="AJ431" s="473">
        <f t="shared" si="212"/>
        <v>50846.13</v>
      </c>
      <c r="AK431" s="473">
        <f>ROUND(AJ431*F431,2)</f>
        <v>101692.26</v>
      </c>
      <c r="AL431" s="788">
        <f>'PLANILHA ORÇA - CORREGEDORIA'!BG511</f>
        <v>42843.05</v>
      </c>
    </row>
    <row r="432" spans="1:38" s="34" customFormat="1" ht="30">
      <c r="A432" s="472" t="s">
        <v>2550</v>
      </c>
      <c r="B432" s="475" t="s">
        <v>2571</v>
      </c>
      <c r="C432" s="471" t="s">
        <v>2577</v>
      </c>
      <c r="D432" s="472" t="s">
        <v>1915</v>
      </c>
      <c r="E432" s="472" t="s">
        <v>17</v>
      </c>
      <c r="F432" s="473">
        <v>2</v>
      </c>
      <c r="G432" s="473">
        <f t="shared" si="193"/>
        <v>21038.35</v>
      </c>
      <c r="H432" s="473">
        <f t="shared" si="211"/>
        <v>24968.31</v>
      </c>
      <c r="I432" s="473">
        <f t="shared" si="207"/>
        <v>49936.62</v>
      </c>
      <c r="J432" s="474">
        <f>'COMPOSIÇÃO DE CUSTOS'!G2294</f>
        <v>21038.35</v>
      </c>
      <c r="K432" s="378">
        <v>24751</v>
      </c>
      <c r="L432" s="47">
        <f t="shared" si="194"/>
        <v>-3712.6500000000015</v>
      </c>
      <c r="M432" s="47">
        <f t="shared" si="195"/>
        <v>42076.7</v>
      </c>
      <c r="N432" s="47"/>
      <c r="O432" s="47">
        <f t="shared" si="196"/>
        <v>49936.62</v>
      </c>
      <c r="P432" s="47" t="e">
        <f>IF(B432&lt;&gt;0,VLOOKUP(B432,#REF!,2,FALSE),"")</f>
        <v>#REF!</v>
      </c>
      <c r="Q432" s="34">
        <v>6</v>
      </c>
      <c r="R432" s="34">
        <f t="shared" si="183"/>
        <v>4</v>
      </c>
      <c r="AD432" s="577"/>
      <c r="AE432" s="502"/>
      <c r="AF432" s="502"/>
      <c r="AG432" s="502"/>
      <c r="AH432" s="502"/>
      <c r="AI432" s="872">
        <f>AL432</f>
        <v>35500.980000000003</v>
      </c>
      <c r="AJ432" s="473">
        <f t="shared" si="212"/>
        <v>42132.56</v>
      </c>
      <c r="AK432" s="473">
        <f>ROUND(AJ432*F432,2)</f>
        <v>84265.12</v>
      </c>
      <c r="AL432" s="788">
        <f>'PLANILHA ORÇA - CORREGEDORIA'!BG512</f>
        <v>35500.980000000003</v>
      </c>
    </row>
    <row r="433" spans="1:38" s="34" customFormat="1" ht="30">
      <c r="A433" s="472" t="s">
        <v>2551</v>
      </c>
      <c r="B433" s="475" t="s">
        <v>2575</v>
      </c>
      <c r="C433" s="471" t="s">
        <v>3011</v>
      </c>
      <c r="D433" s="472" t="s">
        <v>1915</v>
      </c>
      <c r="E433" s="472" t="s">
        <v>17</v>
      </c>
      <c r="F433" s="473">
        <v>10</v>
      </c>
      <c r="G433" s="473">
        <f t="shared" si="193"/>
        <v>1491.75</v>
      </c>
      <c r="H433" s="473">
        <f t="shared" si="211"/>
        <v>1770.41</v>
      </c>
      <c r="I433" s="473">
        <f t="shared" si="207"/>
        <v>17704.099999999999</v>
      </c>
      <c r="J433" s="474">
        <f>'COMPOSIÇÃO DE CUSTOS'!G2299</f>
        <v>1491.75</v>
      </c>
      <c r="K433" s="378">
        <v>1755</v>
      </c>
      <c r="L433" s="47">
        <f t="shared" si="194"/>
        <v>-263.25</v>
      </c>
      <c r="M433" s="47">
        <f t="shared" si="195"/>
        <v>14917.5</v>
      </c>
      <c r="N433" s="47"/>
      <c r="O433" s="47">
        <f t="shared" si="196"/>
        <v>17704.100000000002</v>
      </c>
      <c r="P433" s="47" t="e">
        <f>IF(B433&lt;&gt;0,VLOOKUP(B433,#REF!,2,FALSE),"")</f>
        <v>#REF!</v>
      </c>
      <c r="Q433" s="34">
        <v>4</v>
      </c>
      <c r="R433" s="34">
        <f t="shared" si="183"/>
        <v>-6</v>
      </c>
      <c r="AD433" s="577"/>
      <c r="AE433" s="502"/>
      <c r="AF433" s="502"/>
      <c r="AG433" s="502"/>
      <c r="AH433" s="502"/>
      <c r="AI433" s="872">
        <f>AL433</f>
        <v>1993</v>
      </c>
      <c r="AJ433" s="473">
        <f t="shared" si="212"/>
        <v>2365.29</v>
      </c>
      <c r="AK433" s="473">
        <f>ROUND(AJ433*F433,2)</f>
        <v>23652.9</v>
      </c>
      <c r="AL433" s="788">
        <f>'COMPOSIÇÃO AB'!G802</f>
        <v>1993</v>
      </c>
    </row>
    <row r="434" spans="1:38" s="34" customFormat="1" ht="60">
      <c r="A434" s="472" t="s">
        <v>2552</v>
      </c>
      <c r="B434" s="583">
        <v>12955</v>
      </c>
      <c r="C434" s="584" t="s">
        <v>3019</v>
      </c>
      <c r="D434" s="472" t="s">
        <v>44</v>
      </c>
      <c r="E434" s="472" t="s">
        <v>17</v>
      </c>
      <c r="F434" s="473">
        <v>7</v>
      </c>
      <c r="G434" s="473">
        <f t="shared" si="193"/>
        <v>5100</v>
      </c>
      <c r="H434" s="473">
        <f t="shared" si="211"/>
        <v>6052.68</v>
      </c>
      <c r="I434" s="473">
        <f t="shared" si="207"/>
        <v>42368.76</v>
      </c>
      <c r="J434" s="474">
        <f>'COMPOSIÇÃO DE CUSTOS'!G1805</f>
        <v>5100</v>
      </c>
      <c r="K434" s="378">
        <v>6000</v>
      </c>
      <c r="L434" s="47">
        <f t="shared" si="194"/>
        <v>-900</v>
      </c>
      <c r="M434" s="47">
        <f t="shared" si="195"/>
        <v>35700</v>
      </c>
      <c r="N434" s="47"/>
      <c r="O434" s="47">
        <f t="shared" si="196"/>
        <v>42368.76</v>
      </c>
      <c r="P434" s="47"/>
      <c r="AD434" s="577"/>
      <c r="AE434" s="502"/>
      <c r="AF434" s="502"/>
      <c r="AG434" s="502"/>
      <c r="AH434" s="502"/>
      <c r="AI434" s="872">
        <f>AL434</f>
        <v>4434.3900000000003</v>
      </c>
      <c r="AJ434" s="473">
        <f t="shared" si="212"/>
        <v>5262.73</v>
      </c>
      <c r="AK434" s="473">
        <f>ROUND(AJ434*F434,2)</f>
        <v>36839.11</v>
      </c>
      <c r="AL434" s="788">
        <f>'PLANILHA ORÇA - CORREGEDORIA'!BG514</f>
        <v>4434.3900000000003</v>
      </c>
    </row>
    <row r="435" spans="1:38" s="62" customFormat="1">
      <c r="A435" s="25" t="s">
        <v>2553</v>
      </c>
      <c r="B435" s="24">
        <v>39606</v>
      </c>
      <c r="C435" s="23" t="s">
        <v>1875</v>
      </c>
      <c r="D435" s="25" t="s">
        <v>12</v>
      </c>
      <c r="E435" s="25" t="s">
        <v>17</v>
      </c>
      <c r="F435" s="26">
        <v>194</v>
      </c>
      <c r="G435" s="26">
        <f t="shared" si="193"/>
        <v>15.572000000000001</v>
      </c>
      <c r="H435" s="26">
        <f t="shared" si="211"/>
        <v>18.48</v>
      </c>
      <c r="I435" s="26">
        <f t="shared" ref="I435:I436" si="213">ROUND(H435*F435,2)</f>
        <v>3585.12</v>
      </c>
      <c r="J435" s="65" t="e">
        <f>IF(B435&lt;&gt;0,VLOOKUP(B435,#REF!,4,FALSE),"")</f>
        <v>#REF!</v>
      </c>
      <c r="K435" s="362" t="s">
        <v>3041</v>
      </c>
      <c r="L435" s="65">
        <f t="shared" si="194"/>
        <v>-2.7479999999999993</v>
      </c>
      <c r="M435" s="65">
        <f t="shared" si="195"/>
        <v>3020.9680000000003</v>
      </c>
      <c r="N435" s="65"/>
      <c r="O435" s="65">
        <f t="shared" si="196"/>
        <v>3585.12</v>
      </c>
      <c r="P435" s="65" t="e">
        <f>IF(B435&lt;&gt;0,VLOOKUP(B435,#REF!,2,FALSE),"")</f>
        <v>#REF!</v>
      </c>
      <c r="AD435" s="221"/>
      <c r="AE435" s="481"/>
      <c r="AF435" s="481"/>
      <c r="AG435" s="481"/>
      <c r="AH435" s="481"/>
      <c r="AI435" s="873">
        <f t="shared" ref="AI435:AI436" si="214">ROUND(G435*$AM$11,2)</f>
        <v>17.350000000000001</v>
      </c>
      <c r="AJ435" s="26">
        <f t="shared" si="212"/>
        <v>20.59</v>
      </c>
      <c r="AK435" s="26">
        <f t="shared" ref="AK435:AK436" si="215">ROUND(AJ435*F435,2)</f>
        <v>3994.46</v>
      </c>
      <c r="AL435" s="224"/>
    </row>
    <row r="436" spans="1:38" s="62" customFormat="1">
      <c r="A436" s="25" t="s">
        <v>2554</v>
      </c>
      <c r="B436" s="24">
        <v>39607</v>
      </c>
      <c r="C436" s="23" t="s">
        <v>1877</v>
      </c>
      <c r="D436" s="25" t="s">
        <v>12</v>
      </c>
      <c r="E436" s="25" t="s">
        <v>17</v>
      </c>
      <c r="F436" s="26">
        <v>194</v>
      </c>
      <c r="G436" s="26">
        <f t="shared" si="193"/>
        <v>17.858500000000003</v>
      </c>
      <c r="H436" s="26">
        <f t="shared" si="211"/>
        <v>21.19</v>
      </c>
      <c r="I436" s="26">
        <f t="shared" si="213"/>
        <v>4110.8599999999997</v>
      </c>
      <c r="J436" s="65" t="e">
        <f>IF(B436&lt;&gt;0,VLOOKUP(B436,#REF!,4,FALSE),"")</f>
        <v>#REF!</v>
      </c>
      <c r="K436" s="362" t="s">
        <v>3043</v>
      </c>
      <c r="L436" s="65">
        <f t="shared" si="194"/>
        <v>-3.1514999999999986</v>
      </c>
      <c r="M436" s="65">
        <f t="shared" si="195"/>
        <v>3464.5490000000004</v>
      </c>
      <c r="N436" s="65"/>
      <c r="O436" s="65">
        <f t="shared" si="196"/>
        <v>4110.8600000000006</v>
      </c>
      <c r="P436" s="65" t="e">
        <f>IF(B436&lt;&gt;0,VLOOKUP(B436,#REF!,2,FALSE),"")</f>
        <v>#REF!</v>
      </c>
      <c r="AD436" s="221"/>
      <c r="AE436" s="481"/>
      <c r="AF436" s="481"/>
      <c r="AG436" s="481"/>
      <c r="AH436" s="481"/>
      <c r="AI436" s="873">
        <f t="shared" si="214"/>
        <v>19.89</v>
      </c>
      <c r="AJ436" s="26">
        <f t="shared" ref="AJ436" si="216">ROUND(AI436*(1+$J$14),2)</f>
        <v>23.61</v>
      </c>
      <c r="AK436" s="26">
        <f t="shared" si="215"/>
        <v>4580.34</v>
      </c>
      <c r="AL436" s="224"/>
    </row>
    <row r="437" spans="1:38" s="34" customFormat="1" ht="45">
      <c r="A437" s="515" t="s">
        <v>3558</v>
      </c>
      <c r="B437" s="475">
        <v>39611</v>
      </c>
      <c r="C437" s="471" t="s">
        <v>3749</v>
      </c>
      <c r="D437" s="472" t="s">
        <v>12</v>
      </c>
      <c r="E437" s="472" t="s">
        <v>17</v>
      </c>
      <c r="F437" s="473">
        <v>2</v>
      </c>
      <c r="G437" s="473">
        <f t="shared" si="193"/>
        <v>91406.551999999996</v>
      </c>
      <c r="H437" s="473">
        <f t="shared" si="211"/>
        <v>108481.3</v>
      </c>
      <c r="I437" s="473">
        <f t="shared" ref="I437" si="217">ROUND(H437*F437,2)</f>
        <v>216962.6</v>
      </c>
      <c r="J437" s="47" t="e">
        <f>IF(B437&lt;&gt;0,VLOOKUP(B437,#REF!,4,FALSE),"")</f>
        <v>#REF!</v>
      </c>
      <c r="K437" s="378" t="s">
        <v>3319</v>
      </c>
      <c r="L437" s="47">
        <f t="shared" si="194"/>
        <v>-16130.567999999999</v>
      </c>
      <c r="M437" s="47">
        <f t="shared" si="195"/>
        <v>182813.10399999999</v>
      </c>
      <c r="N437" s="514">
        <f>SUM(G430:G437)</f>
        <v>187081.13250000001</v>
      </c>
      <c r="O437" s="47">
        <f t="shared" si="196"/>
        <v>216962.6</v>
      </c>
      <c r="P437" s="47" t="e">
        <f>IF(B437&lt;&gt;0,VLOOKUP(B437,#REF!,2,FALSE),"")</f>
        <v>#REF!</v>
      </c>
      <c r="AD437" s="577"/>
      <c r="AE437" s="502"/>
      <c r="AF437" s="502"/>
      <c r="AG437" s="502"/>
      <c r="AH437" s="502"/>
      <c r="AI437" s="872">
        <f>AL437</f>
        <v>70060</v>
      </c>
      <c r="AJ437" s="473">
        <f t="shared" ref="AJ437" si="218">ROUND(AI437*(1+$J$14),2)</f>
        <v>83147.210000000006</v>
      </c>
      <c r="AK437" s="473">
        <f>ROUND(AJ437*F437,2)</f>
        <v>166294.42000000001</v>
      </c>
      <c r="AL437" s="788">
        <f>'PLANILHA ORÇA - CORREGEDORIA'!BG517</f>
        <v>70060</v>
      </c>
    </row>
    <row r="438" spans="1:38" s="62" customFormat="1" ht="30">
      <c r="A438" s="25" t="s">
        <v>2555</v>
      </c>
      <c r="B438" s="24">
        <v>98304</v>
      </c>
      <c r="C438" s="23" t="s">
        <v>2506</v>
      </c>
      <c r="D438" s="25" t="s">
        <v>12</v>
      </c>
      <c r="E438" s="25" t="s">
        <v>17</v>
      </c>
      <c r="F438" s="26">
        <v>4</v>
      </c>
      <c r="G438" s="26">
        <f t="shared" si="193"/>
        <v>732.14750000000004</v>
      </c>
      <c r="H438" s="26">
        <f t="shared" ref="H438:H446" si="219">ROUND(G438*(1+$J$13),2)</f>
        <v>928.44</v>
      </c>
      <c r="I438" s="26">
        <f t="shared" si="207"/>
        <v>3713.76</v>
      </c>
      <c r="J438" s="65" t="e">
        <f>IF(B438&lt;&gt;0,VLOOKUP(B438,#REF!,4,FALSE),"")</f>
        <v>#REF!</v>
      </c>
      <c r="K438" s="362" t="s">
        <v>3169</v>
      </c>
      <c r="L438" s="65">
        <f t="shared" si="194"/>
        <v>-129.20249999999999</v>
      </c>
      <c r="M438" s="65">
        <f t="shared" si="195"/>
        <v>2928.59</v>
      </c>
      <c r="N438" s="65"/>
      <c r="O438" s="65">
        <f t="shared" si="196"/>
        <v>3713.76</v>
      </c>
      <c r="P438" s="65" t="e">
        <f>IF(B438&lt;&gt;0,VLOOKUP(B438,#REF!,2,FALSE),"")</f>
        <v>#REF!</v>
      </c>
      <c r="Q438" s="62">
        <v>2</v>
      </c>
      <c r="R438" s="62">
        <f t="shared" ref="R438:R443" si="220">Q438-F438</f>
        <v>-2</v>
      </c>
      <c r="AD438" s="221"/>
      <c r="AE438" s="481"/>
      <c r="AF438" s="481"/>
      <c r="AG438" s="481"/>
      <c r="AH438" s="481"/>
      <c r="AI438" s="873">
        <f t="shared" ref="AI438:AI446" si="221">ROUND(G438*$AM$11,2)</f>
        <v>815.62</v>
      </c>
      <c r="AJ438" s="26">
        <f t="shared" ref="AJ438:AJ446" si="222">ROUND(AI438*(1+$J$13),2)</f>
        <v>1034.29</v>
      </c>
      <c r="AK438" s="26">
        <f t="shared" ref="AK438:AK446" si="223">ROUND(AJ438*F438,2)</f>
        <v>4137.16</v>
      </c>
      <c r="AL438" s="224"/>
    </row>
    <row r="439" spans="1:38" s="62" customFormat="1" ht="30">
      <c r="A439" s="25" t="s">
        <v>2556</v>
      </c>
      <c r="B439" s="24">
        <v>10727</v>
      </c>
      <c r="C439" s="23" t="s">
        <v>2502</v>
      </c>
      <c r="D439" s="25" t="s">
        <v>44</v>
      </c>
      <c r="E439" s="25" t="s">
        <v>17</v>
      </c>
      <c r="F439" s="26">
        <v>2</v>
      </c>
      <c r="G439" s="26">
        <f t="shared" si="193"/>
        <v>354.99399999999997</v>
      </c>
      <c r="H439" s="26">
        <f t="shared" si="219"/>
        <v>450.17</v>
      </c>
      <c r="I439" s="26">
        <f t="shared" si="207"/>
        <v>900.34</v>
      </c>
      <c r="J439" s="64">
        <f>'COMPOSIÇÃO DE CUSTOS'!G2010</f>
        <v>355</v>
      </c>
      <c r="K439" s="362">
        <v>417.64</v>
      </c>
      <c r="L439" s="65">
        <f t="shared" si="194"/>
        <v>-62.646000000000015</v>
      </c>
      <c r="M439" s="65">
        <f t="shared" si="195"/>
        <v>709.98799999999994</v>
      </c>
      <c r="N439" s="65"/>
      <c r="O439" s="65">
        <f t="shared" si="196"/>
        <v>900.34</v>
      </c>
      <c r="P439" s="65" t="e">
        <f>IF(B439&lt;&gt;0,VLOOKUP(B439,#REF!,2,FALSE),"")</f>
        <v>#REF!</v>
      </c>
      <c r="Q439" s="62">
        <v>16</v>
      </c>
      <c r="R439" s="62">
        <f t="shared" si="220"/>
        <v>14</v>
      </c>
      <c r="AD439" s="221"/>
      <c r="AE439" s="481"/>
      <c r="AF439" s="481"/>
      <c r="AG439" s="481"/>
      <c r="AH439" s="481"/>
      <c r="AI439" s="873">
        <f t="shared" si="221"/>
        <v>395.47</v>
      </c>
      <c r="AJ439" s="26">
        <f t="shared" si="222"/>
        <v>501.5</v>
      </c>
      <c r="AK439" s="26">
        <f t="shared" si="223"/>
        <v>1003</v>
      </c>
      <c r="AL439" s="224"/>
    </row>
    <row r="440" spans="1:38" s="62" customFormat="1" ht="39" customHeight="1">
      <c r="A440" s="25" t="s">
        <v>2557</v>
      </c>
      <c r="B440" s="24">
        <v>8362</v>
      </c>
      <c r="C440" s="23" t="s">
        <v>222</v>
      </c>
      <c r="D440" s="25" t="s">
        <v>44</v>
      </c>
      <c r="E440" s="25" t="s">
        <v>17</v>
      </c>
      <c r="F440" s="26">
        <v>16</v>
      </c>
      <c r="G440" s="26">
        <f t="shared" si="193"/>
        <v>16.3965</v>
      </c>
      <c r="H440" s="26">
        <f t="shared" si="219"/>
        <v>20.79</v>
      </c>
      <c r="I440" s="26">
        <f t="shared" si="207"/>
        <v>332.64</v>
      </c>
      <c r="J440" s="64">
        <f>'COMPOSIÇÃO DE CUSTOS'!G1997</f>
        <v>16.399999999999999</v>
      </c>
      <c r="K440" s="362">
        <v>19.29</v>
      </c>
      <c r="L440" s="65">
        <f t="shared" si="194"/>
        <v>-2.8934999999999995</v>
      </c>
      <c r="M440" s="65">
        <f t="shared" si="195"/>
        <v>262.34399999999999</v>
      </c>
      <c r="N440" s="65"/>
      <c r="O440" s="65">
        <f t="shared" si="196"/>
        <v>332.64</v>
      </c>
      <c r="P440" s="65" t="e">
        <f>IF(B440&lt;&gt;0,VLOOKUP(B440,#REF!,2,FALSE),"")</f>
        <v>#REF!</v>
      </c>
      <c r="Q440" s="62">
        <v>2</v>
      </c>
      <c r="R440" s="62">
        <f t="shared" si="220"/>
        <v>-14</v>
      </c>
      <c r="AD440" s="221"/>
      <c r="AE440" s="481"/>
      <c r="AF440" s="481"/>
      <c r="AG440" s="481"/>
      <c r="AH440" s="481"/>
      <c r="AI440" s="873">
        <f t="shared" si="221"/>
        <v>18.27</v>
      </c>
      <c r="AJ440" s="26">
        <f t="shared" si="222"/>
        <v>23.17</v>
      </c>
      <c r="AK440" s="26">
        <f t="shared" si="223"/>
        <v>370.72</v>
      </c>
      <c r="AL440" s="224"/>
    </row>
    <row r="441" spans="1:38" s="62" customFormat="1" ht="30">
      <c r="A441" s="25" t="s">
        <v>2558</v>
      </c>
      <c r="B441" s="141" t="s">
        <v>2539</v>
      </c>
      <c r="C441" s="23" t="s">
        <v>2540</v>
      </c>
      <c r="D441" s="25" t="s">
        <v>1915</v>
      </c>
      <c r="E441" s="25" t="s">
        <v>17</v>
      </c>
      <c r="F441" s="26">
        <v>2</v>
      </c>
      <c r="G441" s="26">
        <f t="shared" si="193"/>
        <v>1953.9204999999999</v>
      </c>
      <c r="H441" s="26">
        <f t="shared" si="219"/>
        <v>2477.77</v>
      </c>
      <c r="I441" s="26">
        <f t="shared" si="207"/>
        <v>4955.54</v>
      </c>
      <c r="J441" s="64">
        <f>'COMPOSIÇÃO DE CUSTOS'!G2265</f>
        <v>1953.92</v>
      </c>
      <c r="K441" s="362">
        <v>2298.73</v>
      </c>
      <c r="L441" s="65">
        <f t="shared" si="194"/>
        <v>-344.80950000000007</v>
      </c>
      <c r="M441" s="65">
        <f t="shared" si="195"/>
        <v>3907.8409999999999</v>
      </c>
      <c r="N441" s="65"/>
      <c r="O441" s="65">
        <f t="shared" si="196"/>
        <v>4955.54</v>
      </c>
      <c r="P441" s="65" t="e">
        <f>IF(B441&lt;&gt;0,VLOOKUP(B441,#REF!,2,FALSE),"")</f>
        <v>#REF!</v>
      </c>
      <c r="Q441" s="62">
        <v>194</v>
      </c>
      <c r="R441" s="62">
        <f t="shared" si="220"/>
        <v>192</v>
      </c>
      <c r="AD441" s="221"/>
      <c r="AE441" s="481"/>
      <c r="AF441" s="481"/>
      <c r="AG441" s="481"/>
      <c r="AH441" s="481"/>
      <c r="AI441" s="873">
        <f t="shared" si="221"/>
        <v>2176.6799999999998</v>
      </c>
      <c r="AJ441" s="26">
        <f t="shared" si="222"/>
        <v>2760.25</v>
      </c>
      <c r="AK441" s="26">
        <f t="shared" si="223"/>
        <v>5520.5</v>
      </c>
      <c r="AL441" s="224"/>
    </row>
    <row r="442" spans="1:38" s="62" customFormat="1" ht="60">
      <c r="A442" s="25" t="s">
        <v>2759</v>
      </c>
      <c r="B442" s="146">
        <v>100563</v>
      </c>
      <c r="C442" s="147" t="s">
        <v>1906</v>
      </c>
      <c r="D442" s="25" t="s">
        <v>12</v>
      </c>
      <c r="E442" s="25" t="s">
        <v>17</v>
      </c>
      <c r="F442" s="26">
        <v>1</v>
      </c>
      <c r="G442" s="26">
        <f t="shared" si="193"/>
        <v>331.80600000000004</v>
      </c>
      <c r="H442" s="26">
        <f t="shared" si="219"/>
        <v>420.76</v>
      </c>
      <c r="I442" s="26">
        <f t="shared" si="207"/>
        <v>420.76</v>
      </c>
      <c r="J442" s="65" t="e">
        <f>IF(B442&lt;&gt;0,VLOOKUP(B442,#REF!,4,FALSE),"")</f>
        <v>#REF!</v>
      </c>
      <c r="K442" s="362" t="s">
        <v>3268</v>
      </c>
      <c r="L442" s="65">
        <f t="shared" si="194"/>
        <v>-58.553999999999974</v>
      </c>
      <c r="M442" s="65">
        <f t="shared" si="195"/>
        <v>331.80600000000004</v>
      </c>
      <c r="N442" s="65"/>
      <c r="O442" s="65">
        <f t="shared" si="196"/>
        <v>420.76</v>
      </c>
      <c r="P442" s="65" t="e">
        <f>IF(B442&lt;&gt;0,VLOOKUP(B442,#REF!,2,FALSE),"")</f>
        <v>#REF!</v>
      </c>
      <c r="Q442" s="62">
        <v>6</v>
      </c>
      <c r="R442" s="62">
        <f t="shared" si="220"/>
        <v>5</v>
      </c>
      <c r="AD442" s="221"/>
      <c r="AE442" s="481"/>
      <c r="AF442" s="481"/>
      <c r="AG442" s="481"/>
      <c r="AH442" s="481"/>
      <c r="AI442" s="873">
        <f t="shared" si="221"/>
        <v>369.63</v>
      </c>
      <c r="AJ442" s="26">
        <f t="shared" si="222"/>
        <v>468.73</v>
      </c>
      <c r="AK442" s="26">
        <f t="shared" si="223"/>
        <v>468.73</v>
      </c>
      <c r="AL442" s="224"/>
    </row>
    <row r="443" spans="1:38" s="62" customFormat="1" ht="30">
      <c r="A443" s="25" t="s">
        <v>2760</v>
      </c>
      <c r="B443" s="148">
        <v>11420</v>
      </c>
      <c r="C443" s="149" t="s">
        <v>1972</v>
      </c>
      <c r="D443" s="152" t="s">
        <v>44</v>
      </c>
      <c r="E443" s="25" t="s">
        <v>17</v>
      </c>
      <c r="F443" s="26">
        <v>6</v>
      </c>
      <c r="G443" s="26">
        <f t="shared" si="193"/>
        <v>11.662000000000001</v>
      </c>
      <c r="H443" s="26">
        <f t="shared" si="219"/>
        <v>14.79</v>
      </c>
      <c r="I443" s="26">
        <f t="shared" si="207"/>
        <v>88.74</v>
      </c>
      <c r="J443" s="64">
        <f>'COMPOSIÇÃO DE CUSTOS'!G2017</f>
        <v>11.66</v>
      </c>
      <c r="K443" s="362">
        <v>13.72</v>
      </c>
      <c r="L443" s="65">
        <f t="shared" si="194"/>
        <v>-2.0579999999999998</v>
      </c>
      <c r="M443" s="65">
        <f t="shared" si="195"/>
        <v>69.972000000000008</v>
      </c>
      <c r="N443" s="65"/>
      <c r="O443" s="65">
        <f t="shared" si="196"/>
        <v>88.74</v>
      </c>
      <c r="P443" s="65" t="e">
        <f>IF(B443&lt;&gt;0,VLOOKUP(B443,#REF!,2,FALSE),"")</f>
        <v>#REF!</v>
      </c>
      <c r="Q443" s="62">
        <v>2</v>
      </c>
      <c r="R443" s="62">
        <f t="shared" si="220"/>
        <v>-4</v>
      </c>
      <c r="AD443" s="221"/>
      <c r="AE443" s="481"/>
      <c r="AF443" s="481"/>
      <c r="AG443" s="481"/>
      <c r="AH443" s="481"/>
      <c r="AI443" s="873">
        <f t="shared" si="221"/>
        <v>12.99</v>
      </c>
      <c r="AJ443" s="26">
        <f t="shared" si="222"/>
        <v>16.47</v>
      </c>
      <c r="AK443" s="26">
        <f t="shared" si="223"/>
        <v>98.82</v>
      </c>
      <c r="AL443" s="224"/>
    </row>
    <row r="444" spans="1:38" s="62" customFormat="1">
      <c r="A444" s="25" t="s">
        <v>3020</v>
      </c>
      <c r="B444" s="278">
        <v>11417</v>
      </c>
      <c r="C444" s="149" t="s">
        <v>3088</v>
      </c>
      <c r="D444" s="152" t="s">
        <v>44</v>
      </c>
      <c r="E444" s="25" t="s">
        <v>17</v>
      </c>
      <c r="F444" s="26">
        <v>2</v>
      </c>
      <c r="G444" s="26">
        <f t="shared" si="193"/>
        <v>133.21199999999999</v>
      </c>
      <c r="H444" s="26">
        <f t="shared" si="219"/>
        <v>168.93</v>
      </c>
      <c r="I444" s="26">
        <f t="shared" ref="I444" si="224">ROUND(H444*F444,2)</f>
        <v>337.86</v>
      </c>
      <c r="J444" s="64">
        <f>'COMPOSIÇÃO DE CUSTOS'!G2561</f>
        <v>133.21</v>
      </c>
      <c r="K444" s="362">
        <v>156.72</v>
      </c>
      <c r="L444" s="65">
        <f t="shared" si="194"/>
        <v>-23.50800000000001</v>
      </c>
      <c r="M444" s="65">
        <f t="shared" si="195"/>
        <v>266.42399999999998</v>
      </c>
      <c r="N444" s="65"/>
      <c r="O444" s="65">
        <f t="shared" si="196"/>
        <v>337.86</v>
      </c>
      <c r="P444" s="65"/>
      <c r="AD444" s="221"/>
      <c r="AE444" s="481"/>
      <c r="AF444" s="481"/>
      <c r="AG444" s="481"/>
      <c r="AH444" s="481"/>
      <c r="AI444" s="873">
        <f t="shared" si="221"/>
        <v>148.4</v>
      </c>
      <c r="AJ444" s="26">
        <f t="shared" si="222"/>
        <v>188.19</v>
      </c>
      <c r="AK444" s="26">
        <f t="shared" si="223"/>
        <v>376.38</v>
      </c>
      <c r="AL444" s="224"/>
    </row>
    <row r="445" spans="1:38" ht="60">
      <c r="A445" s="25" t="s">
        <v>3089</v>
      </c>
      <c r="B445" s="148" t="s">
        <v>2390</v>
      </c>
      <c r="C445" s="149" t="s">
        <v>2400</v>
      </c>
      <c r="D445" s="152" t="s">
        <v>1915</v>
      </c>
      <c r="E445" s="25" t="s">
        <v>17</v>
      </c>
      <c r="F445" s="26">
        <v>2</v>
      </c>
      <c r="G445" s="26">
        <f t="shared" si="193"/>
        <v>3109.47</v>
      </c>
      <c r="H445" s="26">
        <f t="shared" si="219"/>
        <v>3943.12</v>
      </c>
      <c r="I445" s="26">
        <f t="shared" si="207"/>
        <v>7886.24</v>
      </c>
      <c r="J445" s="64">
        <f>'COMPOSIÇÃO DE CUSTOS'!G1823</f>
        <v>3109.47</v>
      </c>
      <c r="K445" s="362">
        <v>3658.2</v>
      </c>
      <c r="L445" s="65">
        <f t="shared" si="194"/>
        <v>-548.73</v>
      </c>
      <c r="M445" s="65">
        <f t="shared" si="195"/>
        <v>6218.94</v>
      </c>
      <c r="N445" s="65"/>
      <c r="O445" s="65">
        <f t="shared" si="196"/>
        <v>7886.24</v>
      </c>
      <c r="P445" s="65" t="e">
        <f>IF(B445&lt;&gt;0,VLOOKUP(B445,#REF!,2,FALSE),"")</f>
        <v>#REF!</v>
      </c>
      <c r="Q445" s="2">
        <v>6</v>
      </c>
      <c r="R445" s="62">
        <f t="shared" ref="R445:R508" si="225">Q445-F445</f>
        <v>4</v>
      </c>
      <c r="AD445" s="21"/>
      <c r="AE445" s="481"/>
      <c r="AF445" s="481"/>
      <c r="AG445" s="481"/>
      <c r="AH445" s="481"/>
      <c r="AI445" s="873">
        <f t="shared" si="221"/>
        <v>3463.98</v>
      </c>
      <c r="AJ445" s="26">
        <f t="shared" si="222"/>
        <v>4392.67</v>
      </c>
      <c r="AK445" s="26">
        <f t="shared" si="223"/>
        <v>8785.34</v>
      </c>
    </row>
    <row r="446" spans="1:38" ht="30">
      <c r="A446" s="25" t="s">
        <v>3322</v>
      </c>
      <c r="B446" s="154" t="s">
        <v>2392</v>
      </c>
      <c r="C446" s="153" t="s">
        <v>2391</v>
      </c>
      <c r="D446" s="25" t="s">
        <v>1915</v>
      </c>
      <c r="E446" s="25" t="s">
        <v>17</v>
      </c>
      <c r="F446" s="26">
        <v>20</v>
      </c>
      <c r="G446" s="26">
        <f t="shared" si="193"/>
        <v>136.28900000000002</v>
      </c>
      <c r="H446" s="26">
        <f t="shared" si="219"/>
        <v>172.83</v>
      </c>
      <c r="I446" s="26">
        <f t="shared" si="207"/>
        <v>3456.6</v>
      </c>
      <c r="J446" s="64">
        <f>'COMPOSIÇÃO DE CUSTOS'!G1830</f>
        <v>136.29</v>
      </c>
      <c r="K446" s="362">
        <v>160.34</v>
      </c>
      <c r="L446" s="65">
        <f t="shared" si="194"/>
        <v>-24.050999999999988</v>
      </c>
      <c r="M446" s="65">
        <f t="shared" si="195"/>
        <v>2725.78</v>
      </c>
      <c r="N446" s="65"/>
      <c r="O446" s="65">
        <f t="shared" si="196"/>
        <v>3456.6000000000004</v>
      </c>
      <c r="P446" s="65" t="e">
        <f>IF(B446&lt;&gt;0,VLOOKUP(B446,#REF!,2,FALSE),"")</f>
        <v>#REF!</v>
      </c>
      <c r="R446" s="62">
        <f t="shared" si="225"/>
        <v>-20</v>
      </c>
      <c r="AD446" s="21"/>
      <c r="AE446" s="481"/>
      <c r="AF446" s="481"/>
      <c r="AG446" s="481"/>
      <c r="AH446" s="481"/>
      <c r="AI446" s="873">
        <f t="shared" si="221"/>
        <v>151.83000000000001</v>
      </c>
      <c r="AJ446" s="26">
        <f t="shared" si="222"/>
        <v>192.54</v>
      </c>
      <c r="AK446" s="26">
        <f t="shared" si="223"/>
        <v>3850.8</v>
      </c>
    </row>
    <row r="447" spans="1:38" s="62" customFormat="1">
      <c r="A447" s="77" t="s">
        <v>1023</v>
      </c>
      <c r="B447" s="139"/>
      <c r="C447" s="340" t="s">
        <v>224</v>
      </c>
      <c r="D447" s="341"/>
      <c r="E447" s="341"/>
      <c r="F447" s="341"/>
      <c r="G447" s="26"/>
      <c r="H447" s="341"/>
      <c r="I447" s="96"/>
      <c r="J447" s="65" t="str">
        <f>IF(B447&lt;&gt;0,VLOOKUP(B447,#REF!,4,FALSE),"")</f>
        <v/>
      </c>
      <c r="K447" s="362" t="s">
        <v>1892</v>
      </c>
      <c r="L447" s="65"/>
      <c r="M447" s="65">
        <f t="shared" si="195"/>
        <v>0</v>
      </c>
      <c r="N447" s="65"/>
      <c r="O447" s="65">
        <f t="shared" si="196"/>
        <v>0</v>
      </c>
      <c r="P447" s="65" t="str">
        <f>IF(B447&lt;&gt;0,VLOOKUP(B447,#REF!,2,FALSE),"")</f>
        <v/>
      </c>
      <c r="Q447" s="62">
        <v>133</v>
      </c>
      <c r="R447" s="62">
        <f t="shared" si="225"/>
        <v>133</v>
      </c>
      <c r="AD447" s="221"/>
      <c r="AE447" s="481"/>
      <c r="AF447" s="481"/>
      <c r="AG447" s="481"/>
      <c r="AH447" s="481"/>
      <c r="AI447" s="552"/>
      <c r="AJ447" s="27"/>
      <c r="AK447" s="27"/>
      <c r="AL447" s="224"/>
    </row>
    <row r="448" spans="1:38" s="62" customFormat="1" ht="55.5" customHeight="1">
      <c r="A448" s="25" t="s">
        <v>1024</v>
      </c>
      <c r="B448" s="24">
        <v>91863</v>
      </c>
      <c r="C448" s="23" t="s">
        <v>1692</v>
      </c>
      <c r="D448" s="25" t="s">
        <v>12</v>
      </c>
      <c r="E448" s="25" t="s">
        <v>52</v>
      </c>
      <c r="F448" s="26">
        <v>133</v>
      </c>
      <c r="G448" s="26">
        <f t="shared" si="193"/>
        <v>6.8849999999999998</v>
      </c>
      <c r="H448" s="26">
        <f t="shared" ref="H448:H477" si="226">ROUND(G448*(1+$J$13),2)</f>
        <v>8.73</v>
      </c>
      <c r="I448" s="26">
        <f t="shared" ref="I448:I477" si="227">ROUND(H448*F448,2)</f>
        <v>1161.0899999999999</v>
      </c>
      <c r="J448" s="65" t="e">
        <f>IF(B448&lt;&gt;0,VLOOKUP(B448,#REF!,4,FALSE),"")</f>
        <v>#REF!</v>
      </c>
      <c r="K448" s="362" t="s">
        <v>1886</v>
      </c>
      <c r="L448" s="65">
        <f t="shared" si="194"/>
        <v>-1.2149999999999999</v>
      </c>
      <c r="M448" s="65">
        <f t="shared" si="195"/>
        <v>915.70499999999993</v>
      </c>
      <c r="N448" s="65"/>
      <c r="O448" s="65">
        <f t="shared" si="196"/>
        <v>1161.0900000000001</v>
      </c>
      <c r="P448" s="65" t="e">
        <f>IF(B448&lt;&gt;0,VLOOKUP(B448,#REF!,2,FALSE),"")</f>
        <v>#REF!</v>
      </c>
      <c r="Q448" s="62">
        <v>6</v>
      </c>
      <c r="R448" s="62">
        <f t="shared" si="225"/>
        <v>-127</v>
      </c>
      <c r="AD448" s="221"/>
      <c r="AE448" s="481"/>
      <c r="AF448" s="481"/>
      <c r="AG448" s="481"/>
      <c r="AH448" s="481"/>
      <c r="AI448" s="873">
        <f t="shared" ref="AI448:AI453" si="228">ROUND(G448*$AM$11,2)</f>
        <v>7.67</v>
      </c>
      <c r="AJ448" s="26">
        <f t="shared" ref="AJ448:AJ477" si="229">ROUND(AI448*(1+$J$13),2)</f>
        <v>9.73</v>
      </c>
      <c r="AK448" s="26">
        <f t="shared" ref="AK448:AK453" si="230">ROUND(AJ448*F448,2)</f>
        <v>1294.0899999999999</v>
      </c>
      <c r="AL448" s="224"/>
    </row>
    <row r="449" spans="1:38" s="62" customFormat="1" ht="60">
      <c r="A449" s="25" t="s">
        <v>1025</v>
      </c>
      <c r="B449" s="24">
        <v>91890</v>
      </c>
      <c r="C449" s="23" t="s">
        <v>1693</v>
      </c>
      <c r="D449" s="25" t="s">
        <v>12</v>
      </c>
      <c r="E449" s="25" t="s">
        <v>17</v>
      </c>
      <c r="F449" s="26">
        <v>6</v>
      </c>
      <c r="G449" s="26">
        <f t="shared" si="193"/>
        <v>6.375</v>
      </c>
      <c r="H449" s="26">
        <f t="shared" si="226"/>
        <v>8.08</v>
      </c>
      <c r="I449" s="26">
        <f t="shared" si="227"/>
        <v>48.48</v>
      </c>
      <c r="J449" s="65" t="e">
        <f>IF(B449&lt;&gt;0,VLOOKUP(B449,#REF!,4,FALSE),"")</f>
        <v>#REF!</v>
      </c>
      <c r="K449" s="362" t="s">
        <v>3225</v>
      </c>
      <c r="L449" s="65">
        <f t="shared" si="194"/>
        <v>-1.125</v>
      </c>
      <c r="M449" s="65">
        <f t="shared" si="195"/>
        <v>38.25</v>
      </c>
      <c r="N449" s="65"/>
      <c r="O449" s="65">
        <f t="shared" si="196"/>
        <v>48.480000000000004</v>
      </c>
      <c r="P449" s="65" t="e">
        <f>IF(B449&lt;&gt;0,VLOOKUP(B449,#REF!,2,FALSE),"")</f>
        <v>#REF!</v>
      </c>
      <c r="Q449" s="62">
        <v>57</v>
      </c>
      <c r="R449" s="62">
        <f t="shared" si="225"/>
        <v>51</v>
      </c>
      <c r="AD449" s="221"/>
      <c r="AE449" s="481"/>
      <c r="AF449" s="481"/>
      <c r="AG449" s="481"/>
      <c r="AH449" s="481"/>
      <c r="AI449" s="873">
        <f t="shared" si="228"/>
        <v>7.1</v>
      </c>
      <c r="AJ449" s="26">
        <f t="shared" si="229"/>
        <v>9</v>
      </c>
      <c r="AK449" s="26">
        <f t="shared" si="230"/>
        <v>54</v>
      </c>
      <c r="AL449" s="224"/>
    </row>
    <row r="450" spans="1:38" s="62" customFormat="1" ht="60">
      <c r="A450" s="25" t="s">
        <v>1026</v>
      </c>
      <c r="B450" s="24">
        <v>91875</v>
      </c>
      <c r="C450" s="23" t="s">
        <v>1694</v>
      </c>
      <c r="D450" s="25" t="s">
        <v>12</v>
      </c>
      <c r="E450" s="25" t="s">
        <v>17</v>
      </c>
      <c r="F450" s="26">
        <v>57</v>
      </c>
      <c r="G450" s="26">
        <f t="shared" si="193"/>
        <v>3.7654999999999998</v>
      </c>
      <c r="H450" s="26">
        <f t="shared" si="226"/>
        <v>4.78</v>
      </c>
      <c r="I450" s="26">
        <f t="shared" si="227"/>
        <v>272.45999999999998</v>
      </c>
      <c r="J450" s="65" t="e">
        <f>IF(B450&lt;&gt;0,VLOOKUP(B450,#REF!,4,FALSE),"")</f>
        <v>#REF!</v>
      </c>
      <c r="K450" s="362" t="s">
        <v>1865</v>
      </c>
      <c r="L450" s="65">
        <f t="shared" si="194"/>
        <v>-0.66449999999999987</v>
      </c>
      <c r="M450" s="65">
        <f t="shared" si="195"/>
        <v>214.6335</v>
      </c>
      <c r="N450" s="65"/>
      <c r="O450" s="65">
        <f t="shared" si="196"/>
        <v>272.46000000000004</v>
      </c>
      <c r="P450" s="65" t="e">
        <f>IF(B450&lt;&gt;0,VLOOKUP(B450,#REF!,2,FALSE),"")</f>
        <v>#REF!</v>
      </c>
      <c r="Q450" s="62">
        <v>67</v>
      </c>
      <c r="R450" s="62">
        <f t="shared" si="225"/>
        <v>10</v>
      </c>
      <c r="AD450" s="221"/>
      <c r="AE450" s="481"/>
      <c r="AF450" s="481"/>
      <c r="AG450" s="481"/>
      <c r="AH450" s="481"/>
      <c r="AI450" s="873">
        <f t="shared" si="228"/>
        <v>4.1900000000000004</v>
      </c>
      <c r="AJ450" s="26">
        <f t="shared" si="229"/>
        <v>5.31</v>
      </c>
      <c r="AK450" s="26">
        <f t="shared" si="230"/>
        <v>302.67</v>
      </c>
      <c r="AL450" s="224"/>
    </row>
    <row r="451" spans="1:38" s="62" customFormat="1" ht="45">
      <c r="A451" s="25" t="s">
        <v>1027</v>
      </c>
      <c r="B451" s="24">
        <v>91871</v>
      </c>
      <c r="C451" s="23" t="s">
        <v>1695</v>
      </c>
      <c r="D451" s="25" t="s">
        <v>12</v>
      </c>
      <c r="E451" s="25" t="s">
        <v>52</v>
      </c>
      <c r="F451" s="26">
        <v>67</v>
      </c>
      <c r="G451" s="26">
        <f t="shared" si="193"/>
        <v>7.3949999999999996</v>
      </c>
      <c r="H451" s="26">
        <f t="shared" si="226"/>
        <v>9.3800000000000008</v>
      </c>
      <c r="I451" s="26">
        <f t="shared" si="227"/>
        <v>628.46</v>
      </c>
      <c r="J451" s="65" t="e">
        <f>IF(B451&lt;&gt;0,VLOOKUP(B451,#REF!,4,FALSE),"")</f>
        <v>#REF!</v>
      </c>
      <c r="K451" s="362" t="s">
        <v>2648</v>
      </c>
      <c r="L451" s="65">
        <f t="shared" si="194"/>
        <v>-1.3049999999999997</v>
      </c>
      <c r="M451" s="65">
        <f t="shared" si="195"/>
        <v>495.46499999999997</v>
      </c>
      <c r="N451" s="65"/>
      <c r="O451" s="65">
        <f t="shared" si="196"/>
        <v>628.46</v>
      </c>
      <c r="P451" s="65" t="e">
        <f>IF(B451&lt;&gt;0,VLOOKUP(B451,#REF!,2,FALSE),"")</f>
        <v>#REF!</v>
      </c>
      <c r="Q451" s="62">
        <v>20</v>
      </c>
      <c r="R451" s="62">
        <f t="shared" si="225"/>
        <v>-47</v>
      </c>
      <c r="AD451" s="221"/>
      <c r="AE451" s="481"/>
      <c r="AF451" s="481"/>
      <c r="AG451" s="481"/>
      <c r="AH451" s="481"/>
      <c r="AI451" s="873">
        <f t="shared" si="228"/>
        <v>8.24</v>
      </c>
      <c r="AJ451" s="26">
        <f t="shared" si="229"/>
        <v>10.45</v>
      </c>
      <c r="AK451" s="26">
        <f t="shared" si="230"/>
        <v>700.15</v>
      </c>
      <c r="AL451" s="224"/>
    </row>
    <row r="452" spans="1:38" s="62" customFormat="1" ht="60">
      <c r="A452" s="25" t="s">
        <v>1028</v>
      </c>
      <c r="B452" s="24">
        <v>91914</v>
      </c>
      <c r="C452" s="23" t="s">
        <v>1696</v>
      </c>
      <c r="D452" s="25" t="s">
        <v>12</v>
      </c>
      <c r="E452" s="25" t="s">
        <v>17</v>
      </c>
      <c r="F452" s="26">
        <v>20</v>
      </c>
      <c r="G452" s="26">
        <f t="shared" si="193"/>
        <v>8.5084999999999997</v>
      </c>
      <c r="H452" s="26">
        <f t="shared" si="226"/>
        <v>10.79</v>
      </c>
      <c r="I452" s="26">
        <f t="shared" si="227"/>
        <v>215.8</v>
      </c>
      <c r="J452" s="65" t="e">
        <f>IF(B452&lt;&gt;0,VLOOKUP(B452,#REF!,4,FALSE),"")</f>
        <v>#REF!</v>
      </c>
      <c r="K452" s="362" t="s">
        <v>1908</v>
      </c>
      <c r="L452" s="65">
        <f t="shared" si="194"/>
        <v>-1.5015000000000001</v>
      </c>
      <c r="M452" s="65">
        <f t="shared" si="195"/>
        <v>170.17</v>
      </c>
      <c r="N452" s="65"/>
      <c r="O452" s="65">
        <f t="shared" si="196"/>
        <v>215.79999999999998</v>
      </c>
      <c r="P452" s="65" t="e">
        <f>IF(B452&lt;&gt;0,VLOOKUP(B452,#REF!,2,FALSE),"")</f>
        <v>#REF!</v>
      </c>
      <c r="Q452" s="62">
        <v>63</v>
      </c>
      <c r="R452" s="62">
        <f t="shared" si="225"/>
        <v>43</v>
      </c>
      <c r="AD452" s="221"/>
      <c r="AE452" s="481"/>
      <c r="AF452" s="481"/>
      <c r="AG452" s="481"/>
      <c r="AH452" s="481"/>
      <c r="AI452" s="873">
        <f t="shared" si="228"/>
        <v>9.48</v>
      </c>
      <c r="AJ452" s="26">
        <f t="shared" si="229"/>
        <v>12.02</v>
      </c>
      <c r="AK452" s="26">
        <f t="shared" si="230"/>
        <v>240.4</v>
      </c>
      <c r="AL452" s="224"/>
    </row>
    <row r="453" spans="1:38" s="62" customFormat="1" ht="60">
      <c r="A453" s="25" t="s">
        <v>1029</v>
      </c>
      <c r="B453" s="24">
        <v>91884</v>
      </c>
      <c r="C453" s="23" t="s">
        <v>1697</v>
      </c>
      <c r="D453" s="25" t="s">
        <v>12</v>
      </c>
      <c r="E453" s="25" t="s">
        <v>17</v>
      </c>
      <c r="F453" s="26">
        <v>63</v>
      </c>
      <c r="G453" s="26">
        <f t="shared" si="193"/>
        <v>5.1849999999999996</v>
      </c>
      <c r="H453" s="26">
        <f t="shared" si="226"/>
        <v>6.58</v>
      </c>
      <c r="I453" s="26">
        <f t="shared" si="227"/>
        <v>414.54</v>
      </c>
      <c r="J453" s="65" t="e">
        <f>IF(B453&lt;&gt;0,VLOOKUP(B453,#REF!,4,FALSE),"")</f>
        <v>#REF!</v>
      </c>
      <c r="K453" s="362" t="s">
        <v>3141</v>
      </c>
      <c r="L453" s="65">
        <f t="shared" si="194"/>
        <v>-0.91500000000000004</v>
      </c>
      <c r="M453" s="65">
        <f t="shared" si="195"/>
        <v>326.65499999999997</v>
      </c>
      <c r="N453" s="65"/>
      <c r="O453" s="65">
        <f t="shared" si="196"/>
        <v>414.54</v>
      </c>
      <c r="P453" s="65" t="e">
        <f>IF(B453&lt;&gt;0,VLOOKUP(B453,#REF!,2,FALSE),"")</f>
        <v>#REF!</v>
      </c>
      <c r="Q453" s="62">
        <v>20</v>
      </c>
      <c r="R453" s="62">
        <f t="shared" si="225"/>
        <v>-43</v>
      </c>
      <c r="AD453" s="221"/>
      <c r="AE453" s="481"/>
      <c r="AF453" s="481"/>
      <c r="AG453" s="481"/>
      <c r="AH453" s="481"/>
      <c r="AI453" s="873">
        <f t="shared" si="228"/>
        <v>5.78</v>
      </c>
      <c r="AJ453" s="26">
        <f t="shared" si="229"/>
        <v>7.33</v>
      </c>
      <c r="AK453" s="26">
        <f t="shared" si="230"/>
        <v>461.79</v>
      </c>
      <c r="AL453" s="224"/>
    </row>
    <row r="454" spans="1:38" s="62" customFormat="1" ht="30">
      <c r="A454" s="25" t="s">
        <v>1030</v>
      </c>
      <c r="B454" s="24">
        <v>723</v>
      </c>
      <c r="C454" s="23" t="s">
        <v>1765</v>
      </c>
      <c r="D454" s="25" t="s">
        <v>44</v>
      </c>
      <c r="E454" s="25" t="s">
        <v>17</v>
      </c>
      <c r="F454" s="26">
        <v>20</v>
      </c>
      <c r="G454" s="26">
        <f t="shared" si="193"/>
        <v>3.4085000000000001</v>
      </c>
      <c r="H454" s="26">
        <f t="shared" si="226"/>
        <v>4.32</v>
      </c>
      <c r="I454" s="26">
        <f t="shared" si="227"/>
        <v>86.4</v>
      </c>
      <c r="J454" s="64">
        <f>'COMPOSIÇÃO DE CUSTOS'!G1307</f>
        <v>3.41</v>
      </c>
      <c r="K454" s="362">
        <v>4.01</v>
      </c>
      <c r="L454" s="65">
        <f t="shared" si="194"/>
        <v>-0.6014999999999997</v>
      </c>
      <c r="M454" s="65">
        <f t="shared" si="195"/>
        <v>68.17</v>
      </c>
      <c r="N454" s="65"/>
      <c r="O454" s="65">
        <f t="shared" si="196"/>
        <v>86.4</v>
      </c>
      <c r="P454" s="65" t="e">
        <f>IF(B454&lt;&gt;0,VLOOKUP(B454,#REF!,2,FALSE),"")</f>
        <v>#REF!</v>
      </c>
      <c r="Q454" s="62">
        <v>195</v>
      </c>
      <c r="R454" s="62">
        <f t="shared" si="225"/>
        <v>175</v>
      </c>
      <c r="AD454" s="221"/>
      <c r="AE454" s="481"/>
      <c r="AF454" s="481"/>
      <c r="AG454" s="481"/>
      <c r="AH454" s="481"/>
      <c r="AI454" s="873">
        <f t="shared" ref="AI454:AI477" si="231">ROUND(G454*$AM$11,2)</f>
        <v>3.8</v>
      </c>
      <c r="AJ454" s="26">
        <f t="shared" si="229"/>
        <v>4.82</v>
      </c>
      <c r="AK454" s="26">
        <f t="shared" ref="AK454:AK477" si="232">ROUND(AJ454*F454,2)</f>
        <v>96.4</v>
      </c>
      <c r="AL454" s="224"/>
    </row>
    <row r="455" spans="1:38" s="62" customFormat="1" ht="45">
      <c r="A455" s="25" t="s">
        <v>1031</v>
      </c>
      <c r="B455" s="24">
        <v>91864</v>
      </c>
      <c r="C455" s="23" t="s">
        <v>1663</v>
      </c>
      <c r="D455" s="25" t="s">
        <v>12</v>
      </c>
      <c r="E455" s="25" t="s">
        <v>52</v>
      </c>
      <c r="F455" s="26">
        <v>195</v>
      </c>
      <c r="G455" s="26">
        <f t="shared" si="193"/>
        <v>9.1204999999999998</v>
      </c>
      <c r="H455" s="26">
        <f t="shared" si="226"/>
        <v>11.57</v>
      </c>
      <c r="I455" s="26">
        <f t="shared" si="227"/>
        <v>2256.15</v>
      </c>
      <c r="J455" s="65" t="e">
        <f>IF(B455&lt;&gt;0,VLOOKUP(B455,#REF!,4,FALSE),"")</f>
        <v>#REF!</v>
      </c>
      <c r="K455" s="362" t="s">
        <v>1837</v>
      </c>
      <c r="L455" s="65">
        <f t="shared" si="194"/>
        <v>-1.6095000000000006</v>
      </c>
      <c r="M455" s="65">
        <f t="shared" si="195"/>
        <v>1778.4974999999999</v>
      </c>
      <c r="N455" s="65"/>
      <c r="O455" s="65">
        <f t="shared" si="196"/>
        <v>2256.15</v>
      </c>
      <c r="P455" s="65" t="e">
        <f>IF(B455&lt;&gt;0,VLOOKUP(B455,#REF!,2,FALSE),"")</f>
        <v>#REF!</v>
      </c>
      <c r="Q455" s="62">
        <v>19</v>
      </c>
      <c r="R455" s="62">
        <f t="shared" si="225"/>
        <v>-176</v>
      </c>
      <c r="AD455" s="221"/>
      <c r="AE455" s="481"/>
      <c r="AF455" s="481"/>
      <c r="AG455" s="481"/>
      <c r="AH455" s="481"/>
      <c r="AI455" s="873">
        <f t="shared" si="231"/>
        <v>10.16</v>
      </c>
      <c r="AJ455" s="26">
        <f t="shared" si="229"/>
        <v>12.88</v>
      </c>
      <c r="AK455" s="26">
        <f t="shared" si="232"/>
        <v>2511.6</v>
      </c>
      <c r="AL455" s="224"/>
    </row>
    <row r="456" spans="1:38" s="62" customFormat="1" ht="60">
      <c r="A456" s="25" t="s">
        <v>1032</v>
      </c>
      <c r="B456" s="24">
        <v>91893</v>
      </c>
      <c r="C456" s="23" t="s">
        <v>1698</v>
      </c>
      <c r="D456" s="25" t="s">
        <v>12</v>
      </c>
      <c r="E456" s="25" t="s">
        <v>17</v>
      </c>
      <c r="F456" s="26">
        <f>7+12</f>
        <v>19</v>
      </c>
      <c r="G456" s="26">
        <f t="shared" si="193"/>
        <v>8.7379999999999995</v>
      </c>
      <c r="H456" s="26">
        <f t="shared" si="226"/>
        <v>11.08</v>
      </c>
      <c r="I456" s="26">
        <f t="shared" si="227"/>
        <v>210.52</v>
      </c>
      <c r="J456" s="65" t="e">
        <f>IF(B456&lt;&gt;0,VLOOKUP(B456,#REF!,4,FALSE),"")</f>
        <v>#REF!</v>
      </c>
      <c r="K456" s="362" t="s">
        <v>3159</v>
      </c>
      <c r="L456" s="65">
        <f t="shared" si="194"/>
        <v>-1.5419999999999998</v>
      </c>
      <c r="M456" s="65">
        <f t="shared" si="195"/>
        <v>166.02199999999999</v>
      </c>
      <c r="N456" s="65"/>
      <c r="O456" s="65">
        <f t="shared" si="196"/>
        <v>210.52</v>
      </c>
      <c r="P456" s="65" t="e">
        <f>IF(B456&lt;&gt;0,VLOOKUP(B456,#REF!,2,FALSE),"")</f>
        <v>#REF!</v>
      </c>
      <c r="Q456" s="62">
        <v>111</v>
      </c>
      <c r="R456" s="62">
        <f t="shared" si="225"/>
        <v>92</v>
      </c>
      <c r="AD456" s="221"/>
      <c r="AE456" s="481"/>
      <c r="AF456" s="481"/>
      <c r="AG456" s="481"/>
      <c r="AH456" s="481"/>
      <c r="AI456" s="873">
        <f t="shared" si="231"/>
        <v>9.73</v>
      </c>
      <c r="AJ456" s="26">
        <f t="shared" si="229"/>
        <v>12.34</v>
      </c>
      <c r="AK456" s="26">
        <f t="shared" si="232"/>
        <v>234.46</v>
      </c>
      <c r="AL456" s="224"/>
    </row>
    <row r="457" spans="1:38" s="62" customFormat="1" ht="45">
      <c r="A457" s="25" t="s">
        <v>1033</v>
      </c>
      <c r="B457" s="24">
        <v>91876</v>
      </c>
      <c r="C457" s="23" t="s">
        <v>1664</v>
      </c>
      <c r="D457" s="25" t="s">
        <v>12</v>
      </c>
      <c r="E457" s="25" t="s">
        <v>17</v>
      </c>
      <c r="F457" s="26">
        <f>22+89</f>
        <v>111</v>
      </c>
      <c r="G457" s="26">
        <f t="shared" si="193"/>
        <v>4.9980000000000002</v>
      </c>
      <c r="H457" s="26">
        <f t="shared" si="226"/>
        <v>6.34</v>
      </c>
      <c r="I457" s="26">
        <f t="shared" si="227"/>
        <v>703.74</v>
      </c>
      <c r="J457" s="65" t="e">
        <f>IF(B457&lt;&gt;0,VLOOKUP(B457,#REF!,4,FALSE),"")</f>
        <v>#REF!</v>
      </c>
      <c r="K457" s="362" t="s">
        <v>3194</v>
      </c>
      <c r="L457" s="65">
        <f t="shared" si="194"/>
        <v>-0.88199999999999967</v>
      </c>
      <c r="M457" s="65">
        <f t="shared" si="195"/>
        <v>554.77800000000002</v>
      </c>
      <c r="N457" s="65"/>
      <c r="O457" s="65">
        <f t="shared" si="196"/>
        <v>703.74</v>
      </c>
      <c r="P457" s="65" t="e">
        <f>IF(B457&lt;&gt;0,VLOOKUP(B457,#REF!,2,FALSE),"")</f>
        <v>#REF!</v>
      </c>
      <c r="Q457" s="62">
        <v>161</v>
      </c>
      <c r="R457" s="62">
        <f t="shared" si="225"/>
        <v>50</v>
      </c>
      <c r="AD457" s="221"/>
      <c r="AE457" s="481"/>
      <c r="AF457" s="481"/>
      <c r="AG457" s="481"/>
      <c r="AH457" s="481"/>
      <c r="AI457" s="873">
        <f t="shared" si="231"/>
        <v>5.57</v>
      </c>
      <c r="AJ457" s="26">
        <f t="shared" si="229"/>
        <v>7.06</v>
      </c>
      <c r="AK457" s="26">
        <f t="shared" si="232"/>
        <v>783.66</v>
      </c>
      <c r="AL457" s="224"/>
    </row>
    <row r="458" spans="1:38" s="62" customFormat="1" ht="45">
      <c r="A458" s="25" t="s">
        <v>1034</v>
      </c>
      <c r="B458" s="24">
        <v>91872</v>
      </c>
      <c r="C458" s="23" t="s">
        <v>1699</v>
      </c>
      <c r="D458" s="25" t="s">
        <v>12</v>
      </c>
      <c r="E458" s="25" t="s">
        <v>52</v>
      </c>
      <c r="F458" s="26">
        <f>24+137</f>
        <v>161</v>
      </c>
      <c r="G458" s="26">
        <f t="shared" si="193"/>
        <v>9.6304999999999996</v>
      </c>
      <c r="H458" s="26">
        <f t="shared" si="226"/>
        <v>12.21</v>
      </c>
      <c r="I458" s="26">
        <f t="shared" si="227"/>
        <v>1965.81</v>
      </c>
      <c r="J458" s="65" t="e">
        <f>IF(B458&lt;&gt;0,VLOOKUP(B458,#REF!,4,FALSE),"")</f>
        <v>#REF!</v>
      </c>
      <c r="K458" s="362" t="s">
        <v>1857</v>
      </c>
      <c r="L458" s="65">
        <f t="shared" si="194"/>
        <v>-1.6995000000000005</v>
      </c>
      <c r="M458" s="65">
        <f t="shared" si="195"/>
        <v>1550.5104999999999</v>
      </c>
      <c r="N458" s="65"/>
      <c r="O458" s="65">
        <f t="shared" si="196"/>
        <v>1965.8100000000002</v>
      </c>
      <c r="P458" s="65" t="e">
        <f>IF(B458&lt;&gt;0,VLOOKUP(B458,#REF!,2,FALSE),"")</f>
        <v>#REF!</v>
      </c>
      <c r="Q458" s="62">
        <v>30</v>
      </c>
      <c r="R458" s="62">
        <f t="shared" si="225"/>
        <v>-131</v>
      </c>
      <c r="AD458" s="221"/>
      <c r="AE458" s="481"/>
      <c r="AF458" s="481"/>
      <c r="AG458" s="481"/>
      <c r="AH458" s="481"/>
      <c r="AI458" s="873">
        <f t="shared" si="231"/>
        <v>10.73</v>
      </c>
      <c r="AJ458" s="26">
        <f t="shared" si="229"/>
        <v>13.61</v>
      </c>
      <c r="AK458" s="26">
        <f t="shared" si="232"/>
        <v>2191.21</v>
      </c>
      <c r="AL458" s="224"/>
    </row>
    <row r="459" spans="1:38" s="62" customFormat="1" ht="60">
      <c r="A459" s="25" t="s">
        <v>1035</v>
      </c>
      <c r="B459" s="24">
        <v>91917</v>
      </c>
      <c r="C459" s="23" t="s">
        <v>1700</v>
      </c>
      <c r="D459" s="25" t="s">
        <v>12</v>
      </c>
      <c r="E459" s="25" t="s">
        <v>17</v>
      </c>
      <c r="F459" s="26">
        <v>30</v>
      </c>
      <c r="G459" s="26">
        <f t="shared" si="193"/>
        <v>10.480499999999999</v>
      </c>
      <c r="H459" s="26">
        <f t="shared" si="226"/>
        <v>13.29</v>
      </c>
      <c r="I459" s="26">
        <f t="shared" si="227"/>
        <v>398.7</v>
      </c>
      <c r="J459" s="65" t="e">
        <f>IF(B459&lt;&gt;0,VLOOKUP(B459,#REF!,4,FALSE),"")</f>
        <v>#REF!</v>
      </c>
      <c r="K459" s="362" t="s">
        <v>3111</v>
      </c>
      <c r="L459" s="65">
        <f t="shared" si="194"/>
        <v>-1.8495000000000008</v>
      </c>
      <c r="M459" s="65">
        <f t="shared" si="195"/>
        <v>314.41499999999996</v>
      </c>
      <c r="N459" s="65"/>
      <c r="O459" s="65">
        <f t="shared" si="196"/>
        <v>398.7</v>
      </c>
      <c r="P459" s="65" t="e">
        <f>IF(B459&lt;&gt;0,VLOOKUP(B459,#REF!,2,FALSE),"")</f>
        <v>#REF!</v>
      </c>
      <c r="Q459" s="62">
        <v>106</v>
      </c>
      <c r="R459" s="62">
        <f t="shared" si="225"/>
        <v>76</v>
      </c>
      <c r="AD459" s="221"/>
      <c r="AE459" s="481"/>
      <c r="AF459" s="481"/>
      <c r="AG459" s="481"/>
      <c r="AH459" s="481"/>
      <c r="AI459" s="873">
        <f t="shared" si="231"/>
        <v>11.68</v>
      </c>
      <c r="AJ459" s="26">
        <f t="shared" si="229"/>
        <v>14.81</v>
      </c>
      <c r="AK459" s="26">
        <f t="shared" si="232"/>
        <v>444.3</v>
      </c>
      <c r="AL459" s="224"/>
    </row>
    <row r="460" spans="1:38" s="62" customFormat="1" ht="45">
      <c r="A460" s="25" t="s">
        <v>1036</v>
      </c>
      <c r="B460" s="24">
        <v>91885</v>
      </c>
      <c r="C460" s="23" t="s">
        <v>1701</v>
      </c>
      <c r="D460" s="25" t="s">
        <v>12</v>
      </c>
      <c r="E460" s="25" t="s">
        <v>17</v>
      </c>
      <c r="F460" s="26">
        <v>106</v>
      </c>
      <c r="G460" s="26">
        <f t="shared" si="193"/>
        <v>6.1624999999999996</v>
      </c>
      <c r="H460" s="26">
        <f t="shared" si="226"/>
        <v>7.81</v>
      </c>
      <c r="I460" s="26">
        <f t="shared" si="227"/>
        <v>827.86</v>
      </c>
      <c r="J460" s="65" t="e">
        <f>IF(B460&lt;&gt;0,VLOOKUP(B460,#REF!,4,FALSE),"")</f>
        <v>#REF!</v>
      </c>
      <c r="K460" s="362" t="s">
        <v>1871</v>
      </c>
      <c r="L460" s="65">
        <f t="shared" si="194"/>
        <v>-1.0875000000000004</v>
      </c>
      <c r="M460" s="65">
        <f t="shared" si="195"/>
        <v>653.22499999999991</v>
      </c>
      <c r="N460" s="65"/>
      <c r="O460" s="65">
        <f t="shared" si="196"/>
        <v>827.86</v>
      </c>
      <c r="P460" s="65" t="e">
        <f>IF(B460&lt;&gt;0,VLOOKUP(B460,#REF!,2,FALSE),"")</f>
        <v>#REF!</v>
      </c>
      <c r="Q460" s="62">
        <v>27</v>
      </c>
      <c r="R460" s="62">
        <f t="shared" si="225"/>
        <v>-79</v>
      </c>
      <c r="AD460" s="221"/>
      <c r="AE460" s="481"/>
      <c r="AF460" s="481"/>
      <c r="AG460" s="481"/>
      <c r="AH460" s="481"/>
      <c r="AI460" s="873">
        <f t="shared" si="231"/>
        <v>6.87</v>
      </c>
      <c r="AJ460" s="26">
        <f t="shared" si="229"/>
        <v>8.7100000000000009</v>
      </c>
      <c r="AK460" s="26">
        <f t="shared" si="232"/>
        <v>923.26</v>
      </c>
      <c r="AL460" s="224"/>
    </row>
    <row r="461" spans="1:38" s="62" customFormat="1" ht="30">
      <c r="A461" s="25" t="s">
        <v>1037</v>
      </c>
      <c r="B461" s="24">
        <v>724</v>
      </c>
      <c r="C461" s="23" t="s">
        <v>1766</v>
      </c>
      <c r="D461" s="25" t="s">
        <v>44</v>
      </c>
      <c r="E461" s="25" t="s">
        <v>17</v>
      </c>
      <c r="F461" s="26">
        <v>27</v>
      </c>
      <c r="G461" s="26">
        <f t="shared" si="193"/>
        <v>5.032</v>
      </c>
      <c r="H461" s="26">
        <f t="shared" si="226"/>
        <v>6.38</v>
      </c>
      <c r="I461" s="26">
        <f t="shared" si="227"/>
        <v>172.26</v>
      </c>
      <c r="J461" s="64">
        <f>'COMPOSIÇÃO DE CUSTOS'!G1165</f>
        <v>5.04</v>
      </c>
      <c r="K461" s="362">
        <v>5.92</v>
      </c>
      <c r="L461" s="65">
        <f t="shared" si="194"/>
        <v>-0.8879999999999999</v>
      </c>
      <c r="M461" s="65">
        <f t="shared" si="195"/>
        <v>135.864</v>
      </c>
      <c r="N461" s="65"/>
      <c r="O461" s="65">
        <f t="shared" si="196"/>
        <v>172.26</v>
      </c>
      <c r="P461" s="65" t="e">
        <f>IF(B461&lt;&gt;0,VLOOKUP(B461,#REF!,2,FALSE),"")</f>
        <v>#REF!</v>
      </c>
      <c r="Q461" s="62">
        <v>7</v>
      </c>
      <c r="R461" s="62">
        <f t="shared" si="225"/>
        <v>-20</v>
      </c>
      <c r="AD461" s="221"/>
      <c r="AE461" s="481"/>
      <c r="AF461" s="481"/>
      <c r="AG461" s="481"/>
      <c r="AH461" s="481"/>
      <c r="AI461" s="873">
        <f t="shared" si="231"/>
        <v>5.61</v>
      </c>
      <c r="AJ461" s="26">
        <f t="shared" si="229"/>
        <v>7.11</v>
      </c>
      <c r="AK461" s="26">
        <f t="shared" si="232"/>
        <v>191.97</v>
      </c>
      <c r="AL461" s="224"/>
    </row>
    <row r="462" spans="1:38" s="62" customFormat="1" ht="45">
      <c r="A462" s="25" t="s">
        <v>1038</v>
      </c>
      <c r="B462" s="24">
        <v>91865</v>
      </c>
      <c r="C462" s="23" t="s">
        <v>1702</v>
      </c>
      <c r="D462" s="25" t="s">
        <v>12</v>
      </c>
      <c r="E462" s="25" t="s">
        <v>52</v>
      </c>
      <c r="F462" s="26">
        <f>4+3</f>
        <v>7</v>
      </c>
      <c r="G462" s="26">
        <f t="shared" si="193"/>
        <v>11.322000000000001</v>
      </c>
      <c r="H462" s="26">
        <f t="shared" si="226"/>
        <v>14.36</v>
      </c>
      <c r="I462" s="26">
        <f t="shared" si="227"/>
        <v>100.52</v>
      </c>
      <c r="J462" s="65" t="e">
        <f>IF(B462&lt;&gt;0,VLOOKUP(B462,#REF!,4,FALSE),"")</f>
        <v>#REF!</v>
      </c>
      <c r="K462" s="362" t="s">
        <v>3105</v>
      </c>
      <c r="L462" s="65">
        <f t="shared" si="194"/>
        <v>-1.9979999999999993</v>
      </c>
      <c r="M462" s="65">
        <f t="shared" si="195"/>
        <v>79.254000000000005</v>
      </c>
      <c r="N462" s="65"/>
      <c r="O462" s="65">
        <f t="shared" si="196"/>
        <v>100.52</v>
      </c>
      <c r="P462" s="65" t="e">
        <f>IF(B462&lt;&gt;0,VLOOKUP(B462,#REF!,2,FALSE),"")</f>
        <v>#REF!</v>
      </c>
      <c r="Q462" s="62">
        <v>3</v>
      </c>
      <c r="R462" s="62">
        <f t="shared" si="225"/>
        <v>-4</v>
      </c>
      <c r="AD462" s="221"/>
      <c r="AE462" s="481"/>
      <c r="AF462" s="481"/>
      <c r="AG462" s="481"/>
      <c r="AH462" s="481"/>
      <c r="AI462" s="873">
        <f t="shared" si="231"/>
        <v>12.61</v>
      </c>
      <c r="AJ462" s="26">
        <f t="shared" si="229"/>
        <v>15.99</v>
      </c>
      <c r="AK462" s="26">
        <f t="shared" si="232"/>
        <v>111.93</v>
      </c>
      <c r="AL462" s="224"/>
    </row>
    <row r="463" spans="1:38" s="62" customFormat="1" ht="60">
      <c r="A463" s="25" t="s">
        <v>1039</v>
      </c>
      <c r="B463" s="24">
        <v>91877</v>
      </c>
      <c r="C463" s="23" t="s">
        <v>1704</v>
      </c>
      <c r="D463" s="25" t="s">
        <v>12</v>
      </c>
      <c r="E463" s="25" t="s">
        <v>17</v>
      </c>
      <c r="F463" s="26">
        <v>3</v>
      </c>
      <c r="G463" s="26">
        <f t="shared" si="193"/>
        <v>6.681</v>
      </c>
      <c r="H463" s="26">
        <f t="shared" si="226"/>
        <v>8.4700000000000006</v>
      </c>
      <c r="I463" s="26">
        <f t="shared" si="227"/>
        <v>25.41</v>
      </c>
      <c r="J463" s="65" t="e">
        <f>IF(B463&lt;&gt;0,VLOOKUP(B463,#REF!,4,FALSE),"")</f>
        <v>#REF!</v>
      </c>
      <c r="K463" s="362" t="s">
        <v>3037</v>
      </c>
      <c r="L463" s="65">
        <f t="shared" si="194"/>
        <v>-1.1790000000000003</v>
      </c>
      <c r="M463" s="65">
        <f t="shared" si="195"/>
        <v>20.042999999999999</v>
      </c>
      <c r="N463" s="65"/>
      <c r="O463" s="65">
        <f t="shared" si="196"/>
        <v>25.410000000000004</v>
      </c>
      <c r="P463" s="65" t="e">
        <f>IF(B463&lt;&gt;0,VLOOKUP(B463,#REF!,2,FALSE),"")</f>
        <v>#REF!</v>
      </c>
      <c r="Q463" s="62">
        <v>4</v>
      </c>
      <c r="R463" s="62">
        <f t="shared" si="225"/>
        <v>1</v>
      </c>
      <c r="AD463" s="221"/>
      <c r="AE463" s="481"/>
      <c r="AF463" s="481"/>
      <c r="AG463" s="481"/>
      <c r="AH463" s="481"/>
      <c r="AI463" s="873">
        <f t="shared" si="231"/>
        <v>7.44</v>
      </c>
      <c r="AJ463" s="26">
        <f t="shared" si="229"/>
        <v>9.43</v>
      </c>
      <c r="AK463" s="26">
        <f t="shared" si="232"/>
        <v>28.29</v>
      </c>
      <c r="AL463" s="224"/>
    </row>
    <row r="464" spans="1:38" s="62" customFormat="1" ht="45">
      <c r="A464" s="25" t="s">
        <v>1040</v>
      </c>
      <c r="B464" s="24">
        <v>91873</v>
      </c>
      <c r="C464" s="23" t="s">
        <v>1665</v>
      </c>
      <c r="D464" s="25" t="s">
        <v>12</v>
      </c>
      <c r="E464" s="25" t="s">
        <v>52</v>
      </c>
      <c r="F464" s="26">
        <v>4</v>
      </c>
      <c r="G464" s="26">
        <f t="shared" si="193"/>
        <v>11.8065</v>
      </c>
      <c r="H464" s="26">
        <f t="shared" si="226"/>
        <v>14.97</v>
      </c>
      <c r="I464" s="26">
        <f t="shared" si="227"/>
        <v>59.88</v>
      </c>
      <c r="J464" s="65" t="e">
        <f>IF(B464&lt;&gt;0,VLOOKUP(B464,#REF!,4,FALSE),"")</f>
        <v>#REF!</v>
      </c>
      <c r="K464" s="362" t="s">
        <v>3157</v>
      </c>
      <c r="L464" s="65">
        <f t="shared" si="194"/>
        <v>-2.0835000000000008</v>
      </c>
      <c r="M464" s="65">
        <f t="shared" si="195"/>
        <v>47.225999999999999</v>
      </c>
      <c r="N464" s="65"/>
      <c r="O464" s="65">
        <f t="shared" si="196"/>
        <v>59.88</v>
      </c>
      <c r="P464" s="65" t="e">
        <f>IF(B464&lt;&gt;0,VLOOKUP(B464,#REF!,2,FALSE),"")</f>
        <v>#REF!</v>
      </c>
      <c r="Q464" s="62">
        <v>2</v>
      </c>
      <c r="R464" s="62">
        <f t="shared" si="225"/>
        <v>-2</v>
      </c>
      <c r="AD464" s="221"/>
      <c r="AE464" s="481"/>
      <c r="AF464" s="481"/>
      <c r="AG464" s="481"/>
      <c r="AH464" s="481"/>
      <c r="AI464" s="873">
        <f t="shared" si="231"/>
        <v>13.15</v>
      </c>
      <c r="AJ464" s="26">
        <f t="shared" si="229"/>
        <v>16.68</v>
      </c>
      <c r="AK464" s="26">
        <f t="shared" si="232"/>
        <v>66.72</v>
      </c>
      <c r="AL464" s="224"/>
    </row>
    <row r="465" spans="1:38" s="62" customFormat="1" ht="60">
      <c r="A465" s="25" t="s">
        <v>1041</v>
      </c>
      <c r="B465" s="24">
        <v>91920</v>
      </c>
      <c r="C465" s="23" t="s">
        <v>1666</v>
      </c>
      <c r="D465" s="25" t="s">
        <v>12</v>
      </c>
      <c r="E465" s="25" t="s">
        <v>17</v>
      </c>
      <c r="F465" s="26">
        <v>2</v>
      </c>
      <c r="G465" s="26">
        <f t="shared" si="193"/>
        <v>11.942500000000001</v>
      </c>
      <c r="H465" s="26">
        <f t="shared" si="226"/>
        <v>15.14</v>
      </c>
      <c r="I465" s="26">
        <f t="shared" si="227"/>
        <v>30.28</v>
      </c>
      <c r="J465" s="65" t="e">
        <f>IF(B465&lt;&gt;0,VLOOKUP(B465,#REF!,4,FALSE),"")</f>
        <v>#REF!</v>
      </c>
      <c r="K465" s="362" t="s">
        <v>3210</v>
      </c>
      <c r="L465" s="65">
        <f t="shared" si="194"/>
        <v>-2.1074999999999999</v>
      </c>
      <c r="M465" s="65">
        <f t="shared" si="195"/>
        <v>23.885000000000002</v>
      </c>
      <c r="N465" s="65"/>
      <c r="O465" s="65">
        <f t="shared" si="196"/>
        <v>30.28</v>
      </c>
      <c r="P465" s="65" t="e">
        <f>IF(B465&lt;&gt;0,VLOOKUP(B465,#REF!,2,FALSE),"")</f>
        <v>#REF!</v>
      </c>
      <c r="Q465" s="62">
        <v>6</v>
      </c>
      <c r="R465" s="62">
        <f t="shared" si="225"/>
        <v>4</v>
      </c>
      <c r="AD465" s="221"/>
      <c r="AE465" s="481"/>
      <c r="AF465" s="481"/>
      <c r="AG465" s="481"/>
      <c r="AH465" s="481"/>
      <c r="AI465" s="873">
        <f t="shared" si="231"/>
        <v>13.3</v>
      </c>
      <c r="AJ465" s="26">
        <f t="shared" si="229"/>
        <v>16.87</v>
      </c>
      <c r="AK465" s="26">
        <f t="shared" si="232"/>
        <v>33.74</v>
      </c>
      <c r="AL465" s="224"/>
    </row>
    <row r="466" spans="1:38" s="62" customFormat="1" ht="60">
      <c r="A466" s="25" t="s">
        <v>1042</v>
      </c>
      <c r="B466" s="24">
        <v>91886</v>
      </c>
      <c r="C466" s="23" t="s">
        <v>1667</v>
      </c>
      <c r="D466" s="25" t="s">
        <v>12</v>
      </c>
      <c r="E466" s="25" t="s">
        <v>17</v>
      </c>
      <c r="F466" s="26">
        <v>6</v>
      </c>
      <c r="G466" s="26">
        <f t="shared" si="193"/>
        <v>7.5565000000000007</v>
      </c>
      <c r="H466" s="26">
        <f t="shared" si="226"/>
        <v>9.58</v>
      </c>
      <c r="I466" s="26">
        <f t="shared" si="227"/>
        <v>57.48</v>
      </c>
      <c r="J466" s="65" t="e">
        <f>IF(B466&lt;&gt;0,VLOOKUP(B466,#REF!,4,FALSE),"")</f>
        <v>#REF!</v>
      </c>
      <c r="K466" s="362" t="s">
        <v>1907</v>
      </c>
      <c r="L466" s="65">
        <f t="shared" si="194"/>
        <v>-1.3334999999999999</v>
      </c>
      <c r="M466" s="65">
        <f t="shared" si="195"/>
        <v>45.339000000000006</v>
      </c>
      <c r="N466" s="65"/>
      <c r="O466" s="65">
        <f t="shared" si="196"/>
        <v>57.480000000000004</v>
      </c>
      <c r="P466" s="65" t="e">
        <f>IF(B466&lt;&gt;0,VLOOKUP(B466,#REF!,2,FALSE),"")</f>
        <v>#REF!</v>
      </c>
      <c r="Q466" s="62">
        <v>1</v>
      </c>
      <c r="R466" s="62">
        <f t="shared" si="225"/>
        <v>-5</v>
      </c>
      <c r="AD466" s="221"/>
      <c r="AE466" s="481"/>
      <c r="AF466" s="481"/>
      <c r="AG466" s="481"/>
      <c r="AH466" s="481"/>
      <c r="AI466" s="873">
        <f t="shared" si="231"/>
        <v>8.42</v>
      </c>
      <c r="AJ466" s="26">
        <f t="shared" si="229"/>
        <v>10.68</v>
      </c>
      <c r="AK466" s="26">
        <f t="shared" si="232"/>
        <v>64.08</v>
      </c>
      <c r="AL466" s="224"/>
    </row>
    <row r="467" spans="1:38" s="62" customFormat="1" ht="32.25" customHeight="1">
      <c r="A467" s="25" t="s">
        <v>1043</v>
      </c>
      <c r="B467" s="24">
        <v>725</v>
      </c>
      <c r="C467" s="23" t="s">
        <v>207</v>
      </c>
      <c r="D467" s="25" t="s">
        <v>44</v>
      </c>
      <c r="E467" s="25" t="s">
        <v>17</v>
      </c>
      <c r="F467" s="26">
        <v>1</v>
      </c>
      <c r="G467" s="26">
        <f t="shared" si="193"/>
        <v>5.5419999999999998</v>
      </c>
      <c r="H467" s="26">
        <f t="shared" si="226"/>
        <v>7.03</v>
      </c>
      <c r="I467" s="26">
        <f t="shared" si="227"/>
        <v>7.03</v>
      </c>
      <c r="J467" s="64">
        <f>'COMPOSIÇÃO DE CUSTOS'!G1172</f>
        <v>5.55</v>
      </c>
      <c r="K467" s="362">
        <v>6.52</v>
      </c>
      <c r="L467" s="65">
        <f t="shared" si="194"/>
        <v>-0.97799999999999976</v>
      </c>
      <c r="M467" s="65">
        <f t="shared" si="195"/>
        <v>5.5419999999999998</v>
      </c>
      <c r="N467" s="65"/>
      <c r="O467" s="65">
        <f t="shared" si="196"/>
        <v>7.03</v>
      </c>
      <c r="P467" s="65" t="e">
        <f>IF(B467&lt;&gt;0,VLOOKUP(B467,#REF!,2,FALSE),"")</f>
        <v>#REF!</v>
      </c>
      <c r="Q467" s="62">
        <v>46</v>
      </c>
      <c r="R467" s="62">
        <f t="shared" si="225"/>
        <v>45</v>
      </c>
      <c r="AD467" s="221"/>
      <c r="AE467" s="481"/>
      <c r="AF467" s="481"/>
      <c r="AG467" s="481"/>
      <c r="AH467" s="481"/>
      <c r="AI467" s="873">
        <f t="shared" si="231"/>
        <v>6.17</v>
      </c>
      <c r="AJ467" s="26">
        <f t="shared" si="229"/>
        <v>7.82</v>
      </c>
      <c r="AK467" s="26">
        <f t="shared" si="232"/>
        <v>7.82</v>
      </c>
      <c r="AL467" s="224"/>
    </row>
    <row r="468" spans="1:38" ht="30">
      <c r="A468" s="25" t="s">
        <v>1044</v>
      </c>
      <c r="B468" s="24">
        <v>762</v>
      </c>
      <c r="C468" s="23" t="s">
        <v>1749</v>
      </c>
      <c r="D468" s="25" t="s">
        <v>44</v>
      </c>
      <c r="E468" s="25" t="s">
        <v>17</v>
      </c>
      <c r="F468" s="26">
        <v>46</v>
      </c>
      <c r="G468" s="26">
        <f t="shared" si="193"/>
        <v>57.230499999999999</v>
      </c>
      <c r="H468" s="26">
        <f t="shared" si="226"/>
        <v>72.569999999999993</v>
      </c>
      <c r="I468" s="26">
        <f t="shared" si="227"/>
        <v>3338.22</v>
      </c>
      <c r="J468" s="64">
        <f>'COMPOSIÇÃO DE CUSTOS'!G1265</f>
        <v>57.23</v>
      </c>
      <c r="K468" s="362">
        <v>67.33</v>
      </c>
      <c r="L468" s="65">
        <f t="shared" si="194"/>
        <v>-10.099499999999999</v>
      </c>
      <c r="M468" s="65">
        <f t="shared" si="195"/>
        <v>2632.6030000000001</v>
      </c>
      <c r="N468" s="65"/>
      <c r="O468" s="65">
        <f t="shared" si="196"/>
        <v>3338.22</v>
      </c>
      <c r="P468" s="65" t="e">
        <f>IF(B468&lt;&gt;0,VLOOKUP(B468,#REF!,2,FALSE),"")</f>
        <v>#REF!</v>
      </c>
      <c r="Q468" s="2">
        <v>2</v>
      </c>
      <c r="R468" s="62">
        <f t="shared" si="225"/>
        <v>-44</v>
      </c>
      <c r="AD468" s="21"/>
      <c r="AE468" s="481"/>
      <c r="AF468" s="481"/>
      <c r="AG468" s="481"/>
      <c r="AH468" s="481"/>
      <c r="AI468" s="873">
        <f t="shared" si="231"/>
        <v>63.76</v>
      </c>
      <c r="AJ468" s="26">
        <f t="shared" si="229"/>
        <v>80.849999999999994</v>
      </c>
      <c r="AK468" s="26">
        <f t="shared" si="232"/>
        <v>3719.1</v>
      </c>
    </row>
    <row r="469" spans="1:38" ht="30">
      <c r="A469" s="25" t="s">
        <v>1045</v>
      </c>
      <c r="B469" s="24">
        <v>8443</v>
      </c>
      <c r="C469" s="23" t="s">
        <v>1759</v>
      </c>
      <c r="D469" s="25" t="s">
        <v>44</v>
      </c>
      <c r="E469" s="25" t="s">
        <v>17</v>
      </c>
      <c r="F469" s="26">
        <v>2</v>
      </c>
      <c r="G469" s="26">
        <f t="shared" si="193"/>
        <v>57.179499999999997</v>
      </c>
      <c r="H469" s="26">
        <f t="shared" si="226"/>
        <v>72.510000000000005</v>
      </c>
      <c r="I469" s="26">
        <f t="shared" si="227"/>
        <v>145.02000000000001</v>
      </c>
      <c r="J469" s="64">
        <f>'COMPOSIÇÃO DE CUSTOS'!G1272</f>
        <v>57.18</v>
      </c>
      <c r="K469" s="362">
        <v>67.27</v>
      </c>
      <c r="L469" s="65">
        <f t="shared" si="194"/>
        <v>-10.090499999999999</v>
      </c>
      <c r="M469" s="65">
        <f t="shared" si="195"/>
        <v>114.35899999999999</v>
      </c>
      <c r="N469" s="65"/>
      <c r="O469" s="65">
        <f t="shared" si="196"/>
        <v>145.02000000000001</v>
      </c>
      <c r="P469" s="65" t="e">
        <f>IF(B469&lt;&gt;0,VLOOKUP(B469,#REF!,2,FALSE),"")</f>
        <v>#REF!</v>
      </c>
      <c r="Q469" s="2">
        <v>3</v>
      </c>
      <c r="R469" s="62">
        <f t="shared" si="225"/>
        <v>1</v>
      </c>
      <c r="AD469" s="21"/>
      <c r="AE469" s="481"/>
      <c r="AF469" s="481"/>
      <c r="AG469" s="481"/>
      <c r="AH469" s="481"/>
      <c r="AI469" s="873">
        <f t="shared" si="231"/>
        <v>63.7</v>
      </c>
      <c r="AJ469" s="26">
        <f t="shared" si="229"/>
        <v>80.78</v>
      </c>
      <c r="AK469" s="26">
        <f t="shared" si="232"/>
        <v>161.56</v>
      </c>
    </row>
    <row r="470" spans="1:38" ht="30">
      <c r="A470" s="25" t="s">
        <v>1046</v>
      </c>
      <c r="B470" s="24">
        <v>8113</v>
      </c>
      <c r="C470" s="23" t="s">
        <v>1750</v>
      </c>
      <c r="D470" s="25" t="s">
        <v>44</v>
      </c>
      <c r="E470" s="25" t="s">
        <v>17</v>
      </c>
      <c r="F470" s="26">
        <v>3</v>
      </c>
      <c r="G470" s="26">
        <f t="shared" ref="G470:G533" si="233">K470-(K470*$L$14)</f>
        <v>35.929500000000004</v>
      </c>
      <c r="H470" s="26">
        <f t="shared" si="226"/>
        <v>45.56</v>
      </c>
      <c r="I470" s="26">
        <f t="shared" si="227"/>
        <v>136.68</v>
      </c>
      <c r="J470" s="64">
        <f>'COMPOSIÇÃO DE CUSTOS'!G1300</f>
        <v>35.93</v>
      </c>
      <c r="K470" s="362">
        <v>42.27</v>
      </c>
      <c r="L470" s="65">
        <f t="shared" ref="L470:L533" si="234">G470-K470</f>
        <v>-6.3404999999999987</v>
      </c>
      <c r="M470" s="65">
        <f t="shared" ref="M470:M533" si="235">F470*G470</f>
        <v>107.78850000000001</v>
      </c>
      <c r="N470" s="65"/>
      <c r="O470" s="65">
        <f t="shared" ref="O470:O533" si="236">F470*H470</f>
        <v>136.68</v>
      </c>
      <c r="P470" s="65" t="e">
        <f>IF(B470&lt;&gt;0,VLOOKUP(B470,#REF!,2,FALSE),"")</f>
        <v>#REF!</v>
      </c>
      <c r="Q470" s="2">
        <v>15</v>
      </c>
      <c r="R470" s="62">
        <f t="shared" si="225"/>
        <v>12</v>
      </c>
      <c r="AD470" s="21"/>
      <c r="AE470" s="481"/>
      <c r="AF470" s="481"/>
      <c r="AG470" s="481"/>
      <c r="AH470" s="481"/>
      <c r="AI470" s="873">
        <f t="shared" si="231"/>
        <v>40.03</v>
      </c>
      <c r="AJ470" s="26">
        <f t="shared" si="229"/>
        <v>50.76</v>
      </c>
      <c r="AK470" s="26">
        <f t="shared" si="232"/>
        <v>152.28</v>
      </c>
    </row>
    <row r="471" spans="1:38" s="62" customFormat="1" ht="30">
      <c r="A471" s="25" t="s">
        <v>1047</v>
      </c>
      <c r="B471" s="24">
        <v>748</v>
      </c>
      <c r="C471" s="23" t="s">
        <v>201</v>
      </c>
      <c r="D471" s="25" t="s">
        <v>44</v>
      </c>
      <c r="E471" s="25" t="s">
        <v>17</v>
      </c>
      <c r="F471" s="26">
        <v>15</v>
      </c>
      <c r="G471" s="26">
        <f t="shared" si="233"/>
        <v>70.473500000000001</v>
      </c>
      <c r="H471" s="26">
        <f t="shared" si="226"/>
        <v>89.37</v>
      </c>
      <c r="I471" s="26">
        <f t="shared" si="227"/>
        <v>1340.55</v>
      </c>
      <c r="J471" s="64">
        <f>'COMPOSIÇÃO DE CUSTOS'!G1053</f>
        <v>70.47</v>
      </c>
      <c r="K471" s="362">
        <v>82.91</v>
      </c>
      <c r="L471" s="65">
        <f t="shared" si="234"/>
        <v>-12.436499999999995</v>
      </c>
      <c r="M471" s="65">
        <f t="shared" si="235"/>
        <v>1057.1025</v>
      </c>
      <c r="N471" s="65"/>
      <c r="O471" s="65">
        <f t="shared" si="236"/>
        <v>1340.5500000000002</v>
      </c>
      <c r="P471" s="65" t="e">
        <f>IF(B471&lt;&gt;0,VLOOKUP(B471,#REF!,2,FALSE),"")</f>
        <v>#REF!</v>
      </c>
      <c r="Q471" s="62">
        <v>4</v>
      </c>
      <c r="R471" s="62">
        <f t="shared" si="225"/>
        <v>-11</v>
      </c>
      <c r="AD471" s="221"/>
      <c r="AE471" s="481"/>
      <c r="AF471" s="481"/>
      <c r="AG471" s="481"/>
      <c r="AH471" s="481"/>
      <c r="AI471" s="873">
        <f t="shared" si="231"/>
        <v>78.510000000000005</v>
      </c>
      <c r="AJ471" s="26">
        <f t="shared" si="229"/>
        <v>99.56</v>
      </c>
      <c r="AK471" s="26">
        <f t="shared" si="232"/>
        <v>1493.4</v>
      </c>
      <c r="AL471" s="224"/>
    </row>
    <row r="472" spans="1:38" s="62" customFormat="1" ht="33" customHeight="1">
      <c r="A472" s="25" t="s">
        <v>1048</v>
      </c>
      <c r="B472" s="24">
        <v>9280</v>
      </c>
      <c r="C472" s="23" t="s">
        <v>1743</v>
      </c>
      <c r="D472" s="25" t="s">
        <v>44</v>
      </c>
      <c r="E472" s="25" t="s">
        <v>17</v>
      </c>
      <c r="F472" s="26">
        <v>4</v>
      </c>
      <c r="G472" s="26">
        <f t="shared" si="233"/>
        <v>52.173000000000002</v>
      </c>
      <c r="H472" s="26">
        <f t="shared" si="226"/>
        <v>66.16</v>
      </c>
      <c r="I472" s="26">
        <f t="shared" si="227"/>
        <v>264.64</v>
      </c>
      <c r="J472" s="64">
        <f>'COMPOSIÇÃO DE CUSTOS'!G1074</f>
        <v>52.17</v>
      </c>
      <c r="K472" s="362">
        <v>61.38</v>
      </c>
      <c r="L472" s="65">
        <f t="shared" si="234"/>
        <v>-9.2070000000000007</v>
      </c>
      <c r="M472" s="65">
        <f t="shared" si="235"/>
        <v>208.69200000000001</v>
      </c>
      <c r="N472" s="65"/>
      <c r="O472" s="65">
        <f t="shared" si="236"/>
        <v>264.64</v>
      </c>
      <c r="P472" s="65" t="e">
        <f>IF(B472&lt;&gt;0,VLOOKUP(B472,#REF!,2,FALSE),"")</f>
        <v>#REF!</v>
      </c>
      <c r="Q472" s="62">
        <v>4</v>
      </c>
      <c r="R472" s="62">
        <f t="shared" si="225"/>
        <v>0</v>
      </c>
      <c r="AD472" s="221"/>
      <c r="AE472" s="481"/>
      <c r="AF472" s="481"/>
      <c r="AG472" s="481"/>
      <c r="AH472" s="481"/>
      <c r="AI472" s="873">
        <f t="shared" si="231"/>
        <v>58.12</v>
      </c>
      <c r="AJ472" s="26">
        <f t="shared" si="229"/>
        <v>73.7</v>
      </c>
      <c r="AK472" s="26">
        <f t="shared" si="232"/>
        <v>294.8</v>
      </c>
      <c r="AL472" s="224"/>
    </row>
    <row r="473" spans="1:38" s="62" customFormat="1" ht="36.75" customHeight="1">
      <c r="A473" s="25" t="s">
        <v>1049</v>
      </c>
      <c r="B473" s="24" t="s">
        <v>2230</v>
      </c>
      <c r="C473" s="23" t="s">
        <v>1744</v>
      </c>
      <c r="D473" s="25" t="s">
        <v>1915</v>
      </c>
      <c r="E473" s="25" t="s">
        <v>17</v>
      </c>
      <c r="F473" s="26">
        <v>4</v>
      </c>
      <c r="G473" s="26">
        <f t="shared" si="233"/>
        <v>15.614500000000001</v>
      </c>
      <c r="H473" s="26">
        <f t="shared" si="226"/>
        <v>19.8</v>
      </c>
      <c r="I473" s="26">
        <f t="shared" si="227"/>
        <v>79.2</v>
      </c>
      <c r="J473" s="64">
        <f>'COMPOSIÇÃO DE CUSTOS'!G1081</f>
        <v>15.61</v>
      </c>
      <c r="K473" s="362">
        <v>18.37</v>
      </c>
      <c r="L473" s="65">
        <f t="shared" si="234"/>
        <v>-2.7554999999999996</v>
      </c>
      <c r="M473" s="65">
        <f t="shared" si="235"/>
        <v>62.458000000000006</v>
      </c>
      <c r="N473" s="65"/>
      <c r="O473" s="65">
        <f t="shared" si="236"/>
        <v>79.2</v>
      </c>
      <c r="P473" s="65" t="e">
        <f>IF(B473&lt;&gt;0,VLOOKUP(B473,#REF!,2,FALSE),"")</f>
        <v>#REF!</v>
      </c>
      <c r="Q473" s="62">
        <v>4</v>
      </c>
      <c r="R473" s="62">
        <f t="shared" si="225"/>
        <v>0</v>
      </c>
      <c r="AD473" s="221"/>
      <c r="AE473" s="481"/>
      <c r="AF473" s="481"/>
      <c r="AG473" s="481"/>
      <c r="AH473" s="481"/>
      <c r="AI473" s="873">
        <f t="shared" si="231"/>
        <v>17.39</v>
      </c>
      <c r="AJ473" s="26">
        <f t="shared" si="229"/>
        <v>22.05</v>
      </c>
      <c r="AK473" s="26">
        <f t="shared" si="232"/>
        <v>88.2</v>
      </c>
      <c r="AL473" s="224"/>
    </row>
    <row r="474" spans="1:38" ht="29.25" customHeight="1">
      <c r="A474" s="25" t="s">
        <v>1050</v>
      </c>
      <c r="B474" s="24">
        <v>11290</v>
      </c>
      <c r="C474" s="23" t="s">
        <v>202</v>
      </c>
      <c r="D474" s="25" t="s">
        <v>44</v>
      </c>
      <c r="E474" s="25" t="s">
        <v>17</v>
      </c>
      <c r="F474" s="26">
        <v>4</v>
      </c>
      <c r="G474" s="26">
        <f t="shared" si="233"/>
        <v>49.835500000000003</v>
      </c>
      <c r="H474" s="26">
        <f t="shared" si="226"/>
        <v>63.2</v>
      </c>
      <c r="I474" s="26">
        <f t="shared" si="227"/>
        <v>252.8</v>
      </c>
      <c r="J474" s="64">
        <f>'COMPOSIÇÃO DE CUSTOS'!G1060</f>
        <v>49.83</v>
      </c>
      <c r="K474" s="362">
        <v>58.63</v>
      </c>
      <c r="L474" s="65">
        <f t="shared" si="234"/>
        <v>-8.7944999999999993</v>
      </c>
      <c r="M474" s="65">
        <f t="shared" si="235"/>
        <v>199.34200000000001</v>
      </c>
      <c r="N474" s="65"/>
      <c r="O474" s="65">
        <f t="shared" si="236"/>
        <v>252.8</v>
      </c>
      <c r="P474" s="65" t="e">
        <f>IF(B474&lt;&gt;0,VLOOKUP(B474,#REF!,2,FALSE),"")</f>
        <v>#REF!</v>
      </c>
      <c r="Q474" s="2">
        <v>2</v>
      </c>
      <c r="R474" s="62">
        <f t="shared" si="225"/>
        <v>-2</v>
      </c>
      <c r="AD474" s="21"/>
      <c r="AE474" s="481"/>
      <c r="AF474" s="481"/>
      <c r="AG474" s="481"/>
      <c r="AH474" s="481"/>
      <c r="AI474" s="873">
        <f t="shared" si="231"/>
        <v>55.52</v>
      </c>
      <c r="AJ474" s="26">
        <f t="shared" si="229"/>
        <v>70.400000000000006</v>
      </c>
      <c r="AK474" s="26">
        <f t="shared" si="232"/>
        <v>281.60000000000002</v>
      </c>
    </row>
    <row r="475" spans="1:38" s="45" customFormat="1" ht="39.75" customHeight="1">
      <c r="A475" s="25" t="s">
        <v>1051</v>
      </c>
      <c r="B475" s="24">
        <v>11548</v>
      </c>
      <c r="C475" s="23" t="s">
        <v>1755</v>
      </c>
      <c r="D475" s="25" t="s">
        <v>44</v>
      </c>
      <c r="E475" s="25" t="s">
        <v>17</v>
      </c>
      <c r="F475" s="26">
        <v>2</v>
      </c>
      <c r="G475" s="26">
        <f t="shared" si="233"/>
        <v>39.967000000000006</v>
      </c>
      <c r="H475" s="26">
        <f t="shared" si="226"/>
        <v>50.68</v>
      </c>
      <c r="I475" s="26">
        <f t="shared" si="227"/>
        <v>101.36</v>
      </c>
      <c r="J475" s="64">
        <f>'COMPOSIÇÃO DE CUSTOS'!G1067</f>
        <v>39.96</v>
      </c>
      <c r="K475" s="362">
        <v>47.02</v>
      </c>
      <c r="L475" s="65">
        <f t="shared" si="234"/>
        <v>-7.0529999999999973</v>
      </c>
      <c r="M475" s="65">
        <f t="shared" si="235"/>
        <v>79.934000000000012</v>
      </c>
      <c r="N475" s="65"/>
      <c r="O475" s="65">
        <f t="shared" si="236"/>
        <v>101.36</v>
      </c>
      <c r="P475" s="65" t="e">
        <f>IF(B475&lt;&gt;0,VLOOKUP(B475,#REF!,2,FALSE),"")</f>
        <v>#REF!</v>
      </c>
      <c r="Q475" s="45">
        <v>5</v>
      </c>
      <c r="R475" s="62">
        <f t="shared" si="225"/>
        <v>3</v>
      </c>
      <c r="AD475" s="56"/>
      <c r="AE475" s="481"/>
      <c r="AF475" s="481"/>
      <c r="AG475" s="481"/>
      <c r="AH475" s="481"/>
      <c r="AI475" s="873">
        <f t="shared" si="231"/>
        <v>44.52</v>
      </c>
      <c r="AJ475" s="26">
        <f t="shared" si="229"/>
        <v>56.46</v>
      </c>
      <c r="AK475" s="26">
        <f t="shared" si="232"/>
        <v>112.92</v>
      </c>
      <c r="AL475" s="724"/>
    </row>
    <row r="476" spans="1:38" s="62" customFormat="1" ht="93.75" customHeight="1">
      <c r="A476" s="25" t="s">
        <v>2613</v>
      </c>
      <c r="B476" s="24">
        <v>90091</v>
      </c>
      <c r="C476" s="23" t="s">
        <v>1705</v>
      </c>
      <c r="D476" s="25" t="s">
        <v>12</v>
      </c>
      <c r="E476" s="25" t="s">
        <v>35</v>
      </c>
      <c r="F476" s="26">
        <v>5</v>
      </c>
      <c r="G476" s="26">
        <f t="shared" si="233"/>
        <v>3.5105</v>
      </c>
      <c r="H476" s="26">
        <f t="shared" si="226"/>
        <v>4.45</v>
      </c>
      <c r="I476" s="26">
        <f t="shared" si="227"/>
        <v>22.25</v>
      </c>
      <c r="J476" s="65" t="e">
        <f>IF(B476&lt;&gt;0,VLOOKUP(B476,#REF!,4,FALSE),"")</f>
        <v>#REF!</v>
      </c>
      <c r="K476" s="362" t="s">
        <v>1867</v>
      </c>
      <c r="L476" s="65">
        <f t="shared" si="234"/>
        <v>-0.61949999999999994</v>
      </c>
      <c r="M476" s="65">
        <f t="shared" si="235"/>
        <v>17.552499999999998</v>
      </c>
      <c r="N476" s="65"/>
      <c r="O476" s="65">
        <f t="shared" si="236"/>
        <v>22.25</v>
      </c>
      <c r="P476" s="65" t="e">
        <f>IF(B476&lt;&gt;0,VLOOKUP(B476,#REF!,2,FALSE),"")</f>
        <v>#REF!</v>
      </c>
      <c r="Q476" s="62">
        <v>5</v>
      </c>
      <c r="R476" s="62">
        <f t="shared" si="225"/>
        <v>0</v>
      </c>
      <c r="AD476" s="221"/>
      <c r="AE476" s="481"/>
      <c r="AF476" s="481"/>
      <c r="AG476" s="481"/>
      <c r="AH476" s="481"/>
      <c r="AI476" s="873">
        <f t="shared" si="231"/>
        <v>3.91</v>
      </c>
      <c r="AJ476" s="26">
        <f t="shared" si="229"/>
        <v>4.96</v>
      </c>
      <c r="AK476" s="26">
        <f t="shared" si="232"/>
        <v>24.8</v>
      </c>
      <c r="AL476" s="224"/>
    </row>
    <row r="477" spans="1:38" s="62" customFormat="1" ht="90">
      <c r="A477" s="25" t="s">
        <v>2614</v>
      </c>
      <c r="B477" s="24">
        <v>93368</v>
      </c>
      <c r="C477" s="23" t="s">
        <v>1706</v>
      </c>
      <c r="D477" s="25" t="s">
        <v>12</v>
      </c>
      <c r="E477" s="25" t="s">
        <v>35</v>
      </c>
      <c r="F477" s="26">
        <v>5</v>
      </c>
      <c r="G477" s="26">
        <f t="shared" si="233"/>
        <v>10.531500000000001</v>
      </c>
      <c r="H477" s="26">
        <f t="shared" si="226"/>
        <v>13.35</v>
      </c>
      <c r="I477" s="26">
        <f t="shared" si="227"/>
        <v>66.75</v>
      </c>
      <c r="J477" s="65" t="e">
        <f>IF(B477&lt;&gt;0,VLOOKUP(B477,#REF!,4,FALSE),"")</f>
        <v>#REF!</v>
      </c>
      <c r="K477" s="362" t="s">
        <v>3112</v>
      </c>
      <c r="L477" s="65">
        <f t="shared" si="234"/>
        <v>-1.8584999999999994</v>
      </c>
      <c r="M477" s="65">
        <f t="shared" si="235"/>
        <v>52.657500000000006</v>
      </c>
      <c r="N477" s="65"/>
      <c r="O477" s="65">
        <f t="shared" si="236"/>
        <v>66.75</v>
      </c>
      <c r="P477" s="65" t="e">
        <f>IF(B477&lt;&gt;0,VLOOKUP(B477,#REF!,2,FALSE),"")</f>
        <v>#REF!</v>
      </c>
      <c r="R477" s="62">
        <f t="shared" si="225"/>
        <v>-5</v>
      </c>
      <c r="AD477" s="221"/>
      <c r="AE477" s="481"/>
      <c r="AF477" s="481"/>
      <c r="AG477" s="481"/>
      <c r="AH477" s="481"/>
      <c r="AI477" s="873">
        <f t="shared" si="231"/>
        <v>11.73</v>
      </c>
      <c r="AJ477" s="26">
        <f t="shared" si="229"/>
        <v>14.87</v>
      </c>
      <c r="AK477" s="26">
        <f t="shared" si="232"/>
        <v>74.349999999999994</v>
      </c>
      <c r="AL477" s="224"/>
    </row>
    <row r="478" spans="1:38" s="62" customFormat="1">
      <c r="A478" s="77" t="s">
        <v>1052</v>
      </c>
      <c r="B478" s="139"/>
      <c r="C478" s="340" t="s">
        <v>214</v>
      </c>
      <c r="D478" s="341"/>
      <c r="E478" s="341"/>
      <c r="F478" s="341"/>
      <c r="G478" s="26"/>
      <c r="H478" s="341"/>
      <c r="I478" s="96"/>
      <c r="J478" s="64" t="str">
        <f>IF(B478&lt;&gt;0,VLOOKUP(B478,#REF!,4,FALSE),"")</f>
        <v/>
      </c>
      <c r="K478" s="362" t="s">
        <v>1892</v>
      </c>
      <c r="L478" s="65"/>
      <c r="M478" s="65">
        <f t="shared" si="235"/>
        <v>0</v>
      </c>
      <c r="N478" s="65"/>
      <c r="O478" s="65">
        <f t="shared" si="236"/>
        <v>0</v>
      </c>
      <c r="P478" s="65" t="str">
        <f>IF(B478&lt;&gt;0,VLOOKUP(B478,#REF!,2,FALSE),"")</f>
        <v/>
      </c>
      <c r="Q478" s="62">
        <v>6008</v>
      </c>
      <c r="R478" s="62">
        <f t="shared" si="225"/>
        <v>6008</v>
      </c>
      <c r="AD478" s="221"/>
      <c r="AE478" s="481"/>
      <c r="AF478" s="481"/>
      <c r="AG478" s="481"/>
      <c r="AH478" s="481"/>
      <c r="AI478" s="552"/>
      <c r="AJ478" s="27"/>
      <c r="AK478" s="27"/>
      <c r="AL478" s="224"/>
    </row>
    <row r="479" spans="1:38" s="34" customFormat="1" ht="45">
      <c r="A479" s="472" t="s">
        <v>1053</v>
      </c>
      <c r="B479" s="475">
        <v>98297</v>
      </c>
      <c r="C479" s="471" t="s">
        <v>2505</v>
      </c>
      <c r="D479" s="472" t="s">
        <v>12</v>
      </c>
      <c r="E479" s="472" t="s">
        <v>52</v>
      </c>
      <c r="F479" s="473">
        <v>6008</v>
      </c>
      <c r="G479" s="473">
        <f t="shared" si="233"/>
        <v>1.7765</v>
      </c>
      <c r="H479" s="473">
        <f>ROUND(G479*(1+$J$13),2)</f>
        <v>2.25</v>
      </c>
      <c r="I479" s="473">
        <f t="shared" ref="I479:I481" si="237">ROUND(H479*F479,2)</f>
        <v>13518</v>
      </c>
      <c r="J479" s="47" t="e">
        <f>IF(B479&lt;&gt;0,VLOOKUP(B479,#REF!,4,FALSE),"")</f>
        <v>#REF!</v>
      </c>
      <c r="K479" s="378" t="s">
        <v>2643</v>
      </c>
      <c r="L479" s="47">
        <f t="shared" si="234"/>
        <v>-0.31349999999999989</v>
      </c>
      <c r="M479" s="47">
        <f t="shared" si="235"/>
        <v>10673.212</v>
      </c>
      <c r="N479" s="47"/>
      <c r="O479" s="47">
        <f t="shared" si="236"/>
        <v>13518</v>
      </c>
      <c r="P479" s="47" t="e">
        <f>IF(B479&lt;&gt;0,VLOOKUP(B479,#REF!,2,FALSE),"")</f>
        <v>#REF!</v>
      </c>
      <c r="Q479" s="34">
        <v>558</v>
      </c>
      <c r="R479" s="34">
        <f t="shared" si="225"/>
        <v>-5450</v>
      </c>
      <c r="AD479" s="577"/>
      <c r="AE479" s="502"/>
      <c r="AF479" s="502"/>
      <c r="AG479" s="502"/>
      <c r="AH479" s="502"/>
      <c r="AI479" s="872">
        <f>AL479</f>
        <v>3.74</v>
      </c>
      <c r="AJ479" s="473">
        <f>ROUND(AI479*(1+$J$13),2)</f>
        <v>4.74</v>
      </c>
      <c r="AK479" s="473">
        <f>ROUND(AJ479*F479,2)</f>
        <v>28477.919999999998</v>
      </c>
      <c r="AL479" s="788">
        <f>'PLANILHA ORÇA - CORREGEDORIA'!BG564</f>
        <v>3.74</v>
      </c>
    </row>
    <row r="480" spans="1:38" s="34" customFormat="1" ht="30">
      <c r="A480" s="472" t="s">
        <v>1054</v>
      </c>
      <c r="B480" s="475" t="s">
        <v>2394</v>
      </c>
      <c r="C480" s="471" t="s">
        <v>2393</v>
      </c>
      <c r="D480" s="472" t="s">
        <v>1915</v>
      </c>
      <c r="E480" s="472" t="s">
        <v>52</v>
      </c>
      <c r="F480" s="473">
        <v>858</v>
      </c>
      <c r="G480" s="473">
        <f t="shared" si="233"/>
        <v>61.735499999999995</v>
      </c>
      <c r="H480" s="473">
        <f>ROUND(G480*(1+$J$13),2)</f>
        <v>78.290000000000006</v>
      </c>
      <c r="I480" s="473">
        <f t="shared" si="237"/>
        <v>67172.820000000007</v>
      </c>
      <c r="J480" s="474">
        <f>'COMPOSIÇÃO DE CUSTOS'!G1838</f>
        <v>61.73</v>
      </c>
      <c r="K480" s="378">
        <v>72.63</v>
      </c>
      <c r="L480" s="47">
        <f t="shared" si="234"/>
        <v>-10.894500000000001</v>
      </c>
      <c r="M480" s="47">
        <f t="shared" si="235"/>
        <v>52969.058999999994</v>
      </c>
      <c r="N480" s="47"/>
      <c r="O480" s="47">
        <f t="shared" si="236"/>
        <v>67172.820000000007</v>
      </c>
      <c r="P480" s="47" t="e">
        <f>IF(B480&lt;&gt;0,VLOOKUP(B480,#REF!,2,FALSE),"")</f>
        <v>#REF!</v>
      </c>
      <c r="Q480" s="34">
        <v>608</v>
      </c>
      <c r="R480" s="34">
        <f t="shared" si="225"/>
        <v>-250</v>
      </c>
      <c r="AD480" s="577"/>
      <c r="AE480" s="502"/>
      <c r="AF480" s="502"/>
      <c r="AG480" s="502"/>
      <c r="AH480" s="502"/>
      <c r="AI480" s="872">
        <f>AL480</f>
        <v>77.03</v>
      </c>
      <c r="AJ480" s="473">
        <f>ROUND(AI480*(1+$J$13),2)</f>
        <v>97.68</v>
      </c>
      <c r="AK480" s="473">
        <f>ROUND(AJ480*F480,2)</f>
        <v>83809.440000000002</v>
      </c>
      <c r="AL480" s="788">
        <f>'PLANILHA ORÇA - CORREGEDORIA'!BG565</f>
        <v>77.03</v>
      </c>
    </row>
    <row r="481" spans="1:38" s="34" customFormat="1" ht="45">
      <c r="A481" s="515" t="s">
        <v>3559</v>
      </c>
      <c r="B481" s="475">
        <v>98270</v>
      </c>
      <c r="C481" s="471" t="s">
        <v>3560</v>
      </c>
      <c r="D481" s="472" t="s">
        <v>12</v>
      </c>
      <c r="E481" s="472" t="s">
        <v>52</v>
      </c>
      <c r="F481" s="473">
        <v>608</v>
      </c>
      <c r="G481" s="473">
        <f t="shared" si="233"/>
        <v>33.464500000000001</v>
      </c>
      <c r="H481" s="473">
        <f>ROUND(G481*(1+$J$13),2)</f>
        <v>42.44</v>
      </c>
      <c r="I481" s="473">
        <f t="shared" si="237"/>
        <v>25803.52</v>
      </c>
      <c r="J481" s="47" t="e">
        <f>IF(B481&lt;&gt;0,VLOOKUP(B481,#REF!,4,FALSE),"")</f>
        <v>#REF!</v>
      </c>
      <c r="K481" s="378" t="s">
        <v>1881</v>
      </c>
      <c r="L481" s="47">
        <f t="shared" si="234"/>
        <v>-5.9054999999999964</v>
      </c>
      <c r="M481" s="47">
        <f t="shared" si="235"/>
        <v>20346.416000000001</v>
      </c>
      <c r="N481" s="47"/>
      <c r="O481" s="47">
        <f t="shared" si="236"/>
        <v>25803.519999999997</v>
      </c>
      <c r="P481" s="47" t="e">
        <f>IF(B481&lt;&gt;0,VLOOKUP(B481,#REF!,2,FALSE),"")</f>
        <v>#REF!</v>
      </c>
      <c r="R481" s="34">
        <f t="shared" si="225"/>
        <v>-608</v>
      </c>
      <c r="AD481" s="577"/>
      <c r="AE481" s="502"/>
      <c r="AF481" s="502"/>
      <c r="AG481" s="502"/>
      <c r="AH481" s="502"/>
      <c r="AI481" s="872">
        <f>AL481</f>
        <v>48.41</v>
      </c>
      <c r="AJ481" s="473">
        <f>ROUND(AI481*(1+$J$13),2)</f>
        <v>61.39</v>
      </c>
      <c r="AK481" s="473">
        <f>ROUND(AJ481*F481,2)</f>
        <v>37325.120000000003</v>
      </c>
      <c r="AL481" s="788">
        <f>'PLANILHA ORÇA - CORREGEDORIA'!BG566</f>
        <v>48.41</v>
      </c>
    </row>
    <row r="482" spans="1:38" s="62" customFormat="1">
      <c r="A482" s="77" t="s">
        <v>1056</v>
      </c>
      <c r="B482" s="139"/>
      <c r="C482" s="340" t="s">
        <v>227</v>
      </c>
      <c r="D482" s="341"/>
      <c r="E482" s="341"/>
      <c r="F482" s="341"/>
      <c r="G482" s="26"/>
      <c r="H482" s="341"/>
      <c r="I482" s="96"/>
      <c r="J482" s="65" t="str">
        <f>IF(B482&lt;&gt;0,VLOOKUP(B482,#REF!,4,FALSE),"")</f>
        <v/>
      </c>
      <c r="K482" s="362" t="s">
        <v>1892</v>
      </c>
      <c r="L482" s="65"/>
      <c r="M482" s="65">
        <f t="shared" si="235"/>
        <v>0</v>
      </c>
      <c r="N482" s="65"/>
      <c r="O482" s="65">
        <f t="shared" si="236"/>
        <v>0</v>
      </c>
      <c r="P482" s="65" t="str">
        <f>IF(B482&lt;&gt;0,VLOOKUP(B482,#REF!,2,FALSE),"")</f>
        <v/>
      </c>
      <c r="Q482" s="62">
        <v>10</v>
      </c>
      <c r="R482" s="62">
        <f t="shared" si="225"/>
        <v>10</v>
      </c>
      <c r="AD482" s="221"/>
      <c r="AE482" s="481"/>
      <c r="AF482" s="481"/>
      <c r="AG482" s="481"/>
      <c r="AH482" s="481"/>
      <c r="AI482" s="552"/>
      <c r="AJ482" s="27"/>
      <c r="AK482" s="27"/>
      <c r="AL482" s="224"/>
    </row>
    <row r="483" spans="1:38" s="62" customFormat="1" ht="30">
      <c r="A483" s="25" t="s">
        <v>1057</v>
      </c>
      <c r="B483" s="24">
        <v>11214</v>
      </c>
      <c r="C483" s="23" t="s">
        <v>1966</v>
      </c>
      <c r="D483" s="25" t="s">
        <v>44</v>
      </c>
      <c r="E483" s="25" t="s">
        <v>17</v>
      </c>
      <c r="F483" s="26">
        <v>10</v>
      </c>
      <c r="G483" s="26">
        <f t="shared" si="233"/>
        <v>47.183499999999995</v>
      </c>
      <c r="H483" s="26">
        <f>ROUND(G483*(1+$J$13),2)</f>
        <v>59.83</v>
      </c>
      <c r="I483" s="26">
        <f t="shared" ref="I483:I484" si="238">ROUND(H483*F483,2)</f>
        <v>598.29999999999995</v>
      </c>
      <c r="J483" s="64">
        <f>'COMPOSIÇÃO DE CUSTOS'!G1991</f>
        <v>47.17</v>
      </c>
      <c r="K483" s="362">
        <v>55.51</v>
      </c>
      <c r="L483" s="65">
        <f t="shared" si="234"/>
        <v>-8.3265000000000029</v>
      </c>
      <c r="M483" s="65">
        <f t="shared" si="235"/>
        <v>471.83499999999992</v>
      </c>
      <c r="N483" s="65"/>
      <c r="O483" s="65">
        <f t="shared" si="236"/>
        <v>598.29999999999995</v>
      </c>
      <c r="P483" s="65" t="e">
        <f>IF(B483&lt;&gt;0,VLOOKUP(B483,#REF!,2,FALSE),"")</f>
        <v>#REF!</v>
      </c>
      <c r="Q483" s="62">
        <v>87</v>
      </c>
      <c r="R483" s="62">
        <f t="shared" si="225"/>
        <v>77</v>
      </c>
      <c r="AD483" s="221"/>
      <c r="AE483" s="481"/>
      <c r="AF483" s="481"/>
      <c r="AG483" s="481"/>
      <c r="AH483" s="481"/>
      <c r="AI483" s="873">
        <f t="shared" ref="AI483:AI484" si="239">ROUND(G483*$AM$11,2)</f>
        <v>52.56</v>
      </c>
      <c r="AJ483" s="26">
        <f t="shared" ref="AJ483:AJ544" si="240">ROUND(AI483*(1+$J$13),2)</f>
        <v>66.650000000000006</v>
      </c>
      <c r="AK483" s="26">
        <f t="shared" ref="AK483:AK484" si="241">ROUND(AJ483*F483,2)</f>
        <v>666.5</v>
      </c>
      <c r="AL483" s="224"/>
    </row>
    <row r="484" spans="1:38" s="62" customFormat="1" ht="39.75" customHeight="1">
      <c r="A484" s="25" t="s">
        <v>1058</v>
      </c>
      <c r="B484" s="24">
        <v>11234</v>
      </c>
      <c r="C484" s="23" t="s">
        <v>1963</v>
      </c>
      <c r="D484" s="25" t="s">
        <v>44</v>
      </c>
      <c r="E484" s="25" t="s">
        <v>17</v>
      </c>
      <c r="F484" s="26">
        <v>87</v>
      </c>
      <c r="G484" s="26">
        <f t="shared" si="233"/>
        <v>80.9285</v>
      </c>
      <c r="H484" s="26">
        <f>ROUND(G484*(1+$J$13),2)</f>
        <v>102.63</v>
      </c>
      <c r="I484" s="26">
        <f t="shared" si="238"/>
        <v>8928.81</v>
      </c>
      <c r="J484" s="64">
        <f>'COMPOSIÇÃO DE CUSTOS'!G1983</f>
        <v>80.930000000000007</v>
      </c>
      <c r="K484" s="362">
        <v>95.21</v>
      </c>
      <c r="L484" s="65">
        <f t="shared" si="234"/>
        <v>-14.281499999999994</v>
      </c>
      <c r="M484" s="65">
        <f t="shared" si="235"/>
        <v>7040.7794999999996</v>
      </c>
      <c r="N484" s="65"/>
      <c r="O484" s="65">
        <f t="shared" si="236"/>
        <v>8928.81</v>
      </c>
      <c r="P484" s="65" t="e">
        <f>IF(B484&lt;&gt;0,VLOOKUP(B484,#REF!,2,FALSE),"")</f>
        <v>#REF!</v>
      </c>
      <c r="R484" s="62">
        <f t="shared" si="225"/>
        <v>-87</v>
      </c>
      <c r="AD484" s="221"/>
      <c r="AE484" s="481"/>
      <c r="AF484" s="481"/>
      <c r="AG484" s="481"/>
      <c r="AH484" s="481"/>
      <c r="AI484" s="873">
        <f t="shared" si="239"/>
        <v>90.16</v>
      </c>
      <c r="AJ484" s="26">
        <f t="shared" si="240"/>
        <v>114.33</v>
      </c>
      <c r="AK484" s="26">
        <f t="shared" si="241"/>
        <v>9946.7099999999991</v>
      </c>
      <c r="AL484" s="224"/>
    </row>
    <row r="485" spans="1:38" s="62" customFormat="1">
      <c r="A485" s="77" t="s">
        <v>1059</v>
      </c>
      <c r="B485" s="139"/>
      <c r="C485" s="340" t="s">
        <v>216</v>
      </c>
      <c r="D485" s="341"/>
      <c r="E485" s="341"/>
      <c r="F485" s="341"/>
      <c r="G485" s="26"/>
      <c r="H485" s="341"/>
      <c r="I485" s="96"/>
      <c r="J485" s="65" t="str">
        <f>IF(B485&lt;&gt;0,VLOOKUP(B485,#REF!,4,FALSE),"")</f>
        <v/>
      </c>
      <c r="K485" s="362" t="s">
        <v>1892</v>
      </c>
      <c r="L485" s="65"/>
      <c r="M485" s="65">
        <f t="shared" si="235"/>
        <v>0</v>
      </c>
      <c r="N485" s="65"/>
      <c r="O485" s="65">
        <f t="shared" si="236"/>
        <v>0</v>
      </c>
      <c r="P485" s="65" t="str">
        <f>IF(B485&lt;&gt;0,VLOOKUP(B485,#REF!,2,FALSE),"")</f>
        <v/>
      </c>
      <c r="Q485" s="62">
        <v>5</v>
      </c>
      <c r="R485" s="62">
        <f t="shared" si="225"/>
        <v>5</v>
      </c>
      <c r="AD485" s="221"/>
      <c r="AE485" s="481"/>
      <c r="AF485" s="481"/>
      <c r="AG485" s="481"/>
      <c r="AH485" s="481"/>
      <c r="AI485" s="873"/>
      <c r="AJ485" s="26"/>
      <c r="AK485" s="26"/>
      <c r="AL485" s="224"/>
    </row>
    <row r="486" spans="1:38" s="62" customFormat="1" ht="30">
      <c r="A486" s="25" t="s">
        <v>1060</v>
      </c>
      <c r="B486" s="24" t="s">
        <v>2761</v>
      </c>
      <c r="C486" s="23" t="s">
        <v>2762</v>
      </c>
      <c r="D486" s="25" t="s">
        <v>70</v>
      </c>
      <c r="E486" s="25" t="s">
        <v>17</v>
      </c>
      <c r="F486" s="26">
        <v>5</v>
      </c>
      <c r="G486" s="26">
        <f t="shared" si="233"/>
        <v>81.106999999999999</v>
      </c>
      <c r="H486" s="26">
        <f>ROUND(G486*(1+$J$13),2)</f>
        <v>102.85</v>
      </c>
      <c r="I486" s="26">
        <f t="shared" ref="I486" si="242">ROUND(H486*F486,2)</f>
        <v>514.25</v>
      </c>
      <c r="J486" s="65">
        <f>'COMPOSIÇÃO DE CUSTOS'!G2477</f>
        <v>81.11</v>
      </c>
      <c r="K486" s="362">
        <v>95.42</v>
      </c>
      <c r="L486" s="65">
        <f t="shared" si="234"/>
        <v>-14.313000000000002</v>
      </c>
      <c r="M486" s="65">
        <f t="shared" si="235"/>
        <v>405.53499999999997</v>
      </c>
      <c r="N486" s="65"/>
      <c r="O486" s="65">
        <f t="shared" si="236"/>
        <v>514.25</v>
      </c>
      <c r="P486" s="65" t="e">
        <f>IF(B486&lt;&gt;0,VLOOKUP(B486,#REF!,2,FALSE),"")</f>
        <v>#REF!</v>
      </c>
      <c r="R486" s="62">
        <f t="shared" si="225"/>
        <v>-5</v>
      </c>
      <c r="AD486" s="221"/>
      <c r="AE486" s="481"/>
      <c r="AF486" s="481"/>
      <c r="AG486" s="481"/>
      <c r="AH486" s="481"/>
      <c r="AI486" s="873">
        <f t="shared" ref="AI486:AI544" si="243">ROUND(G486*$AM$11,2)</f>
        <v>90.35</v>
      </c>
      <c r="AJ486" s="26">
        <f t="shared" si="240"/>
        <v>114.57</v>
      </c>
      <c r="AK486" s="26">
        <f t="shared" ref="AK486:AK544" si="244">ROUND(AJ486*F486,2)</f>
        <v>572.85</v>
      </c>
      <c r="AL486" s="224"/>
    </row>
    <row r="487" spans="1:38" s="62" customFormat="1" ht="28.5">
      <c r="A487" s="77" t="s">
        <v>1061</v>
      </c>
      <c r="B487" s="139"/>
      <c r="C487" s="340" t="s">
        <v>2277</v>
      </c>
      <c r="D487" s="341"/>
      <c r="E487" s="341"/>
      <c r="F487" s="341"/>
      <c r="G487" s="26"/>
      <c r="H487" s="341"/>
      <c r="I487" s="96"/>
      <c r="J487" s="64" t="str">
        <f>IF(B487&lt;&gt;0,VLOOKUP(B487,#REF!,4,FALSE),"")</f>
        <v/>
      </c>
      <c r="K487" s="362" t="s">
        <v>1892</v>
      </c>
      <c r="L487" s="65"/>
      <c r="M487" s="65">
        <f t="shared" si="235"/>
        <v>0</v>
      </c>
      <c r="N487" s="65"/>
      <c r="O487" s="65">
        <f t="shared" si="236"/>
        <v>0</v>
      </c>
      <c r="P487" s="65" t="str">
        <f>IF(B487&lt;&gt;0,VLOOKUP(B487,#REF!,2,FALSE),"")</f>
        <v/>
      </c>
      <c r="Q487" s="62">
        <v>18</v>
      </c>
      <c r="R487" s="62">
        <f t="shared" si="225"/>
        <v>18</v>
      </c>
      <c r="AD487" s="221"/>
      <c r="AE487" s="481"/>
      <c r="AF487" s="481"/>
      <c r="AG487" s="481"/>
      <c r="AH487" s="481"/>
      <c r="AI487" s="873"/>
      <c r="AJ487" s="26"/>
      <c r="AK487" s="26"/>
      <c r="AL487" s="224"/>
    </row>
    <row r="488" spans="1:38" s="62" customFormat="1" ht="30">
      <c r="A488" s="25" t="s">
        <v>1062</v>
      </c>
      <c r="B488" s="24">
        <v>7384</v>
      </c>
      <c r="C488" s="23" t="s">
        <v>229</v>
      </c>
      <c r="D488" s="25" t="s">
        <v>44</v>
      </c>
      <c r="E488" s="25" t="s">
        <v>52</v>
      </c>
      <c r="F488" s="26">
        <v>18</v>
      </c>
      <c r="G488" s="26">
        <f t="shared" si="233"/>
        <v>19.244</v>
      </c>
      <c r="H488" s="26">
        <f>ROUND(G488*(1+$J$13),2)</f>
        <v>24.4</v>
      </c>
      <c r="I488" s="26">
        <f t="shared" ref="I488:I490" si="245">ROUND(H488*F488,2)</f>
        <v>439.2</v>
      </c>
      <c r="J488" s="64">
        <f>'COMPOSIÇÃO DE CUSTOS'!G1195</f>
        <v>19.25</v>
      </c>
      <c r="K488" s="362">
        <v>22.64</v>
      </c>
      <c r="L488" s="65">
        <f t="shared" si="234"/>
        <v>-3.3960000000000008</v>
      </c>
      <c r="M488" s="65">
        <f t="shared" si="235"/>
        <v>346.392</v>
      </c>
      <c r="N488" s="65"/>
      <c r="O488" s="65">
        <f t="shared" si="236"/>
        <v>439.2</v>
      </c>
      <c r="P488" s="65" t="e">
        <f>IF(B488&lt;&gt;0,VLOOKUP(B488,#REF!,2,FALSE),"")</f>
        <v>#REF!</v>
      </c>
      <c r="Q488" s="62">
        <v>31</v>
      </c>
      <c r="R488" s="62">
        <f t="shared" si="225"/>
        <v>13</v>
      </c>
      <c r="AD488" s="221"/>
      <c r="AE488" s="481"/>
      <c r="AF488" s="481"/>
      <c r="AG488" s="481"/>
      <c r="AH488" s="481"/>
      <c r="AI488" s="873">
        <f t="shared" si="243"/>
        <v>21.44</v>
      </c>
      <c r="AJ488" s="26">
        <f t="shared" si="240"/>
        <v>27.19</v>
      </c>
      <c r="AK488" s="26">
        <f t="shared" si="244"/>
        <v>489.42</v>
      </c>
      <c r="AL488" s="224"/>
    </row>
    <row r="489" spans="1:38" s="62" customFormat="1" ht="30">
      <c r="A489" s="25" t="s">
        <v>1063</v>
      </c>
      <c r="B489" s="24">
        <v>7879</v>
      </c>
      <c r="C489" s="23" t="s">
        <v>1764</v>
      </c>
      <c r="D489" s="25" t="s">
        <v>44</v>
      </c>
      <c r="E489" s="25" t="s">
        <v>17</v>
      </c>
      <c r="F489" s="26">
        <v>31</v>
      </c>
      <c r="G489" s="26">
        <f t="shared" si="233"/>
        <v>9.4945000000000004</v>
      </c>
      <c r="H489" s="26">
        <f>ROUND(G489*(1+$J$13),2)</f>
        <v>12.04</v>
      </c>
      <c r="I489" s="26">
        <f t="shared" si="245"/>
        <v>373.24</v>
      </c>
      <c r="J489" s="64">
        <f>'COMPOSIÇÃO DE CUSTOS'!G1258</f>
        <v>9.49</v>
      </c>
      <c r="K489" s="362">
        <v>11.17</v>
      </c>
      <c r="L489" s="65">
        <f t="shared" si="234"/>
        <v>-1.6754999999999995</v>
      </c>
      <c r="M489" s="65">
        <f t="shared" si="235"/>
        <v>294.3295</v>
      </c>
      <c r="N489" s="65"/>
      <c r="O489" s="65">
        <f t="shared" si="236"/>
        <v>373.23999999999995</v>
      </c>
      <c r="P489" s="65" t="e">
        <f>IF(B489&lt;&gt;0,VLOOKUP(B489,#REF!,2,FALSE),"")</f>
        <v>#REF!</v>
      </c>
      <c r="Q489" s="62">
        <v>29</v>
      </c>
      <c r="R489" s="62">
        <f t="shared" si="225"/>
        <v>-2</v>
      </c>
      <c r="AD489" s="221"/>
      <c r="AE489" s="481"/>
      <c r="AF489" s="481"/>
      <c r="AG489" s="481"/>
      <c r="AH489" s="481"/>
      <c r="AI489" s="873">
        <f t="shared" si="243"/>
        <v>10.58</v>
      </c>
      <c r="AJ489" s="26">
        <f t="shared" si="240"/>
        <v>13.42</v>
      </c>
      <c r="AK489" s="26">
        <f t="shared" si="244"/>
        <v>416.02</v>
      </c>
      <c r="AL489" s="224"/>
    </row>
    <row r="490" spans="1:38" s="62" customFormat="1" ht="30">
      <c r="A490" s="25" t="s">
        <v>1064</v>
      </c>
      <c r="B490" s="24">
        <v>12573</v>
      </c>
      <c r="C490" s="23" t="s">
        <v>1760</v>
      </c>
      <c r="D490" s="25" t="s">
        <v>44</v>
      </c>
      <c r="E490" s="25" t="s">
        <v>17</v>
      </c>
      <c r="F490" s="26">
        <v>29</v>
      </c>
      <c r="G490" s="26">
        <f t="shared" si="233"/>
        <v>9.5794999999999995</v>
      </c>
      <c r="H490" s="26">
        <f>ROUND(G490*(1+$J$13),2)</f>
        <v>12.15</v>
      </c>
      <c r="I490" s="26">
        <f t="shared" si="245"/>
        <v>352.35</v>
      </c>
      <c r="J490" s="64">
        <f>'COMPOSIÇÃO DE CUSTOS'!G1209</f>
        <v>9.58</v>
      </c>
      <c r="K490" s="362">
        <v>11.27</v>
      </c>
      <c r="L490" s="65">
        <f t="shared" si="234"/>
        <v>-1.6905000000000001</v>
      </c>
      <c r="M490" s="65">
        <f t="shared" si="235"/>
        <v>277.80549999999999</v>
      </c>
      <c r="N490" s="65"/>
      <c r="O490" s="65">
        <f t="shared" si="236"/>
        <v>352.35</v>
      </c>
      <c r="P490" s="65" t="e">
        <f>IF(B490&lt;&gt;0,VLOOKUP(B490,#REF!,2,FALSE),"")</f>
        <v>#REF!</v>
      </c>
      <c r="R490" s="62">
        <f t="shared" si="225"/>
        <v>-29</v>
      </c>
      <c r="AD490" s="221"/>
      <c r="AE490" s="481"/>
      <c r="AF490" s="481"/>
      <c r="AG490" s="481"/>
      <c r="AH490" s="481"/>
      <c r="AI490" s="873">
        <f t="shared" si="243"/>
        <v>10.67</v>
      </c>
      <c r="AJ490" s="26">
        <f t="shared" si="240"/>
        <v>13.53</v>
      </c>
      <c r="AK490" s="26">
        <f t="shared" si="244"/>
        <v>392.37</v>
      </c>
      <c r="AL490" s="224"/>
    </row>
    <row r="491" spans="1:38" s="62" customFormat="1" ht="36" customHeight="1">
      <c r="A491" s="25"/>
      <c r="B491" s="24"/>
      <c r="C491" s="23"/>
      <c r="D491" s="25"/>
      <c r="E491" s="25"/>
      <c r="F491" s="26"/>
      <c r="G491" s="26"/>
      <c r="H491" s="26"/>
      <c r="I491" s="26"/>
      <c r="J491" s="65" t="str">
        <f>IF(B491&lt;&gt;0,VLOOKUP(B491,#REF!,4,FALSE),"")</f>
        <v/>
      </c>
      <c r="K491" s="362" t="s">
        <v>1892</v>
      </c>
      <c r="L491" s="65"/>
      <c r="M491" s="65">
        <f t="shared" si="235"/>
        <v>0</v>
      </c>
      <c r="N491" s="65"/>
      <c r="O491" s="65">
        <f t="shared" si="236"/>
        <v>0</v>
      </c>
      <c r="P491" s="65" t="str">
        <f>IF(B491&lt;&gt;0,VLOOKUP(B491,#REF!,2,FALSE),"")</f>
        <v/>
      </c>
      <c r="R491" s="62">
        <f t="shared" si="225"/>
        <v>0</v>
      </c>
      <c r="AD491" s="221"/>
      <c r="AE491" s="481"/>
      <c r="AF491" s="481"/>
      <c r="AG491" s="481"/>
      <c r="AH491" s="481"/>
      <c r="AI491" s="873"/>
      <c r="AJ491" s="26"/>
      <c r="AK491" s="26"/>
      <c r="AL491" s="224"/>
    </row>
    <row r="492" spans="1:38" s="62" customFormat="1" ht="15" customHeight="1">
      <c r="A492" s="77" t="s">
        <v>1067</v>
      </c>
      <c r="B492" s="139"/>
      <c r="C492" s="340" t="s">
        <v>2763</v>
      </c>
      <c r="D492" s="341"/>
      <c r="E492" s="341"/>
      <c r="F492" s="341"/>
      <c r="G492" s="26"/>
      <c r="H492" s="341"/>
      <c r="I492" s="96">
        <f>ROUND(SUM(I493:I509),2)</f>
        <v>14172.33</v>
      </c>
      <c r="J492" s="65" t="str">
        <f>IF(B492&lt;&gt;0,VLOOKUP(B492,#REF!,4,FALSE),"")</f>
        <v/>
      </c>
      <c r="K492" s="362" t="s">
        <v>1892</v>
      </c>
      <c r="L492" s="65"/>
      <c r="M492" s="65">
        <f t="shared" si="235"/>
        <v>0</v>
      </c>
      <c r="N492" s="65"/>
      <c r="O492" s="65">
        <f t="shared" si="236"/>
        <v>0</v>
      </c>
      <c r="P492" s="65" t="str">
        <f>IF(B492&lt;&gt;0,VLOOKUP(B492,#REF!,2,FALSE),"")</f>
        <v/>
      </c>
      <c r="R492" s="62">
        <f t="shared" si="225"/>
        <v>0</v>
      </c>
      <c r="AD492" s="221"/>
      <c r="AE492" s="481"/>
      <c r="AF492" s="481"/>
      <c r="AG492" s="481"/>
      <c r="AH492" s="481"/>
      <c r="AI492" s="873"/>
      <c r="AJ492" s="26"/>
      <c r="AK492" s="96">
        <f>ROUND(SUM(AK493:AK509),2)</f>
        <v>15788.04</v>
      </c>
      <c r="AL492" s="224"/>
    </row>
    <row r="493" spans="1:38" s="62" customFormat="1">
      <c r="A493" s="77" t="s">
        <v>1068</v>
      </c>
      <c r="B493" s="139"/>
      <c r="C493" s="340" t="s">
        <v>2764</v>
      </c>
      <c r="D493" s="341"/>
      <c r="E493" s="341"/>
      <c r="F493" s="341"/>
      <c r="G493" s="26"/>
      <c r="H493" s="341"/>
      <c r="I493" s="96"/>
      <c r="J493" s="64" t="str">
        <f>IF(B493&lt;&gt;0,VLOOKUP(B493,#REF!,4,FALSE),"")</f>
        <v/>
      </c>
      <c r="K493" s="362" t="s">
        <v>1892</v>
      </c>
      <c r="L493" s="65"/>
      <c r="M493" s="65">
        <f t="shared" si="235"/>
        <v>0</v>
      </c>
      <c r="N493" s="65"/>
      <c r="O493" s="65">
        <f t="shared" si="236"/>
        <v>0</v>
      </c>
      <c r="P493" s="65" t="str">
        <f>IF(B493&lt;&gt;0,VLOOKUP(B493,#REF!,2,FALSE),"")</f>
        <v/>
      </c>
      <c r="Q493" s="62">
        <v>7</v>
      </c>
      <c r="R493" s="62">
        <f t="shared" si="225"/>
        <v>7</v>
      </c>
      <c r="AD493" s="221"/>
      <c r="AE493" s="481"/>
      <c r="AF493" s="481"/>
      <c r="AG493" s="481"/>
      <c r="AH493" s="481"/>
      <c r="AI493" s="873"/>
      <c r="AJ493" s="26"/>
      <c r="AK493" s="26"/>
      <c r="AL493" s="224"/>
    </row>
    <row r="494" spans="1:38" s="62" customFormat="1">
      <c r="A494" s="369" t="s">
        <v>2765</v>
      </c>
      <c r="B494" s="148" t="s">
        <v>2491</v>
      </c>
      <c r="C494" s="149" t="s">
        <v>2492</v>
      </c>
      <c r="D494" s="25" t="s">
        <v>1915</v>
      </c>
      <c r="E494" s="25" t="s">
        <v>17</v>
      </c>
      <c r="F494" s="26">
        <v>7</v>
      </c>
      <c r="G494" s="26">
        <f t="shared" si="233"/>
        <v>971.08249999999998</v>
      </c>
      <c r="H494" s="26">
        <f>ROUND(G494*(1+$J$13),2)</f>
        <v>1231.43</v>
      </c>
      <c r="I494" s="26">
        <f t="shared" ref="I494" si="246">ROUND(H494*F494,2)</f>
        <v>8620.01</v>
      </c>
      <c r="J494" s="64">
        <f>'COMPOSIÇÃO DE CUSTOS'!G1811</f>
        <v>971.08</v>
      </c>
      <c r="K494" s="362">
        <v>1142.45</v>
      </c>
      <c r="L494" s="65">
        <f t="shared" si="234"/>
        <v>-171.36750000000006</v>
      </c>
      <c r="M494" s="65">
        <f t="shared" si="235"/>
        <v>6797.5774999999994</v>
      </c>
      <c r="N494" s="65"/>
      <c r="O494" s="65">
        <f t="shared" si="236"/>
        <v>8620.01</v>
      </c>
      <c r="P494" s="65" t="e">
        <f>IF(B494&lt;&gt;0,VLOOKUP(B494,#REF!,2,FALSE),"")</f>
        <v>#REF!</v>
      </c>
      <c r="R494" s="62">
        <f t="shared" si="225"/>
        <v>-7</v>
      </c>
      <c r="AD494" s="221"/>
      <c r="AE494" s="481"/>
      <c r="AF494" s="481"/>
      <c r="AG494" s="481"/>
      <c r="AH494" s="481"/>
      <c r="AI494" s="873">
        <f t="shared" si="243"/>
        <v>1081.79</v>
      </c>
      <c r="AJ494" s="26">
        <f t="shared" si="240"/>
        <v>1371.82</v>
      </c>
      <c r="AK494" s="26">
        <f t="shared" si="244"/>
        <v>9602.74</v>
      </c>
      <c r="AL494" s="224"/>
    </row>
    <row r="495" spans="1:38" s="62" customFormat="1">
      <c r="A495" s="77" t="s">
        <v>1070</v>
      </c>
      <c r="B495" s="139"/>
      <c r="C495" s="340" t="s">
        <v>2766</v>
      </c>
      <c r="D495" s="341"/>
      <c r="E495" s="341"/>
      <c r="F495" s="341"/>
      <c r="G495" s="26"/>
      <c r="H495" s="341"/>
      <c r="I495" s="96"/>
      <c r="J495" s="64" t="str">
        <f>IF(B495&lt;&gt;0,VLOOKUP(B495,#REF!,4,FALSE),"")</f>
        <v/>
      </c>
      <c r="K495" s="362" t="s">
        <v>1892</v>
      </c>
      <c r="L495" s="65"/>
      <c r="M495" s="65">
        <f t="shared" si="235"/>
        <v>0</v>
      </c>
      <c r="N495" s="65"/>
      <c r="O495" s="65">
        <f t="shared" si="236"/>
        <v>0</v>
      </c>
      <c r="P495" s="65" t="str">
        <f>IF(B495&lt;&gt;0,VLOOKUP(B495,#REF!,2,FALSE),"")</f>
        <v/>
      </c>
      <c r="Q495" s="62">
        <v>45</v>
      </c>
      <c r="R495" s="62">
        <f t="shared" si="225"/>
        <v>45</v>
      </c>
      <c r="AD495" s="221"/>
      <c r="AE495" s="481"/>
      <c r="AF495" s="481"/>
      <c r="AG495" s="481"/>
      <c r="AH495" s="481"/>
      <c r="AI495" s="873"/>
      <c r="AJ495" s="26"/>
      <c r="AK495" s="26"/>
      <c r="AL495" s="224"/>
    </row>
    <row r="496" spans="1:38" s="62" customFormat="1" ht="45">
      <c r="A496" s="25" t="s">
        <v>1071</v>
      </c>
      <c r="B496" s="24">
        <v>91863</v>
      </c>
      <c r="C496" s="23" t="s">
        <v>1692</v>
      </c>
      <c r="D496" s="25" t="s">
        <v>12</v>
      </c>
      <c r="E496" s="25" t="s">
        <v>52</v>
      </c>
      <c r="F496" s="26">
        <v>45</v>
      </c>
      <c r="G496" s="26">
        <f t="shared" si="233"/>
        <v>6.8849999999999998</v>
      </c>
      <c r="H496" s="26">
        <f t="shared" ref="H496:H503" si="247">ROUND(G496*(1+$J$13),2)</f>
        <v>8.73</v>
      </c>
      <c r="I496" s="26">
        <f t="shared" ref="I496:I503" si="248">ROUND(H496*F496,2)</f>
        <v>392.85</v>
      </c>
      <c r="J496" s="65" t="e">
        <f>IF(B496&lt;&gt;0,VLOOKUP(B496,#REF!,4,FALSE),"")</f>
        <v>#REF!</v>
      </c>
      <c r="K496" s="362" t="s">
        <v>1886</v>
      </c>
      <c r="L496" s="65">
        <f t="shared" si="234"/>
        <v>-1.2149999999999999</v>
      </c>
      <c r="M496" s="65">
        <f t="shared" si="235"/>
        <v>309.82499999999999</v>
      </c>
      <c r="N496" s="65"/>
      <c r="O496" s="65">
        <f t="shared" si="236"/>
        <v>392.85</v>
      </c>
      <c r="P496" s="65" t="e">
        <f>IF(B496&lt;&gt;0,VLOOKUP(B496,#REF!,2,FALSE),"")</f>
        <v>#REF!</v>
      </c>
      <c r="Q496" s="62">
        <v>7</v>
      </c>
      <c r="R496" s="62">
        <f t="shared" si="225"/>
        <v>-38</v>
      </c>
      <c r="AD496" s="221"/>
      <c r="AE496" s="481"/>
      <c r="AF496" s="481"/>
      <c r="AG496" s="481"/>
      <c r="AH496" s="481"/>
      <c r="AI496" s="873">
        <f t="shared" si="243"/>
        <v>7.67</v>
      </c>
      <c r="AJ496" s="26">
        <f t="shared" si="240"/>
        <v>9.73</v>
      </c>
      <c r="AK496" s="26">
        <f t="shared" si="244"/>
        <v>437.85</v>
      </c>
      <c r="AL496" s="224"/>
    </row>
    <row r="497" spans="1:38" s="62" customFormat="1" ht="60">
      <c r="A497" s="25" t="s">
        <v>1072</v>
      </c>
      <c r="B497" s="24">
        <v>91890</v>
      </c>
      <c r="C497" s="23" t="s">
        <v>1693</v>
      </c>
      <c r="D497" s="25" t="s">
        <v>12</v>
      </c>
      <c r="E497" s="25" t="s">
        <v>17</v>
      </c>
      <c r="F497" s="26">
        <v>7</v>
      </c>
      <c r="G497" s="26">
        <f t="shared" si="233"/>
        <v>6.375</v>
      </c>
      <c r="H497" s="26">
        <f t="shared" si="247"/>
        <v>8.08</v>
      </c>
      <c r="I497" s="26">
        <f t="shared" si="248"/>
        <v>56.56</v>
      </c>
      <c r="J497" s="65" t="e">
        <f>IF(B497&lt;&gt;0,VLOOKUP(B497,#REF!,4,FALSE),"")</f>
        <v>#REF!</v>
      </c>
      <c r="K497" s="362" t="s">
        <v>3225</v>
      </c>
      <c r="L497" s="65">
        <f t="shared" si="234"/>
        <v>-1.125</v>
      </c>
      <c r="M497" s="65">
        <f t="shared" si="235"/>
        <v>44.625</v>
      </c>
      <c r="N497" s="65"/>
      <c r="O497" s="65">
        <f t="shared" si="236"/>
        <v>56.56</v>
      </c>
      <c r="P497" s="65" t="e">
        <f>IF(B497&lt;&gt;0,VLOOKUP(B497,#REF!,2,FALSE),"")</f>
        <v>#REF!</v>
      </c>
      <c r="Q497" s="62">
        <v>29</v>
      </c>
      <c r="R497" s="62">
        <f t="shared" si="225"/>
        <v>22</v>
      </c>
      <c r="AD497" s="221"/>
      <c r="AE497" s="481"/>
      <c r="AF497" s="481"/>
      <c r="AG497" s="481"/>
      <c r="AH497" s="481"/>
      <c r="AI497" s="873">
        <f t="shared" si="243"/>
        <v>7.1</v>
      </c>
      <c r="AJ497" s="26">
        <f t="shared" si="240"/>
        <v>9</v>
      </c>
      <c r="AK497" s="26">
        <f t="shared" si="244"/>
        <v>63</v>
      </c>
      <c r="AL497" s="224"/>
    </row>
    <row r="498" spans="1:38" s="62" customFormat="1" ht="60">
      <c r="A498" s="25" t="s">
        <v>1073</v>
      </c>
      <c r="B498" s="24">
        <v>91875</v>
      </c>
      <c r="C498" s="23" t="s">
        <v>1694</v>
      </c>
      <c r="D498" s="25" t="s">
        <v>12</v>
      </c>
      <c r="E498" s="25" t="s">
        <v>17</v>
      </c>
      <c r="F498" s="26">
        <v>29</v>
      </c>
      <c r="G498" s="26">
        <f t="shared" si="233"/>
        <v>3.7654999999999998</v>
      </c>
      <c r="H498" s="26">
        <f t="shared" si="247"/>
        <v>4.78</v>
      </c>
      <c r="I498" s="26">
        <f t="shared" si="248"/>
        <v>138.62</v>
      </c>
      <c r="J498" s="65" t="e">
        <f>IF(B498&lt;&gt;0,VLOOKUP(B498,#REF!,4,FALSE),"")</f>
        <v>#REF!</v>
      </c>
      <c r="K498" s="362" t="s">
        <v>1865</v>
      </c>
      <c r="L498" s="65">
        <f t="shared" si="234"/>
        <v>-0.66449999999999987</v>
      </c>
      <c r="M498" s="65">
        <f t="shared" si="235"/>
        <v>109.1995</v>
      </c>
      <c r="N498" s="65"/>
      <c r="O498" s="65">
        <f t="shared" si="236"/>
        <v>138.62</v>
      </c>
      <c r="P498" s="65" t="e">
        <f>IF(B498&lt;&gt;0,VLOOKUP(B498,#REF!,2,FALSE),"")</f>
        <v>#REF!</v>
      </c>
      <c r="Q498" s="62">
        <v>37</v>
      </c>
      <c r="R498" s="62">
        <f t="shared" si="225"/>
        <v>8</v>
      </c>
      <c r="AD498" s="221"/>
      <c r="AE498" s="481"/>
      <c r="AF498" s="481"/>
      <c r="AG498" s="481"/>
      <c r="AH498" s="481"/>
      <c r="AI498" s="873">
        <f t="shared" si="243"/>
        <v>4.1900000000000004</v>
      </c>
      <c r="AJ498" s="26">
        <f t="shared" si="240"/>
        <v>5.31</v>
      </c>
      <c r="AK498" s="26">
        <f t="shared" si="244"/>
        <v>153.99</v>
      </c>
      <c r="AL498" s="224"/>
    </row>
    <row r="499" spans="1:38" s="62" customFormat="1" ht="45">
      <c r="A499" s="25" t="s">
        <v>1074</v>
      </c>
      <c r="B499" s="24">
        <v>91871</v>
      </c>
      <c r="C499" s="23" t="s">
        <v>1695</v>
      </c>
      <c r="D499" s="25" t="s">
        <v>12</v>
      </c>
      <c r="E499" s="25" t="s">
        <v>52</v>
      </c>
      <c r="F499" s="26">
        <v>37</v>
      </c>
      <c r="G499" s="26">
        <f t="shared" si="233"/>
        <v>7.3949999999999996</v>
      </c>
      <c r="H499" s="26">
        <f t="shared" si="247"/>
        <v>9.3800000000000008</v>
      </c>
      <c r="I499" s="26">
        <f t="shared" si="248"/>
        <v>347.06</v>
      </c>
      <c r="J499" s="65" t="e">
        <f>IF(B499&lt;&gt;0,VLOOKUP(B499,#REF!,4,FALSE),"")</f>
        <v>#REF!</v>
      </c>
      <c r="K499" s="362" t="s">
        <v>2648</v>
      </c>
      <c r="L499" s="65">
        <f t="shared" si="234"/>
        <v>-1.3049999999999997</v>
      </c>
      <c r="M499" s="65">
        <f t="shared" si="235"/>
        <v>273.61500000000001</v>
      </c>
      <c r="N499" s="65"/>
      <c r="O499" s="65">
        <f t="shared" si="236"/>
        <v>347.06</v>
      </c>
      <c r="P499" s="65" t="e">
        <f>IF(B499&lt;&gt;0,VLOOKUP(B499,#REF!,2,FALSE),"")</f>
        <v>#REF!</v>
      </c>
      <c r="Q499" s="62">
        <v>14</v>
      </c>
      <c r="R499" s="62">
        <f t="shared" si="225"/>
        <v>-23</v>
      </c>
      <c r="AD499" s="221"/>
      <c r="AE499" s="481"/>
      <c r="AF499" s="481"/>
      <c r="AG499" s="481"/>
      <c r="AH499" s="481"/>
      <c r="AI499" s="873">
        <f t="shared" si="243"/>
        <v>8.24</v>
      </c>
      <c r="AJ499" s="26">
        <f t="shared" si="240"/>
        <v>10.45</v>
      </c>
      <c r="AK499" s="26">
        <f t="shared" si="244"/>
        <v>386.65</v>
      </c>
      <c r="AL499" s="224"/>
    </row>
    <row r="500" spans="1:38" s="62" customFormat="1" ht="60">
      <c r="A500" s="25" t="s">
        <v>1075</v>
      </c>
      <c r="B500" s="24">
        <v>91914</v>
      </c>
      <c r="C500" s="23" t="s">
        <v>1696</v>
      </c>
      <c r="D500" s="25" t="s">
        <v>12</v>
      </c>
      <c r="E500" s="25" t="s">
        <v>17</v>
      </c>
      <c r="F500" s="26">
        <v>14</v>
      </c>
      <c r="G500" s="26">
        <f t="shared" si="233"/>
        <v>8.5084999999999997</v>
      </c>
      <c r="H500" s="26">
        <f t="shared" si="247"/>
        <v>10.79</v>
      </c>
      <c r="I500" s="26">
        <f t="shared" si="248"/>
        <v>151.06</v>
      </c>
      <c r="J500" s="65" t="e">
        <f>IF(B500&lt;&gt;0,VLOOKUP(B500,#REF!,4,FALSE),"")</f>
        <v>#REF!</v>
      </c>
      <c r="K500" s="362" t="s">
        <v>1908</v>
      </c>
      <c r="L500" s="65">
        <f t="shared" si="234"/>
        <v>-1.5015000000000001</v>
      </c>
      <c r="M500" s="65">
        <f t="shared" si="235"/>
        <v>119.119</v>
      </c>
      <c r="N500" s="65"/>
      <c r="O500" s="65">
        <f t="shared" si="236"/>
        <v>151.06</v>
      </c>
      <c r="P500" s="65" t="e">
        <f>IF(B500&lt;&gt;0,VLOOKUP(B500,#REF!,2,FALSE),"")</f>
        <v>#REF!</v>
      </c>
      <c r="Q500" s="62">
        <v>41</v>
      </c>
      <c r="R500" s="62">
        <f t="shared" si="225"/>
        <v>27</v>
      </c>
      <c r="AD500" s="221"/>
      <c r="AE500" s="481"/>
      <c r="AF500" s="481"/>
      <c r="AG500" s="481"/>
      <c r="AH500" s="481"/>
      <c r="AI500" s="873">
        <f t="shared" si="243"/>
        <v>9.48</v>
      </c>
      <c r="AJ500" s="26">
        <f t="shared" si="240"/>
        <v>12.02</v>
      </c>
      <c r="AK500" s="26">
        <f t="shared" si="244"/>
        <v>168.28</v>
      </c>
      <c r="AL500" s="224"/>
    </row>
    <row r="501" spans="1:38" s="62" customFormat="1" ht="60">
      <c r="A501" s="25" t="s">
        <v>1076</v>
      </c>
      <c r="B501" s="24">
        <v>91884</v>
      </c>
      <c r="C501" s="23" t="s">
        <v>1697</v>
      </c>
      <c r="D501" s="25" t="s">
        <v>12</v>
      </c>
      <c r="E501" s="25" t="s">
        <v>17</v>
      </c>
      <c r="F501" s="26">
        <v>41</v>
      </c>
      <c r="G501" s="26">
        <f t="shared" si="233"/>
        <v>5.1849999999999996</v>
      </c>
      <c r="H501" s="26">
        <f t="shared" si="247"/>
        <v>6.58</v>
      </c>
      <c r="I501" s="26">
        <f t="shared" si="248"/>
        <v>269.77999999999997</v>
      </c>
      <c r="J501" s="65" t="e">
        <f>IF(B501&lt;&gt;0,VLOOKUP(B501,#REF!,4,FALSE),"")</f>
        <v>#REF!</v>
      </c>
      <c r="K501" s="362" t="s">
        <v>3141</v>
      </c>
      <c r="L501" s="65">
        <f t="shared" si="234"/>
        <v>-0.91500000000000004</v>
      </c>
      <c r="M501" s="65">
        <f t="shared" si="235"/>
        <v>212.58499999999998</v>
      </c>
      <c r="N501" s="65"/>
      <c r="O501" s="65">
        <f t="shared" si="236"/>
        <v>269.78000000000003</v>
      </c>
      <c r="P501" s="65" t="e">
        <f>IF(B501&lt;&gt;0,VLOOKUP(B501,#REF!,2,FALSE),"")</f>
        <v>#REF!</v>
      </c>
      <c r="Q501" s="62">
        <v>11</v>
      </c>
      <c r="R501" s="62">
        <f t="shared" si="225"/>
        <v>-30</v>
      </c>
      <c r="AD501" s="221"/>
      <c r="AE501" s="481"/>
      <c r="AF501" s="481"/>
      <c r="AG501" s="481"/>
      <c r="AH501" s="481"/>
      <c r="AI501" s="873">
        <f t="shared" si="243"/>
        <v>5.78</v>
      </c>
      <c r="AJ501" s="26">
        <f t="shared" si="240"/>
        <v>7.33</v>
      </c>
      <c r="AK501" s="26">
        <f t="shared" si="244"/>
        <v>300.52999999999997</v>
      </c>
      <c r="AL501" s="224"/>
    </row>
    <row r="502" spans="1:38" s="62" customFormat="1" ht="30">
      <c r="A502" s="25" t="s">
        <v>1077</v>
      </c>
      <c r="B502" s="24">
        <v>91864</v>
      </c>
      <c r="C502" s="23" t="s">
        <v>194</v>
      </c>
      <c r="D502" s="25" t="s">
        <v>12</v>
      </c>
      <c r="E502" s="25" t="s">
        <v>52</v>
      </c>
      <c r="F502" s="26">
        <v>11</v>
      </c>
      <c r="G502" s="26">
        <f t="shared" si="233"/>
        <v>9.1204999999999998</v>
      </c>
      <c r="H502" s="26">
        <f t="shared" si="247"/>
        <v>11.57</v>
      </c>
      <c r="I502" s="26">
        <f t="shared" si="248"/>
        <v>127.27</v>
      </c>
      <c r="J502" s="65" t="e">
        <f>IF(B502&lt;&gt;0,VLOOKUP(B502,#REF!,4,FALSE),"")</f>
        <v>#REF!</v>
      </c>
      <c r="K502" s="362" t="s">
        <v>1837</v>
      </c>
      <c r="L502" s="65">
        <f t="shared" si="234"/>
        <v>-1.6095000000000006</v>
      </c>
      <c r="M502" s="65">
        <f t="shared" si="235"/>
        <v>100.32550000000001</v>
      </c>
      <c r="N502" s="65"/>
      <c r="O502" s="65">
        <f t="shared" si="236"/>
        <v>127.27000000000001</v>
      </c>
      <c r="P502" s="65" t="e">
        <f>IF(B502&lt;&gt;0,VLOOKUP(B502,#REF!,2,FALSE),"")</f>
        <v>#REF!</v>
      </c>
      <c r="Q502" s="62">
        <v>4</v>
      </c>
      <c r="R502" s="62">
        <f t="shared" si="225"/>
        <v>-7</v>
      </c>
      <c r="AD502" s="221"/>
      <c r="AE502" s="481"/>
      <c r="AF502" s="481"/>
      <c r="AG502" s="481"/>
      <c r="AH502" s="481"/>
      <c r="AI502" s="873">
        <f t="shared" si="243"/>
        <v>10.16</v>
      </c>
      <c r="AJ502" s="26">
        <f t="shared" si="240"/>
        <v>12.88</v>
      </c>
      <c r="AK502" s="26">
        <f t="shared" si="244"/>
        <v>141.68</v>
      </c>
      <c r="AL502" s="224"/>
    </row>
    <row r="503" spans="1:38" s="62" customFormat="1" ht="30">
      <c r="A503" s="25" t="s">
        <v>1078</v>
      </c>
      <c r="B503" s="24">
        <v>91885</v>
      </c>
      <c r="C503" s="23" t="s">
        <v>195</v>
      </c>
      <c r="D503" s="25" t="s">
        <v>12</v>
      </c>
      <c r="E503" s="25" t="s">
        <v>17</v>
      </c>
      <c r="F503" s="26">
        <v>4</v>
      </c>
      <c r="G503" s="26">
        <f t="shared" si="233"/>
        <v>6.1624999999999996</v>
      </c>
      <c r="H503" s="26">
        <f t="shared" si="247"/>
        <v>7.81</v>
      </c>
      <c r="I503" s="26">
        <f t="shared" si="248"/>
        <v>31.24</v>
      </c>
      <c r="J503" s="65" t="e">
        <f>IF(B503&lt;&gt;0,VLOOKUP(B503,#REF!,4,FALSE),"")</f>
        <v>#REF!</v>
      </c>
      <c r="K503" s="362" t="s">
        <v>1871</v>
      </c>
      <c r="L503" s="65">
        <f t="shared" si="234"/>
        <v>-1.0875000000000004</v>
      </c>
      <c r="M503" s="65">
        <f t="shared" si="235"/>
        <v>24.65</v>
      </c>
      <c r="N503" s="65"/>
      <c r="O503" s="65">
        <f t="shared" si="236"/>
        <v>31.24</v>
      </c>
      <c r="P503" s="65" t="e">
        <f>IF(B503&lt;&gt;0,VLOOKUP(B503,#REF!,2,FALSE),"")</f>
        <v>#REF!</v>
      </c>
      <c r="R503" s="62">
        <f t="shared" si="225"/>
        <v>-4</v>
      </c>
      <c r="AD503" s="221"/>
      <c r="AE503" s="481"/>
      <c r="AF503" s="481"/>
      <c r="AG503" s="481"/>
      <c r="AH503" s="481"/>
      <c r="AI503" s="873">
        <f t="shared" si="243"/>
        <v>6.87</v>
      </c>
      <c r="AJ503" s="26">
        <f t="shared" si="240"/>
        <v>8.7100000000000009</v>
      </c>
      <c r="AK503" s="26">
        <f t="shared" si="244"/>
        <v>34.840000000000003</v>
      </c>
      <c r="AL503" s="224"/>
    </row>
    <row r="504" spans="1:38" s="62" customFormat="1">
      <c r="A504" s="77" t="s">
        <v>1079</v>
      </c>
      <c r="B504" s="139"/>
      <c r="C504" s="340" t="s">
        <v>214</v>
      </c>
      <c r="D504" s="341"/>
      <c r="E504" s="341"/>
      <c r="F504" s="341"/>
      <c r="G504" s="26"/>
      <c r="H504" s="341"/>
      <c r="I504" s="96"/>
      <c r="J504" s="64" t="str">
        <f>IF(B504&lt;&gt;0,VLOOKUP(B504,#REF!,4,FALSE),"")</f>
        <v/>
      </c>
      <c r="K504" s="362" t="s">
        <v>1892</v>
      </c>
      <c r="L504" s="65"/>
      <c r="M504" s="65">
        <f t="shared" si="235"/>
        <v>0</v>
      </c>
      <c r="N504" s="65"/>
      <c r="O504" s="65">
        <f t="shared" si="236"/>
        <v>0</v>
      </c>
      <c r="P504" s="65" t="str">
        <f>IF(B504&lt;&gt;0,VLOOKUP(B504,#REF!,2,FALSE),"")</f>
        <v/>
      </c>
      <c r="Q504" s="62">
        <v>90</v>
      </c>
      <c r="R504" s="62">
        <f t="shared" si="225"/>
        <v>90</v>
      </c>
      <c r="AD504" s="221"/>
      <c r="AE504" s="481"/>
      <c r="AF504" s="481"/>
      <c r="AG504" s="481"/>
      <c r="AH504" s="481"/>
      <c r="AI504" s="873"/>
      <c r="AJ504" s="26"/>
      <c r="AK504" s="26"/>
      <c r="AL504" s="224"/>
    </row>
    <row r="505" spans="1:38" s="62" customFormat="1">
      <c r="A505" s="25" t="s">
        <v>1080</v>
      </c>
      <c r="B505" s="24">
        <v>13248</v>
      </c>
      <c r="C505" s="23" t="s">
        <v>2767</v>
      </c>
      <c r="D505" s="25" t="s">
        <v>44</v>
      </c>
      <c r="E505" s="25" t="s">
        <v>52</v>
      </c>
      <c r="F505" s="26">
        <v>105</v>
      </c>
      <c r="G505" s="26">
        <f t="shared" si="233"/>
        <v>16.209499999999998</v>
      </c>
      <c r="H505" s="26">
        <f>ROUND(G505*(1+$J$13),2)</f>
        <v>20.56</v>
      </c>
      <c r="I505" s="26">
        <f t="shared" ref="I505:I506" si="249">ROUND(H505*F505,2)</f>
        <v>2158.8000000000002</v>
      </c>
      <c r="J505" s="64">
        <f>'COMPOSIÇÃO DE CUSTOS'!G2484</f>
        <v>16.21</v>
      </c>
      <c r="K505" s="362">
        <v>19.07</v>
      </c>
      <c r="L505" s="65">
        <f t="shared" si="234"/>
        <v>-2.8605000000000018</v>
      </c>
      <c r="M505" s="65">
        <f t="shared" si="235"/>
        <v>1701.9974999999999</v>
      </c>
      <c r="N505" s="65"/>
      <c r="O505" s="65">
        <f t="shared" si="236"/>
        <v>2158.7999999999997</v>
      </c>
      <c r="P505" s="65" t="e">
        <f>IF(B505&lt;&gt;0,VLOOKUP(B505,#REF!,2,FALSE),"")</f>
        <v>#REF!</v>
      </c>
      <c r="Q505" s="62">
        <v>90</v>
      </c>
      <c r="R505" s="62">
        <f t="shared" si="225"/>
        <v>-15</v>
      </c>
      <c r="AD505" s="221"/>
      <c r="AE505" s="481"/>
      <c r="AF505" s="481"/>
      <c r="AG505" s="481"/>
      <c r="AH505" s="481"/>
      <c r="AI505" s="873">
        <f t="shared" si="243"/>
        <v>18.059999999999999</v>
      </c>
      <c r="AJ505" s="26">
        <f t="shared" si="240"/>
        <v>22.9</v>
      </c>
      <c r="AK505" s="26">
        <f t="shared" si="244"/>
        <v>2404.5</v>
      </c>
      <c r="AL505" s="224"/>
    </row>
    <row r="506" spans="1:38">
      <c r="A506" s="25" t="s">
        <v>1081</v>
      </c>
      <c r="B506" s="24">
        <v>11633</v>
      </c>
      <c r="C506" s="23" t="s">
        <v>2768</v>
      </c>
      <c r="D506" s="25" t="s">
        <v>44</v>
      </c>
      <c r="E506" s="25" t="s">
        <v>52</v>
      </c>
      <c r="F506" s="26">
        <v>105</v>
      </c>
      <c r="G506" s="26">
        <f t="shared" si="233"/>
        <v>8.1855000000000011</v>
      </c>
      <c r="H506" s="26">
        <f>ROUND(G506*(1+$J$13),2)</f>
        <v>10.38</v>
      </c>
      <c r="I506" s="26">
        <f t="shared" si="249"/>
        <v>1089.9000000000001</v>
      </c>
      <c r="J506" s="64">
        <f>'COMPOSIÇÃO DE CUSTOS'!G2491</f>
        <v>8.19</v>
      </c>
      <c r="K506" s="362">
        <v>9.6300000000000008</v>
      </c>
      <c r="L506" s="65">
        <f t="shared" si="234"/>
        <v>-1.4444999999999997</v>
      </c>
      <c r="M506" s="65">
        <f t="shared" si="235"/>
        <v>859.47750000000008</v>
      </c>
      <c r="N506" s="65"/>
      <c r="O506" s="65">
        <f t="shared" si="236"/>
        <v>1089.9000000000001</v>
      </c>
      <c r="P506" s="65" t="e">
        <f>IF(B506&lt;&gt;0,VLOOKUP(B506,#REF!,2,FALSE),"")</f>
        <v>#REF!</v>
      </c>
      <c r="R506" s="62">
        <f t="shared" si="225"/>
        <v>-105</v>
      </c>
      <c r="AD506" s="21"/>
      <c r="AE506" s="481"/>
      <c r="AF506" s="481"/>
      <c r="AG506" s="481"/>
      <c r="AH506" s="481"/>
      <c r="AI506" s="873">
        <f t="shared" si="243"/>
        <v>9.1199999999999992</v>
      </c>
      <c r="AJ506" s="26">
        <f t="shared" si="240"/>
        <v>11.57</v>
      </c>
      <c r="AK506" s="26">
        <f t="shared" si="244"/>
        <v>1214.8499999999999</v>
      </c>
    </row>
    <row r="507" spans="1:38">
      <c r="A507" s="77" t="s">
        <v>1087</v>
      </c>
      <c r="B507" s="139"/>
      <c r="C507" s="340" t="s">
        <v>216</v>
      </c>
      <c r="D507" s="341"/>
      <c r="E507" s="341"/>
      <c r="F507" s="341"/>
      <c r="G507" s="26"/>
      <c r="H507" s="341"/>
      <c r="I507" s="96"/>
      <c r="J507" s="64" t="str">
        <f>IF(B507&lt;&gt;0,VLOOKUP(B507,#REF!,4,FALSE),"")</f>
        <v/>
      </c>
      <c r="K507" s="362" t="s">
        <v>1892</v>
      </c>
      <c r="L507" s="65"/>
      <c r="M507" s="65">
        <f t="shared" si="235"/>
        <v>0</v>
      </c>
      <c r="N507" s="65"/>
      <c r="O507" s="65">
        <f t="shared" si="236"/>
        <v>0</v>
      </c>
      <c r="P507" s="65" t="str">
        <f>IF(B507&lt;&gt;0,VLOOKUP(B507,#REF!,2,FALSE),"")</f>
        <v/>
      </c>
      <c r="Q507" s="2">
        <v>7</v>
      </c>
      <c r="R507" s="62">
        <f t="shared" si="225"/>
        <v>7</v>
      </c>
      <c r="AD507" s="21"/>
      <c r="AE507" s="481"/>
      <c r="AF507" s="481"/>
      <c r="AG507" s="481"/>
      <c r="AH507" s="481"/>
      <c r="AI507" s="873"/>
      <c r="AJ507" s="26"/>
      <c r="AK507" s="26"/>
    </row>
    <row r="508" spans="1:38" ht="45">
      <c r="A508" s="25" t="s">
        <v>1088</v>
      </c>
      <c r="B508" s="24">
        <v>92872</v>
      </c>
      <c r="C508" s="23" t="s">
        <v>2769</v>
      </c>
      <c r="D508" s="25" t="s">
        <v>12</v>
      </c>
      <c r="E508" s="25" t="s">
        <v>17</v>
      </c>
      <c r="F508" s="26">
        <v>7</v>
      </c>
      <c r="G508" s="26">
        <f t="shared" si="233"/>
        <v>7.8029999999999999</v>
      </c>
      <c r="H508" s="26">
        <f>ROUND(G508*(1+$J$13),2)</f>
        <v>9.89</v>
      </c>
      <c r="I508" s="26">
        <f t="shared" ref="I508:I509" si="250">ROUND(H508*F508,2)</f>
        <v>69.23</v>
      </c>
      <c r="J508" s="65" t="e">
        <f>IF(B508&lt;&gt;0,VLOOKUP(B508,#REF!,4,FALSE),"")</f>
        <v>#REF!</v>
      </c>
      <c r="K508" s="362" t="s">
        <v>1891</v>
      </c>
      <c r="L508" s="65">
        <f t="shared" si="234"/>
        <v>-1.3769999999999998</v>
      </c>
      <c r="M508" s="65">
        <f t="shared" si="235"/>
        <v>54.621000000000002</v>
      </c>
      <c r="N508" s="65"/>
      <c r="O508" s="65">
        <f t="shared" si="236"/>
        <v>69.23</v>
      </c>
      <c r="P508" s="65" t="e">
        <f>IF(B508&lt;&gt;0,VLOOKUP(B508,#REF!,2,FALSE),"")</f>
        <v>#REF!</v>
      </c>
      <c r="Q508" s="2">
        <v>7</v>
      </c>
      <c r="R508" s="62">
        <f t="shared" si="225"/>
        <v>0</v>
      </c>
      <c r="AD508" s="21"/>
      <c r="AE508" s="481"/>
      <c r="AF508" s="481"/>
      <c r="AG508" s="481"/>
      <c r="AH508" s="481"/>
      <c r="AI508" s="873">
        <f t="shared" si="243"/>
        <v>8.69</v>
      </c>
      <c r="AJ508" s="26">
        <f t="shared" si="240"/>
        <v>11.02</v>
      </c>
      <c r="AK508" s="26">
        <f t="shared" si="244"/>
        <v>77.14</v>
      </c>
    </row>
    <row r="509" spans="1:38" ht="30">
      <c r="A509" s="25" t="s">
        <v>2770</v>
      </c>
      <c r="B509" s="24" t="s">
        <v>2761</v>
      </c>
      <c r="C509" s="23" t="s">
        <v>2762</v>
      </c>
      <c r="D509" s="25" t="s">
        <v>70</v>
      </c>
      <c r="E509" s="25" t="s">
        <v>17</v>
      </c>
      <c r="F509" s="26">
        <v>7</v>
      </c>
      <c r="G509" s="26">
        <f t="shared" si="233"/>
        <v>81.106999999999999</v>
      </c>
      <c r="H509" s="26">
        <f>ROUND(G509*(1+$J$13),2)</f>
        <v>102.85</v>
      </c>
      <c r="I509" s="26">
        <f t="shared" si="250"/>
        <v>719.95</v>
      </c>
      <c r="J509" s="64">
        <f>'COMPOSIÇÃO DE CUSTOS'!G2477</f>
        <v>81.11</v>
      </c>
      <c r="K509" s="362">
        <v>95.42</v>
      </c>
      <c r="L509" s="65">
        <f t="shared" si="234"/>
        <v>-14.313000000000002</v>
      </c>
      <c r="M509" s="65">
        <f t="shared" si="235"/>
        <v>567.74900000000002</v>
      </c>
      <c r="N509" s="65"/>
      <c r="O509" s="65">
        <f t="shared" si="236"/>
        <v>719.94999999999993</v>
      </c>
      <c r="P509" s="65" t="e">
        <f>IF(B509&lt;&gt;0,VLOOKUP(B509,#REF!,2,FALSE),"")</f>
        <v>#REF!</v>
      </c>
      <c r="R509" s="62">
        <f t="shared" ref="R509:R572" si="251">Q509-F509</f>
        <v>-7</v>
      </c>
      <c r="AD509" s="21"/>
      <c r="AE509" s="481"/>
      <c r="AF509" s="481"/>
      <c r="AG509" s="481"/>
      <c r="AH509" s="481"/>
      <c r="AI509" s="873">
        <f t="shared" si="243"/>
        <v>90.35</v>
      </c>
      <c r="AJ509" s="26">
        <f t="shared" si="240"/>
        <v>114.57</v>
      </c>
      <c r="AK509" s="26">
        <f t="shared" si="244"/>
        <v>801.99</v>
      </c>
    </row>
    <row r="510" spans="1:38">
      <c r="A510" s="25"/>
      <c r="B510" s="24"/>
      <c r="C510" s="23"/>
      <c r="D510" s="25"/>
      <c r="E510" s="25"/>
      <c r="F510" s="26"/>
      <c r="G510" s="26"/>
      <c r="H510" s="26"/>
      <c r="I510" s="26"/>
      <c r="J510" s="65" t="str">
        <f>IF(B510&lt;&gt;0,VLOOKUP(B510,#REF!,4,FALSE),"")</f>
        <v/>
      </c>
      <c r="K510" s="362" t="s">
        <v>1892</v>
      </c>
      <c r="L510" s="65"/>
      <c r="M510" s="65">
        <f t="shared" si="235"/>
        <v>0</v>
      </c>
      <c r="N510" s="65"/>
      <c r="O510" s="65">
        <f t="shared" si="236"/>
        <v>0</v>
      </c>
      <c r="P510" s="65" t="str">
        <f>IF(B510&lt;&gt;0,VLOOKUP(B510,#REF!,2,FALSE),"")</f>
        <v/>
      </c>
      <c r="R510" s="62">
        <f t="shared" si="251"/>
        <v>0</v>
      </c>
      <c r="AD510" s="21"/>
      <c r="AE510" s="481"/>
      <c r="AF510" s="481"/>
      <c r="AG510" s="481"/>
      <c r="AH510" s="481"/>
      <c r="AI510" s="873"/>
      <c r="AJ510" s="26"/>
      <c r="AK510" s="26"/>
    </row>
    <row r="511" spans="1:38">
      <c r="A511" s="77" t="s">
        <v>1091</v>
      </c>
      <c r="B511" s="139"/>
      <c r="C511" s="340" t="s">
        <v>230</v>
      </c>
      <c r="D511" s="341"/>
      <c r="E511" s="341"/>
      <c r="F511" s="341"/>
      <c r="G511" s="26"/>
      <c r="H511" s="341"/>
      <c r="I511" s="96">
        <f>ROUND(SUM(I513:I544),2)</f>
        <v>27802.01</v>
      </c>
      <c r="J511" s="65" t="str">
        <f>IF(B511&lt;&gt;0,VLOOKUP(B511,#REF!,4,FALSE),"")</f>
        <v/>
      </c>
      <c r="K511" s="362" t="s">
        <v>1892</v>
      </c>
      <c r="L511" s="65"/>
      <c r="M511" s="65">
        <f t="shared" si="235"/>
        <v>0</v>
      </c>
      <c r="N511" s="65"/>
      <c r="O511" s="65">
        <f t="shared" si="236"/>
        <v>0</v>
      </c>
      <c r="P511" s="65" t="str">
        <f>IF(B511&lt;&gt;0,VLOOKUP(B511,#REF!,2,FALSE),"")</f>
        <v/>
      </c>
      <c r="R511" s="62">
        <f t="shared" si="251"/>
        <v>0</v>
      </c>
      <c r="AD511" s="21"/>
      <c r="AE511" s="481"/>
      <c r="AF511" s="481"/>
      <c r="AG511" s="481"/>
      <c r="AH511" s="481"/>
      <c r="AI511" s="873"/>
      <c r="AJ511" s="26"/>
      <c r="AK511" s="96">
        <f>ROUND(SUM(AK513:AK544),2)</f>
        <v>32485.85</v>
      </c>
    </row>
    <row r="512" spans="1:38" s="62" customFormat="1" ht="28.5">
      <c r="A512" s="77" t="s">
        <v>1092</v>
      </c>
      <c r="B512" s="139"/>
      <c r="C512" s="340" t="s">
        <v>231</v>
      </c>
      <c r="D512" s="341"/>
      <c r="E512" s="341"/>
      <c r="F512" s="341"/>
      <c r="G512" s="26"/>
      <c r="H512" s="341"/>
      <c r="I512" s="96"/>
      <c r="J512" s="64" t="str">
        <f>IF(B512&lt;&gt;0,VLOOKUP(B512,#REF!,4,FALSE),"")</f>
        <v/>
      </c>
      <c r="K512" s="362" t="s">
        <v>1892</v>
      </c>
      <c r="L512" s="65"/>
      <c r="M512" s="65">
        <f t="shared" si="235"/>
        <v>0</v>
      </c>
      <c r="N512" s="65"/>
      <c r="O512" s="65">
        <f t="shared" si="236"/>
        <v>0</v>
      </c>
      <c r="P512" s="65" t="str">
        <f>IF(B512&lt;&gt;0,VLOOKUP(B512,#REF!,2,FALSE),"")</f>
        <v/>
      </c>
      <c r="Q512" s="62">
        <v>11</v>
      </c>
      <c r="R512" s="62">
        <f t="shared" si="251"/>
        <v>11</v>
      </c>
      <c r="AD512" s="221"/>
      <c r="AE512" s="481"/>
      <c r="AF512" s="481"/>
      <c r="AG512" s="481"/>
      <c r="AH512" s="481"/>
      <c r="AI512" s="873"/>
      <c r="AJ512" s="26"/>
      <c r="AK512" s="26"/>
      <c r="AL512" s="224"/>
    </row>
    <row r="513" spans="1:38" s="62" customFormat="1">
      <c r="A513" s="25" t="s">
        <v>1093</v>
      </c>
      <c r="B513" s="24" t="s">
        <v>2298</v>
      </c>
      <c r="C513" s="23" t="s">
        <v>2664</v>
      </c>
      <c r="D513" s="25" t="s">
        <v>1915</v>
      </c>
      <c r="E513" s="25" t="s">
        <v>17</v>
      </c>
      <c r="F513" s="26">
        <v>11</v>
      </c>
      <c r="G513" s="26">
        <f t="shared" si="233"/>
        <v>567.74900000000002</v>
      </c>
      <c r="H513" s="26">
        <f>ROUND(G513*(1+$J$13),2)</f>
        <v>719.96</v>
      </c>
      <c r="I513" s="26">
        <f t="shared" ref="I513:I517" si="252">ROUND(H513*F513,2)</f>
        <v>7919.56</v>
      </c>
      <c r="J513" s="64">
        <f>'COMPOSIÇÃO DE CUSTOS'!G1321</f>
        <v>567.75</v>
      </c>
      <c r="K513" s="362">
        <v>667.94</v>
      </c>
      <c r="L513" s="65">
        <f t="shared" si="234"/>
        <v>-100.19100000000003</v>
      </c>
      <c r="M513" s="65">
        <f t="shared" si="235"/>
        <v>6245.2390000000005</v>
      </c>
      <c r="N513" s="65"/>
      <c r="O513" s="65">
        <f t="shared" si="236"/>
        <v>7919.56</v>
      </c>
      <c r="P513" s="65" t="e">
        <f>IF(B513&lt;&gt;0,VLOOKUP(B513,#REF!,2,FALSE),"")</f>
        <v>#REF!</v>
      </c>
      <c r="Q513" s="62">
        <v>2</v>
      </c>
      <c r="R513" s="62">
        <f t="shared" si="251"/>
        <v>-9</v>
      </c>
      <c r="AD513" s="221"/>
      <c r="AE513" s="481"/>
      <c r="AF513" s="481"/>
      <c r="AG513" s="481"/>
      <c r="AH513" s="481"/>
      <c r="AI513" s="873">
        <f t="shared" si="243"/>
        <v>632.48</v>
      </c>
      <c r="AJ513" s="26">
        <f t="shared" si="240"/>
        <v>802.05</v>
      </c>
      <c r="AK513" s="26">
        <f t="shared" si="244"/>
        <v>8822.5499999999993</v>
      </c>
      <c r="AL513" s="224"/>
    </row>
    <row r="514" spans="1:38" s="62" customFormat="1" ht="30">
      <c r="A514" s="25" t="s">
        <v>2771</v>
      </c>
      <c r="B514" s="24" t="s">
        <v>2300</v>
      </c>
      <c r="C514" s="23" t="s">
        <v>2494</v>
      </c>
      <c r="D514" s="25" t="s">
        <v>1915</v>
      </c>
      <c r="E514" s="25" t="s">
        <v>17</v>
      </c>
      <c r="F514" s="26">
        <v>2</v>
      </c>
      <c r="G514" s="26">
        <f t="shared" si="233"/>
        <v>2298.7314999999999</v>
      </c>
      <c r="H514" s="26">
        <f>ROUND(G514*(1+$J$13),2)</f>
        <v>2915.02</v>
      </c>
      <c r="I514" s="26">
        <f t="shared" si="252"/>
        <v>5830.04</v>
      </c>
      <c r="J514" s="64">
        <f>'COMPOSIÇÃO DE CUSTOS'!G1328</f>
        <v>2298.73</v>
      </c>
      <c r="K514" s="362">
        <v>2704.39</v>
      </c>
      <c r="L514" s="65">
        <f t="shared" si="234"/>
        <v>-405.6585</v>
      </c>
      <c r="M514" s="65">
        <f t="shared" si="235"/>
        <v>4597.4629999999997</v>
      </c>
      <c r="N514" s="65"/>
      <c r="O514" s="65">
        <f t="shared" si="236"/>
        <v>5830.04</v>
      </c>
      <c r="P514" s="65" t="e">
        <f>IF(B514&lt;&gt;0,VLOOKUP(B514,#REF!,2,FALSE),"")</f>
        <v>#REF!</v>
      </c>
      <c r="Q514" s="62">
        <v>1</v>
      </c>
      <c r="R514" s="62">
        <f t="shared" si="251"/>
        <v>-1</v>
      </c>
      <c r="AD514" s="221"/>
      <c r="AE514" s="481"/>
      <c r="AF514" s="481"/>
      <c r="AG514" s="481"/>
      <c r="AH514" s="481"/>
      <c r="AI514" s="873">
        <f t="shared" si="243"/>
        <v>2560.81</v>
      </c>
      <c r="AJ514" s="26">
        <f t="shared" si="240"/>
        <v>3247.36</v>
      </c>
      <c r="AK514" s="26">
        <f t="shared" si="244"/>
        <v>6494.72</v>
      </c>
      <c r="AL514" s="224"/>
    </row>
    <row r="515" spans="1:38" s="62" customFormat="1">
      <c r="A515" s="25" t="s">
        <v>2772</v>
      </c>
      <c r="B515" s="24">
        <v>59624</v>
      </c>
      <c r="C515" s="23" t="s">
        <v>2303</v>
      </c>
      <c r="D515" s="25" t="s">
        <v>1915</v>
      </c>
      <c r="E515" s="25" t="s">
        <v>17</v>
      </c>
      <c r="F515" s="26">
        <v>1</v>
      </c>
      <c r="G515" s="26">
        <f t="shared" si="233"/>
        <v>517.31000000000006</v>
      </c>
      <c r="H515" s="26">
        <f>ROUND(G515*(1+$J$13),2)</f>
        <v>656</v>
      </c>
      <c r="I515" s="26">
        <f t="shared" si="252"/>
        <v>656</v>
      </c>
      <c r="J515" s="64">
        <f>'COMPOSIÇÃO DE CUSTOS'!G1335</f>
        <v>517.30999999999995</v>
      </c>
      <c r="K515" s="362">
        <v>608.6</v>
      </c>
      <c r="L515" s="65">
        <f t="shared" si="234"/>
        <v>-91.289999999999964</v>
      </c>
      <c r="M515" s="65">
        <f t="shared" si="235"/>
        <v>517.31000000000006</v>
      </c>
      <c r="N515" s="65"/>
      <c r="O515" s="65">
        <f t="shared" si="236"/>
        <v>656</v>
      </c>
      <c r="P515" s="65" t="e">
        <f>IF(B515&lt;&gt;0,VLOOKUP(B515,#REF!,2,FALSE),"")</f>
        <v>#REF!</v>
      </c>
      <c r="Q515" s="62">
        <v>5</v>
      </c>
      <c r="R515" s="62">
        <f t="shared" si="251"/>
        <v>4</v>
      </c>
      <c r="AD515" s="221"/>
      <c r="AE515" s="481"/>
      <c r="AF515" s="481"/>
      <c r="AG515" s="481"/>
      <c r="AH515" s="481"/>
      <c r="AI515" s="873">
        <f t="shared" si="243"/>
        <v>576.29</v>
      </c>
      <c r="AJ515" s="26">
        <f t="shared" si="240"/>
        <v>730.79</v>
      </c>
      <c r="AK515" s="26">
        <f t="shared" si="244"/>
        <v>730.79</v>
      </c>
      <c r="AL515" s="224"/>
    </row>
    <row r="516" spans="1:38" s="62" customFormat="1">
      <c r="A516" s="25" t="s">
        <v>2773</v>
      </c>
      <c r="B516" s="24" t="s">
        <v>2305</v>
      </c>
      <c r="C516" s="23" t="s">
        <v>232</v>
      </c>
      <c r="D516" s="25" t="s">
        <v>1915</v>
      </c>
      <c r="E516" s="25" t="s">
        <v>17</v>
      </c>
      <c r="F516" s="26">
        <v>5</v>
      </c>
      <c r="G516" s="26">
        <f t="shared" si="233"/>
        <v>92.820000000000007</v>
      </c>
      <c r="H516" s="26">
        <f>ROUND(G516*(1+$J$13),2)</f>
        <v>117.71</v>
      </c>
      <c r="I516" s="26">
        <f t="shared" si="252"/>
        <v>588.54999999999995</v>
      </c>
      <c r="J516" s="64">
        <f>'COMPOSIÇÃO DE CUSTOS'!G1342</f>
        <v>92.82</v>
      </c>
      <c r="K516" s="362">
        <v>109.2</v>
      </c>
      <c r="L516" s="65">
        <f t="shared" si="234"/>
        <v>-16.379999999999995</v>
      </c>
      <c r="M516" s="65">
        <f t="shared" si="235"/>
        <v>464.1</v>
      </c>
      <c r="N516" s="65"/>
      <c r="O516" s="65">
        <f t="shared" si="236"/>
        <v>588.54999999999995</v>
      </c>
      <c r="P516" s="65" t="e">
        <f>IF(B516&lt;&gt;0,VLOOKUP(B516,#REF!,2,FALSE),"")</f>
        <v>#REF!</v>
      </c>
      <c r="Q516" s="62">
        <v>1</v>
      </c>
      <c r="R516" s="62">
        <f t="shared" si="251"/>
        <v>-4</v>
      </c>
      <c r="AD516" s="221"/>
      <c r="AE516" s="481"/>
      <c r="AF516" s="481"/>
      <c r="AG516" s="481"/>
      <c r="AH516" s="481"/>
      <c r="AI516" s="873">
        <f t="shared" si="243"/>
        <v>103.4</v>
      </c>
      <c r="AJ516" s="26">
        <f t="shared" si="240"/>
        <v>131.12</v>
      </c>
      <c r="AK516" s="26">
        <f t="shared" si="244"/>
        <v>655.6</v>
      </c>
      <c r="AL516" s="224"/>
    </row>
    <row r="517" spans="1:38" s="62" customFormat="1" ht="30">
      <c r="A517" s="25" t="s">
        <v>2774</v>
      </c>
      <c r="B517" s="24">
        <v>8016</v>
      </c>
      <c r="C517" s="23" t="s">
        <v>233</v>
      </c>
      <c r="D517" s="25" t="s">
        <v>44</v>
      </c>
      <c r="E517" s="25" t="s">
        <v>17</v>
      </c>
      <c r="F517" s="26">
        <v>1</v>
      </c>
      <c r="G517" s="26">
        <f t="shared" si="233"/>
        <v>1886.7449999999999</v>
      </c>
      <c r="H517" s="26">
        <f>ROUND(G517*(1+$J$13),2)</f>
        <v>2392.58</v>
      </c>
      <c r="I517" s="26">
        <f t="shared" si="252"/>
        <v>2392.58</v>
      </c>
      <c r="J517" s="64">
        <f>'COMPOSIÇÃO DE CUSTOS'!G1346</f>
        <v>1886.75</v>
      </c>
      <c r="K517" s="362">
        <v>2219.6999999999998</v>
      </c>
      <c r="L517" s="65">
        <f t="shared" si="234"/>
        <v>-332.95499999999993</v>
      </c>
      <c r="M517" s="65">
        <f t="shared" si="235"/>
        <v>1886.7449999999999</v>
      </c>
      <c r="N517" s="65"/>
      <c r="O517" s="65">
        <f t="shared" si="236"/>
        <v>2392.58</v>
      </c>
      <c r="P517" s="65" t="e">
        <f>IF(B517&lt;&gt;0,VLOOKUP(B517,#REF!,2,FALSE),"")</f>
        <v>#REF!</v>
      </c>
      <c r="R517" s="62">
        <f t="shared" si="251"/>
        <v>-1</v>
      </c>
      <c r="AD517" s="221"/>
      <c r="AE517" s="481"/>
      <c r="AF517" s="481"/>
      <c r="AG517" s="481"/>
      <c r="AH517" s="481"/>
      <c r="AI517" s="873">
        <f t="shared" si="243"/>
        <v>2101.85</v>
      </c>
      <c r="AJ517" s="26">
        <f t="shared" si="240"/>
        <v>2665.36</v>
      </c>
      <c r="AK517" s="26">
        <f t="shared" si="244"/>
        <v>2665.36</v>
      </c>
      <c r="AL517" s="224"/>
    </row>
    <row r="518" spans="1:38" s="62" customFormat="1">
      <c r="A518" s="77" t="s">
        <v>2775</v>
      </c>
      <c r="B518" s="139"/>
      <c r="C518" s="340" t="s">
        <v>219</v>
      </c>
      <c r="D518" s="341"/>
      <c r="E518" s="341"/>
      <c r="F518" s="341"/>
      <c r="G518" s="26"/>
      <c r="H518" s="341"/>
      <c r="I518" s="96"/>
      <c r="J518" s="65" t="str">
        <f>IF(B518&lt;&gt;0,VLOOKUP(B518,#REF!,4,FALSE),"")</f>
        <v/>
      </c>
      <c r="K518" s="362" t="s">
        <v>1892</v>
      </c>
      <c r="L518" s="65"/>
      <c r="M518" s="65">
        <f t="shared" si="235"/>
        <v>0</v>
      </c>
      <c r="N518" s="65"/>
      <c r="O518" s="65">
        <f t="shared" si="236"/>
        <v>0</v>
      </c>
      <c r="P518" s="65" t="str">
        <f>IF(B518&lt;&gt;0,VLOOKUP(B518,#REF!,2,FALSE),"")</f>
        <v/>
      </c>
      <c r="Q518" s="62">
        <v>1</v>
      </c>
      <c r="R518" s="62">
        <f t="shared" si="251"/>
        <v>1</v>
      </c>
      <c r="AD518" s="221"/>
      <c r="AE518" s="481"/>
      <c r="AF518" s="481"/>
      <c r="AG518" s="481"/>
      <c r="AH518" s="481"/>
      <c r="AI518" s="873"/>
      <c r="AJ518" s="26"/>
      <c r="AK518" s="26"/>
      <c r="AL518" s="224"/>
    </row>
    <row r="519" spans="1:38" s="62" customFormat="1" ht="30">
      <c r="A519" s="25" t="s">
        <v>2776</v>
      </c>
      <c r="B519" s="24">
        <v>11419</v>
      </c>
      <c r="C519" s="23" t="s">
        <v>220</v>
      </c>
      <c r="D519" s="25" t="s">
        <v>44</v>
      </c>
      <c r="E519" s="25" t="s">
        <v>17</v>
      </c>
      <c r="F519" s="26">
        <v>1</v>
      </c>
      <c r="G519" s="26">
        <f t="shared" si="233"/>
        <v>17.977499999999999</v>
      </c>
      <c r="H519" s="26">
        <f t="shared" ref="H519:H524" si="253">ROUND(G519*(1+$J$13),2)</f>
        <v>22.8</v>
      </c>
      <c r="I519" s="26">
        <f t="shared" ref="I519:I524" si="254">ROUND(H519*F519,2)</f>
        <v>22.8</v>
      </c>
      <c r="J519" s="64">
        <f>'COMPOSIÇÃO DE CUSTOS'!G1933</f>
        <v>21.15</v>
      </c>
      <c r="K519" s="362">
        <v>21.15</v>
      </c>
      <c r="L519" s="65">
        <f t="shared" si="234"/>
        <v>-3.1724999999999994</v>
      </c>
      <c r="M519" s="65">
        <f t="shared" si="235"/>
        <v>17.977499999999999</v>
      </c>
      <c r="N519" s="65"/>
      <c r="O519" s="65">
        <f t="shared" si="236"/>
        <v>22.8</v>
      </c>
      <c r="P519" s="65" t="e">
        <f>IF(B519&lt;&gt;0,VLOOKUP(B519,#REF!,2,FALSE),"")</f>
        <v>#REF!</v>
      </c>
      <c r="Q519" s="62">
        <v>1</v>
      </c>
      <c r="R519" s="62">
        <f t="shared" si="251"/>
        <v>0</v>
      </c>
      <c r="AD519" s="221"/>
      <c r="AE519" s="481"/>
      <c r="AF519" s="481"/>
      <c r="AG519" s="481"/>
      <c r="AH519" s="481"/>
      <c r="AI519" s="873">
        <f t="shared" si="243"/>
        <v>20.03</v>
      </c>
      <c r="AJ519" s="26">
        <f t="shared" si="240"/>
        <v>25.4</v>
      </c>
      <c r="AK519" s="26">
        <f t="shared" si="244"/>
        <v>25.4</v>
      </c>
      <c r="AL519" s="224"/>
    </row>
    <row r="520" spans="1:38" s="62" customFormat="1" ht="45">
      <c r="A520" s="25" t="s">
        <v>2777</v>
      </c>
      <c r="B520" s="24">
        <v>8362</v>
      </c>
      <c r="C520" s="23" t="s">
        <v>222</v>
      </c>
      <c r="D520" s="25" t="s">
        <v>44</v>
      </c>
      <c r="E520" s="25" t="s">
        <v>17</v>
      </c>
      <c r="F520" s="26">
        <v>1</v>
      </c>
      <c r="G520" s="26">
        <f t="shared" si="233"/>
        <v>16.3965</v>
      </c>
      <c r="H520" s="26">
        <f t="shared" si="253"/>
        <v>20.79</v>
      </c>
      <c r="I520" s="26">
        <f t="shared" si="254"/>
        <v>20.79</v>
      </c>
      <c r="J520" s="64">
        <f>'COMPOSIÇÃO DE CUSTOS'!G1997</f>
        <v>16.399999999999999</v>
      </c>
      <c r="K520" s="362">
        <v>19.29</v>
      </c>
      <c r="L520" s="65">
        <f t="shared" si="234"/>
        <v>-2.8934999999999995</v>
      </c>
      <c r="M520" s="65">
        <f t="shared" si="235"/>
        <v>16.3965</v>
      </c>
      <c r="N520" s="65"/>
      <c r="O520" s="65">
        <f t="shared" si="236"/>
        <v>20.79</v>
      </c>
      <c r="P520" s="65" t="e">
        <f>IF(B520&lt;&gt;0,VLOOKUP(B520,#REF!,2,FALSE),"")</f>
        <v>#REF!</v>
      </c>
      <c r="Q520" s="62">
        <v>1</v>
      </c>
      <c r="R520" s="62">
        <f t="shared" si="251"/>
        <v>0</v>
      </c>
      <c r="AD520" s="221"/>
      <c r="AE520" s="481"/>
      <c r="AF520" s="481"/>
      <c r="AG520" s="481"/>
      <c r="AH520" s="481"/>
      <c r="AI520" s="873">
        <f t="shared" si="243"/>
        <v>18.27</v>
      </c>
      <c r="AJ520" s="26">
        <f t="shared" si="240"/>
        <v>23.17</v>
      </c>
      <c r="AK520" s="26">
        <f t="shared" si="244"/>
        <v>23.17</v>
      </c>
      <c r="AL520" s="224"/>
    </row>
    <row r="521" spans="1:38" s="62" customFormat="1" ht="30">
      <c r="A521" s="25" t="s">
        <v>2778</v>
      </c>
      <c r="B521" s="148">
        <v>98302</v>
      </c>
      <c r="C521" s="145" t="s">
        <v>3090</v>
      </c>
      <c r="D521" s="25" t="s">
        <v>12</v>
      </c>
      <c r="E521" s="25" t="s">
        <v>17</v>
      </c>
      <c r="F521" s="26">
        <v>1</v>
      </c>
      <c r="G521" s="26">
        <f t="shared" si="233"/>
        <v>463.1395</v>
      </c>
      <c r="H521" s="26">
        <f t="shared" si="253"/>
        <v>587.30999999999995</v>
      </c>
      <c r="I521" s="26">
        <f t="shared" si="254"/>
        <v>587.30999999999995</v>
      </c>
      <c r="J521" s="64" t="e">
        <f>IF(B521&lt;&gt;0,VLOOKUP(B521,#REF!,4,FALSE),"")</f>
        <v>#REF!</v>
      </c>
      <c r="K521" s="362" t="s">
        <v>3168</v>
      </c>
      <c r="L521" s="65">
        <f t="shared" si="234"/>
        <v>-81.730500000000006</v>
      </c>
      <c r="M521" s="65">
        <f t="shared" si="235"/>
        <v>463.1395</v>
      </c>
      <c r="N521" s="65"/>
      <c r="O521" s="65">
        <f t="shared" si="236"/>
        <v>587.30999999999995</v>
      </c>
      <c r="P521" s="65" t="e">
        <f>IF(B521&lt;&gt;0,VLOOKUP(B521,#REF!,2,FALSE),"")</f>
        <v>#REF!</v>
      </c>
      <c r="Q521" s="62">
        <v>1</v>
      </c>
      <c r="R521" s="62">
        <f t="shared" si="251"/>
        <v>0</v>
      </c>
      <c r="AD521" s="221"/>
      <c r="AE521" s="481"/>
      <c r="AF521" s="481"/>
      <c r="AG521" s="481"/>
      <c r="AH521" s="481"/>
      <c r="AI521" s="873">
        <f t="shared" si="243"/>
        <v>515.94000000000005</v>
      </c>
      <c r="AJ521" s="26">
        <f t="shared" si="240"/>
        <v>654.26</v>
      </c>
      <c r="AK521" s="26">
        <f t="shared" si="244"/>
        <v>654.26</v>
      </c>
      <c r="AL521" s="224"/>
    </row>
    <row r="522" spans="1:38" s="62" customFormat="1" ht="45">
      <c r="A522" s="25" t="s">
        <v>2779</v>
      </c>
      <c r="B522" s="148" t="s">
        <v>2495</v>
      </c>
      <c r="C522" s="145" t="s">
        <v>2019</v>
      </c>
      <c r="D522" s="25" t="s">
        <v>1915</v>
      </c>
      <c r="E522" s="25" t="s">
        <v>17</v>
      </c>
      <c r="F522" s="26">
        <v>1</v>
      </c>
      <c r="G522" s="26">
        <f t="shared" si="233"/>
        <v>3039.1324999999997</v>
      </c>
      <c r="H522" s="26">
        <f t="shared" si="253"/>
        <v>3853.92</v>
      </c>
      <c r="I522" s="26">
        <f t="shared" si="254"/>
        <v>3853.92</v>
      </c>
      <c r="J522" s="64">
        <f>'COMPOSIÇÃO DE CUSTOS'!G2229</f>
        <v>3039.14</v>
      </c>
      <c r="K522" s="362">
        <v>3575.45</v>
      </c>
      <c r="L522" s="65">
        <f t="shared" si="234"/>
        <v>-536.31750000000011</v>
      </c>
      <c r="M522" s="65">
        <f t="shared" si="235"/>
        <v>3039.1324999999997</v>
      </c>
      <c r="N522" s="65"/>
      <c r="O522" s="65">
        <f t="shared" si="236"/>
        <v>3853.92</v>
      </c>
      <c r="P522" s="65" t="e">
        <f>IF(B522&lt;&gt;0,VLOOKUP(B522,#REF!,2,FALSE),"")</f>
        <v>#REF!</v>
      </c>
      <c r="Q522" s="62">
        <v>13</v>
      </c>
      <c r="R522" s="62">
        <f t="shared" si="251"/>
        <v>12</v>
      </c>
      <c r="AD522" s="221"/>
      <c r="AE522" s="481"/>
      <c r="AF522" s="481"/>
      <c r="AG522" s="481"/>
      <c r="AH522" s="481"/>
      <c r="AI522" s="873">
        <f t="shared" si="243"/>
        <v>3385.62</v>
      </c>
      <c r="AJ522" s="26">
        <f t="shared" si="240"/>
        <v>4293.3</v>
      </c>
      <c r="AK522" s="26">
        <f t="shared" si="244"/>
        <v>4293.3</v>
      </c>
      <c r="AL522" s="224"/>
    </row>
    <row r="523" spans="1:38" s="62" customFormat="1" ht="30">
      <c r="A523" s="25" t="s">
        <v>2780</v>
      </c>
      <c r="B523" s="144">
        <v>758</v>
      </c>
      <c r="C523" s="145" t="s">
        <v>234</v>
      </c>
      <c r="D523" s="25" t="s">
        <v>44</v>
      </c>
      <c r="E523" s="25" t="s">
        <v>17</v>
      </c>
      <c r="F523" s="26">
        <v>13</v>
      </c>
      <c r="G523" s="26">
        <f t="shared" si="233"/>
        <v>4.4540000000000006</v>
      </c>
      <c r="H523" s="26">
        <f t="shared" si="253"/>
        <v>5.65</v>
      </c>
      <c r="I523" s="26">
        <f t="shared" si="254"/>
        <v>73.45</v>
      </c>
      <c r="J523" s="64">
        <f>'COMPOSIÇÃO DE CUSTOS'!G1974</f>
        <v>4.45</v>
      </c>
      <c r="K523" s="362">
        <v>5.24</v>
      </c>
      <c r="L523" s="65">
        <f t="shared" si="234"/>
        <v>-0.78599999999999959</v>
      </c>
      <c r="M523" s="65">
        <f t="shared" si="235"/>
        <v>57.902000000000008</v>
      </c>
      <c r="N523" s="65"/>
      <c r="O523" s="65">
        <f t="shared" si="236"/>
        <v>73.45</v>
      </c>
      <c r="P523" s="65" t="e">
        <f>IF(B523&lt;&gt;0,VLOOKUP(B523,#REF!,2,FALSE),"")</f>
        <v>#REF!</v>
      </c>
      <c r="Q523" s="62">
        <v>1</v>
      </c>
      <c r="R523" s="62">
        <f t="shared" si="251"/>
        <v>-12</v>
      </c>
      <c r="AD523" s="221"/>
      <c r="AE523" s="481"/>
      <c r="AF523" s="481"/>
      <c r="AG523" s="481"/>
      <c r="AH523" s="481"/>
      <c r="AI523" s="873">
        <f t="shared" si="243"/>
        <v>4.96</v>
      </c>
      <c r="AJ523" s="26">
        <f t="shared" si="240"/>
        <v>6.29</v>
      </c>
      <c r="AK523" s="26">
        <f t="shared" si="244"/>
        <v>81.77</v>
      </c>
      <c r="AL523" s="224"/>
    </row>
    <row r="524" spans="1:38" s="62" customFormat="1">
      <c r="A524" s="25" t="s">
        <v>2781</v>
      </c>
      <c r="B524" s="148">
        <v>9218</v>
      </c>
      <c r="C524" s="149" t="s">
        <v>2037</v>
      </c>
      <c r="D524" s="25" t="s">
        <v>44</v>
      </c>
      <c r="E524" s="25" t="s">
        <v>17</v>
      </c>
      <c r="F524" s="26">
        <v>1</v>
      </c>
      <c r="G524" s="26">
        <f t="shared" si="233"/>
        <v>1893.8765000000001</v>
      </c>
      <c r="H524" s="26">
        <f t="shared" si="253"/>
        <v>2401.62</v>
      </c>
      <c r="I524" s="26">
        <f t="shared" si="254"/>
        <v>2401.62</v>
      </c>
      <c r="J524" s="64">
        <f>'COMPOSIÇÃO DE CUSTOS'!G2251</f>
        <v>1893.88</v>
      </c>
      <c r="K524" s="362">
        <v>2228.09</v>
      </c>
      <c r="L524" s="65">
        <f t="shared" si="234"/>
        <v>-334.21350000000007</v>
      </c>
      <c r="M524" s="65">
        <f t="shared" si="235"/>
        <v>1893.8765000000001</v>
      </c>
      <c r="N524" s="65"/>
      <c r="O524" s="65">
        <f t="shared" si="236"/>
        <v>2401.62</v>
      </c>
      <c r="P524" s="65" t="e">
        <f>IF(B524&lt;&gt;0,VLOOKUP(B524,#REF!,2,FALSE),"")</f>
        <v>#REF!</v>
      </c>
      <c r="R524" s="62">
        <f t="shared" si="251"/>
        <v>-1</v>
      </c>
      <c r="AD524" s="221"/>
      <c r="AE524" s="481"/>
      <c r="AF524" s="481"/>
      <c r="AG524" s="481"/>
      <c r="AH524" s="481"/>
      <c r="AI524" s="873">
        <f t="shared" si="243"/>
        <v>2109.79</v>
      </c>
      <c r="AJ524" s="26">
        <f t="shared" si="240"/>
        <v>2675.42</v>
      </c>
      <c r="AK524" s="26">
        <f t="shared" si="244"/>
        <v>2675.42</v>
      </c>
      <c r="AL524" s="224"/>
    </row>
    <row r="525" spans="1:38" s="62" customFormat="1">
      <c r="A525" s="77" t="s">
        <v>2782</v>
      </c>
      <c r="B525" s="139"/>
      <c r="C525" s="340" t="s">
        <v>224</v>
      </c>
      <c r="D525" s="341"/>
      <c r="E525" s="341"/>
      <c r="F525" s="341"/>
      <c r="G525" s="26"/>
      <c r="H525" s="341"/>
      <c r="I525" s="96"/>
      <c r="J525" s="65" t="str">
        <f>IF(B525&lt;&gt;0,VLOOKUP(B525,#REF!,4,FALSE),"")</f>
        <v/>
      </c>
      <c r="K525" s="362" t="s">
        <v>1892</v>
      </c>
      <c r="L525" s="65"/>
      <c r="M525" s="65">
        <f t="shared" si="235"/>
        <v>0</v>
      </c>
      <c r="N525" s="65"/>
      <c r="O525" s="65">
        <f t="shared" si="236"/>
        <v>0</v>
      </c>
      <c r="P525" s="65" t="str">
        <f>IF(B525&lt;&gt;0,VLOOKUP(B525,#REF!,2,FALSE),"")</f>
        <v/>
      </c>
      <c r="Q525" s="62">
        <v>72</v>
      </c>
      <c r="R525" s="62">
        <f t="shared" si="251"/>
        <v>72</v>
      </c>
      <c r="AD525" s="221"/>
      <c r="AE525" s="481"/>
      <c r="AF525" s="481"/>
      <c r="AG525" s="481"/>
      <c r="AH525" s="481"/>
      <c r="AI525" s="873"/>
      <c r="AJ525" s="26"/>
      <c r="AK525" s="26"/>
      <c r="AL525" s="224"/>
    </row>
    <row r="526" spans="1:38" s="62" customFormat="1" ht="45">
      <c r="A526" s="25" t="s">
        <v>2783</v>
      </c>
      <c r="B526" s="24">
        <v>91863</v>
      </c>
      <c r="C526" s="23" t="s">
        <v>1692</v>
      </c>
      <c r="D526" s="25" t="s">
        <v>12</v>
      </c>
      <c r="E526" s="25" t="s">
        <v>52</v>
      </c>
      <c r="F526" s="26">
        <v>72</v>
      </c>
      <c r="G526" s="26">
        <f t="shared" si="233"/>
        <v>6.8849999999999998</v>
      </c>
      <c r="H526" s="26">
        <f t="shared" ref="H526:H539" si="255">ROUND(G526*(1+$J$13),2)</f>
        <v>8.73</v>
      </c>
      <c r="I526" s="26">
        <f t="shared" ref="I526:I539" si="256">ROUND(H526*F526,2)</f>
        <v>628.55999999999995</v>
      </c>
      <c r="J526" s="65" t="e">
        <f>IF(B526&lt;&gt;0,VLOOKUP(B526,#REF!,4,FALSE),"")</f>
        <v>#REF!</v>
      </c>
      <c r="K526" s="362" t="s">
        <v>1886</v>
      </c>
      <c r="L526" s="65">
        <f t="shared" si="234"/>
        <v>-1.2149999999999999</v>
      </c>
      <c r="M526" s="65">
        <f t="shared" si="235"/>
        <v>495.71999999999997</v>
      </c>
      <c r="N526" s="65"/>
      <c r="O526" s="65">
        <f t="shared" si="236"/>
        <v>628.56000000000006</v>
      </c>
      <c r="P526" s="65" t="e">
        <f>IF(B526&lt;&gt;0,VLOOKUP(B526,#REF!,2,FALSE),"")</f>
        <v>#REF!</v>
      </c>
      <c r="Q526" s="62">
        <v>5</v>
      </c>
      <c r="R526" s="62">
        <f t="shared" si="251"/>
        <v>-67</v>
      </c>
      <c r="AD526" s="221"/>
      <c r="AE526" s="481"/>
      <c r="AF526" s="481"/>
      <c r="AG526" s="481"/>
      <c r="AH526" s="481"/>
      <c r="AI526" s="873">
        <f t="shared" si="243"/>
        <v>7.67</v>
      </c>
      <c r="AJ526" s="26">
        <f t="shared" si="240"/>
        <v>9.73</v>
      </c>
      <c r="AK526" s="26">
        <f t="shared" si="244"/>
        <v>700.56</v>
      </c>
      <c r="AL526" s="224"/>
    </row>
    <row r="527" spans="1:38" s="62" customFormat="1" ht="60">
      <c r="A527" s="25" t="s">
        <v>2784</v>
      </c>
      <c r="B527" s="24">
        <v>91890</v>
      </c>
      <c r="C527" s="23" t="s">
        <v>1693</v>
      </c>
      <c r="D527" s="25" t="s">
        <v>12</v>
      </c>
      <c r="E527" s="25" t="s">
        <v>17</v>
      </c>
      <c r="F527" s="26">
        <v>5</v>
      </c>
      <c r="G527" s="26">
        <f t="shared" si="233"/>
        <v>6.375</v>
      </c>
      <c r="H527" s="26">
        <f t="shared" si="255"/>
        <v>8.08</v>
      </c>
      <c r="I527" s="26">
        <f t="shared" si="256"/>
        <v>40.4</v>
      </c>
      <c r="J527" s="65" t="e">
        <f>IF(B527&lt;&gt;0,VLOOKUP(B527,#REF!,4,FALSE),"")</f>
        <v>#REF!</v>
      </c>
      <c r="K527" s="362" t="s">
        <v>3225</v>
      </c>
      <c r="L527" s="65">
        <f t="shared" si="234"/>
        <v>-1.125</v>
      </c>
      <c r="M527" s="65">
        <f t="shared" si="235"/>
        <v>31.875</v>
      </c>
      <c r="N527" s="65"/>
      <c r="O527" s="65">
        <f t="shared" si="236"/>
        <v>40.4</v>
      </c>
      <c r="P527" s="65" t="e">
        <f>IF(B527&lt;&gt;0,VLOOKUP(B527,#REF!,2,FALSE),"")</f>
        <v>#REF!</v>
      </c>
      <c r="Q527" s="62">
        <v>34</v>
      </c>
      <c r="R527" s="62">
        <f t="shared" si="251"/>
        <v>29</v>
      </c>
      <c r="AD527" s="221"/>
      <c r="AE527" s="481"/>
      <c r="AF527" s="481"/>
      <c r="AG527" s="481"/>
      <c r="AH527" s="481"/>
      <c r="AI527" s="873">
        <f t="shared" si="243"/>
        <v>7.1</v>
      </c>
      <c r="AJ527" s="26">
        <f t="shared" si="240"/>
        <v>9</v>
      </c>
      <c r="AK527" s="26">
        <f t="shared" si="244"/>
        <v>45</v>
      </c>
      <c r="AL527" s="224"/>
    </row>
    <row r="528" spans="1:38" s="62" customFormat="1" ht="60">
      <c r="A528" s="25" t="s">
        <v>2785</v>
      </c>
      <c r="B528" s="24">
        <v>91875</v>
      </c>
      <c r="C528" s="23" t="s">
        <v>1694</v>
      </c>
      <c r="D528" s="25" t="s">
        <v>12</v>
      </c>
      <c r="E528" s="25" t="s">
        <v>17</v>
      </c>
      <c r="F528" s="26">
        <v>34</v>
      </c>
      <c r="G528" s="26">
        <f t="shared" si="233"/>
        <v>3.7654999999999998</v>
      </c>
      <c r="H528" s="26">
        <f t="shared" si="255"/>
        <v>4.78</v>
      </c>
      <c r="I528" s="26">
        <f t="shared" si="256"/>
        <v>162.52000000000001</v>
      </c>
      <c r="J528" s="65" t="e">
        <f>IF(B528&lt;&gt;0,VLOOKUP(B528,#REF!,4,FALSE),"")</f>
        <v>#REF!</v>
      </c>
      <c r="K528" s="362" t="s">
        <v>1865</v>
      </c>
      <c r="L528" s="65">
        <f t="shared" si="234"/>
        <v>-0.66449999999999987</v>
      </c>
      <c r="M528" s="65">
        <f t="shared" si="235"/>
        <v>128.02699999999999</v>
      </c>
      <c r="N528" s="65"/>
      <c r="O528" s="65">
        <f t="shared" si="236"/>
        <v>162.52000000000001</v>
      </c>
      <c r="P528" s="65" t="e">
        <f>IF(B528&lt;&gt;0,VLOOKUP(B528,#REF!,2,FALSE),"")</f>
        <v>#REF!</v>
      </c>
      <c r="Q528" s="62">
        <v>32</v>
      </c>
      <c r="R528" s="62">
        <f t="shared" si="251"/>
        <v>-2</v>
      </c>
      <c r="AD528" s="221"/>
      <c r="AE528" s="481"/>
      <c r="AF528" s="481"/>
      <c r="AG528" s="481"/>
      <c r="AH528" s="481"/>
      <c r="AI528" s="873">
        <f t="shared" si="243"/>
        <v>4.1900000000000004</v>
      </c>
      <c r="AJ528" s="26">
        <f t="shared" si="240"/>
        <v>5.31</v>
      </c>
      <c r="AK528" s="26">
        <f t="shared" si="244"/>
        <v>180.54</v>
      </c>
      <c r="AL528" s="224"/>
    </row>
    <row r="529" spans="1:38" s="62" customFormat="1" ht="45">
      <c r="A529" s="25" t="s">
        <v>2786</v>
      </c>
      <c r="B529" s="24">
        <v>91871</v>
      </c>
      <c r="C529" s="23" t="s">
        <v>1695</v>
      </c>
      <c r="D529" s="25" t="s">
        <v>12</v>
      </c>
      <c r="E529" s="25" t="s">
        <v>52</v>
      </c>
      <c r="F529" s="26">
        <v>32</v>
      </c>
      <c r="G529" s="26">
        <f t="shared" si="233"/>
        <v>7.3949999999999996</v>
      </c>
      <c r="H529" s="26">
        <f t="shared" si="255"/>
        <v>9.3800000000000008</v>
      </c>
      <c r="I529" s="26">
        <f t="shared" si="256"/>
        <v>300.16000000000003</v>
      </c>
      <c r="J529" s="65" t="e">
        <f>IF(B529&lt;&gt;0,VLOOKUP(B529,#REF!,4,FALSE),"")</f>
        <v>#REF!</v>
      </c>
      <c r="K529" s="362" t="s">
        <v>2648</v>
      </c>
      <c r="L529" s="65">
        <f t="shared" si="234"/>
        <v>-1.3049999999999997</v>
      </c>
      <c r="M529" s="65">
        <f t="shared" si="235"/>
        <v>236.64</v>
      </c>
      <c r="N529" s="65"/>
      <c r="O529" s="65">
        <f t="shared" si="236"/>
        <v>300.16000000000003</v>
      </c>
      <c r="P529" s="65" t="e">
        <f>IF(B529&lt;&gt;0,VLOOKUP(B529,#REF!,2,FALSE),"")</f>
        <v>#REF!</v>
      </c>
      <c r="Q529" s="62">
        <v>14</v>
      </c>
      <c r="R529" s="62">
        <f t="shared" si="251"/>
        <v>-18</v>
      </c>
      <c r="AD529" s="221"/>
      <c r="AE529" s="481"/>
      <c r="AF529" s="481"/>
      <c r="AG529" s="481"/>
      <c r="AH529" s="481"/>
      <c r="AI529" s="873">
        <f t="shared" si="243"/>
        <v>8.24</v>
      </c>
      <c r="AJ529" s="26">
        <f t="shared" si="240"/>
        <v>10.45</v>
      </c>
      <c r="AK529" s="26">
        <f t="shared" si="244"/>
        <v>334.4</v>
      </c>
      <c r="AL529" s="224"/>
    </row>
    <row r="530" spans="1:38" s="62" customFormat="1" ht="60">
      <c r="A530" s="25" t="s">
        <v>2787</v>
      </c>
      <c r="B530" s="24">
        <v>91914</v>
      </c>
      <c r="C530" s="23" t="s">
        <v>1696</v>
      </c>
      <c r="D530" s="25" t="s">
        <v>12</v>
      </c>
      <c r="E530" s="25" t="s">
        <v>17</v>
      </c>
      <c r="F530" s="26">
        <v>14</v>
      </c>
      <c r="G530" s="26">
        <f t="shared" si="233"/>
        <v>8.5084999999999997</v>
      </c>
      <c r="H530" s="26">
        <f t="shared" si="255"/>
        <v>10.79</v>
      </c>
      <c r="I530" s="26">
        <f t="shared" si="256"/>
        <v>151.06</v>
      </c>
      <c r="J530" s="65" t="e">
        <f>IF(B530&lt;&gt;0,VLOOKUP(B530,#REF!,4,FALSE),"")</f>
        <v>#REF!</v>
      </c>
      <c r="K530" s="362" t="s">
        <v>1908</v>
      </c>
      <c r="L530" s="65">
        <f t="shared" si="234"/>
        <v>-1.5015000000000001</v>
      </c>
      <c r="M530" s="65">
        <f t="shared" si="235"/>
        <v>119.119</v>
      </c>
      <c r="N530" s="65"/>
      <c r="O530" s="65">
        <f t="shared" si="236"/>
        <v>151.06</v>
      </c>
      <c r="P530" s="65" t="e">
        <f>IF(B530&lt;&gt;0,VLOOKUP(B530,#REF!,2,FALSE),"")</f>
        <v>#REF!</v>
      </c>
      <c r="Q530" s="62">
        <v>39</v>
      </c>
      <c r="R530" s="62">
        <f t="shared" si="251"/>
        <v>25</v>
      </c>
      <c r="AD530" s="221"/>
      <c r="AE530" s="481"/>
      <c r="AF530" s="481"/>
      <c r="AG530" s="481"/>
      <c r="AH530" s="481"/>
      <c r="AI530" s="873">
        <f t="shared" si="243"/>
        <v>9.48</v>
      </c>
      <c r="AJ530" s="26">
        <f t="shared" si="240"/>
        <v>12.02</v>
      </c>
      <c r="AK530" s="26">
        <f t="shared" si="244"/>
        <v>168.28</v>
      </c>
      <c r="AL530" s="224"/>
    </row>
    <row r="531" spans="1:38" s="62" customFormat="1" ht="60">
      <c r="A531" s="25" t="s">
        <v>2788</v>
      </c>
      <c r="B531" s="24">
        <v>91884</v>
      </c>
      <c r="C531" s="23" t="s">
        <v>1697</v>
      </c>
      <c r="D531" s="25" t="s">
        <v>12</v>
      </c>
      <c r="E531" s="25" t="s">
        <v>17</v>
      </c>
      <c r="F531" s="26">
        <v>39</v>
      </c>
      <c r="G531" s="26">
        <f t="shared" si="233"/>
        <v>5.1849999999999996</v>
      </c>
      <c r="H531" s="26">
        <f t="shared" si="255"/>
        <v>6.58</v>
      </c>
      <c r="I531" s="26">
        <f t="shared" si="256"/>
        <v>256.62</v>
      </c>
      <c r="J531" s="65" t="e">
        <f>IF(B531&lt;&gt;0,VLOOKUP(B531,#REF!,4,FALSE),"")</f>
        <v>#REF!</v>
      </c>
      <c r="K531" s="362" t="s">
        <v>3141</v>
      </c>
      <c r="L531" s="65">
        <f t="shared" si="234"/>
        <v>-0.91500000000000004</v>
      </c>
      <c r="M531" s="65">
        <f t="shared" si="235"/>
        <v>202.21499999999997</v>
      </c>
      <c r="N531" s="65"/>
      <c r="O531" s="65">
        <f t="shared" si="236"/>
        <v>256.62</v>
      </c>
      <c r="P531" s="65" t="e">
        <f>IF(B531&lt;&gt;0,VLOOKUP(B531,#REF!,2,FALSE),"")</f>
        <v>#REF!</v>
      </c>
      <c r="Q531" s="62">
        <v>4</v>
      </c>
      <c r="R531" s="62">
        <f t="shared" si="251"/>
        <v>-35</v>
      </c>
      <c r="AD531" s="221"/>
      <c r="AE531" s="481"/>
      <c r="AF531" s="481"/>
      <c r="AG531" s="481"/>
      <c r="AH531" s="481"/>
      <c r="AI531" s="873">
        <f t="shared" si="243"/>
        <v>5.78</v>
      </c>
      <c r="AJ531" s="26">
        <f t="shared" si="240"/>
        <v>7.33</v>
      </c>
      <c r="AK531" s="26">
        <f t="shared" si="244"/>
        <v>285.87</v>
      </c>
      <c r="AL531" s="224"/>
    </row>
    <row r="532" spans="1:38" s="62" customFormat="1" ht="45">
      <c r="A532" s="25" t="s">
        <v>2789</v>
      </c>
      <c r="B532" s="24">
        <v>91865</v>
      </c>
      <c r="C532" s="23" t="s">
        <v>1702</v>
      </c>
      <c r="D532" s="25" t="s">
        <v>12</v>
      </c>
      <c r="E532" s="25" t="s">
        <v>52</v>
      </c>
      <c r="F532" s="26">
        <v>4</v>
      </c>
      <c r="G532" s="26">
        <f t="shared" si="233"/>
        <v>11.322000000000001</v>
      </c>
      <c r="H532" s="26">
        <f t="shared" si="255"/>
        <v>14.36</v>
      </c>
      <c r="I532" s="26">
        <f t="shared" si="256"/>
        <v>57.44</v>
      </c>
      <c r="J532" s="65" t="e">
        <f>IF(B532&lt;&gt;0,VLOOKUP(B532,#REF!,4,FALSE),"")</f>
        <v>#REF!</v>
      </c>
      <c r="K532" s="362" t="s">
        <v>3105</v>
      </c>
      <c r="L532" s="65">
        <f t="shared" si="234"/>
        <v>-1.9979999999999993</v>
      </c>
      <c r="M532" s="65">
        <f t="shared" si="235"/>
        <v>45.288000000000004</v>
      </c>
      <c r="N532" s="65"/>
      <c r="O532" s="65">
        <f t="shared" si="236"/>
        <v>57.44</v>
      </c>
      <c r="P532" s="65" t="e">
        <f>IF(B532&lt;&gt;0,VLOOKUP(B532,#REF!,2,FALSE),"")</f>
        <v>#REF!</v>
      </c>
      <c r="Q532" s="62">
        <v>1</v>
      </c>
      <c r="R532" s="62">
        <f t="shared" si="251"/>
        <v>-3</v>
      </c>
      <c r="AD532" s="221"/>
      <c r="AE532" s="481"/>
      <c r="AF532" s="481"/>
      <c r="AG532" s="481"/>
      <c r="AH532" s="481"/>
      <c r="AI532" s="873">
        <f t="shared" si="243"/>
        <v>12.61</v>
      </c>
      <c r="AJ532" s="26">
        <f t="shared" si="240"/>
        <v>15.99</v>
      </c>
      <c r="AK532" s="26">
        <f t="shared" si="244"/>
        <v>63.96</v>
      </c>
      <c r="AL532" s="224"/>
    </row>
    <row r="533" spans="1:38" ht="71.25" customHeight="1">
      <c r="A533" s="25" t="s">
        <v>2790</v>
      </c>
      <c r="B533" s="24">
        <v>91896</v>
      </c>
      <c r="C533" s="23" t="s">
        <v>1703</v>
      </c>
      <c r="D533" s="25" t="s">
        <v>12</v>
      </c>
      <c r="E533" s="25" t="s">
        <v>17</v>
      </c>
      <c r="F533" s="26">
        <v>1</v>
      </c>
      <c r="G533" s="26">
        <f t="shared" si="233"/>
        <v>10.6335</v>
      </c>
      <c r="H533" s="26">
        <f t="shared" si="255"/>
        <v>13.48</v>
      </c>
      <c r="I533" s="26">
        <f t="shared" si="256"/>
        <v>13.48</v>
      </c>
      <c r="J533" s="65" t="e">
        <f>IF(B533&lt;&gt;0,VLOOKUP(B533,#REF!,4,FALSE),"")</f>
        <v>#REF!</v>
      </c>
      <c r="K533" s="362" t="s">
        <v>3035</v>
      </c>
      <c r="L533" s="65">
        <f t="shared" si="234"/>
        <v>-1.8765000000000001</v>
      </c>
      <c r="M533" s="65">
        <f t="shared" si="235"/>
        <v>10.6335</v>
      </c>
      <c r="N533" s="65"/>
      <c r="O533" s="65">
        <f t="shared" si="236"/>
        <v>13.48</v>
      </c>
      <c r="P533" s="65" t="e">
        <f>IF(B533&lt;&gt;0,VLOOKUP(B533,#REF!,2,FALSE),"")</f>
        <v>#REF!</v>
      </c>
      <c r="Q533" s="2">
        <v>4</v>
      </c>
      <c r="R533" s="62">
        <f t="shared" si="251"/>
        <v>3</v>
      </c>
      <c r="AD533" s="21"/>
      <c r="AE533" s="481"/>
      <c r="AF533" s="481"/>
      <c r="AG533" s="481"/>
      <c r="AH533" s="481"/>
      <c r="AI533" s="873">
        <f t="shared" si="243"/>
        <v>11.85</v>
      </c>
      <c r="AJ533" s="26">
        <f t="shared" si="240"/>
        <v>15.03</v>
      </c>
      <c r="AK533" s="26">
        <f t="shared" si="244"/>
        <v>15.03</v>
      </c>
    </row>
    <row r="534" spans="1:38" ht="60">
      <c r="A534" s="25" t="s">
        <v>2791</v>
      </c>
      <c r="B534" s="24">
        <v>91877</v>
      </c>
      <c r="C534" s="23" t="s">
        <v>1704</v>
      </c>
      <c r="D534" s="25" t="s">
        <v>12</v>
      </c>
      <c r="E534" s="25" t="s">
        <v>17</v>
      </c>
      <c r="F534" s="26">
        <v>4</v>
      </c>
      <c r="G534" s="26">
        <f t="shared" ref="G534:G596" si="257">K534-(K534*$L$14)</f>
        <v>6.681</v>
      </c>
      <c r="H534" s="26">
        <f t="shared" si="255"/>
        <v>8.4700000000000006</v>
      </c>
      <c r="I534" s="26">
        <f t="shared" si="256"/>
        <v>33.880000000000003</v>
      </c>
      <c r="J534" s="65" t="e">
        <f>IF(B534&lt;&gt;0,VLOOKUP(B534,#REF!,4,FALSE),"")</f>
        <v>#REF!</v>
      </c>
      <c r="K534" s="362" t="s">
        <v>3037</v>
      </c>
      <c r="L534" s="65">
        <f t="shared" ref="L534:L596" si="258">G534-K534</f>
        <v>-1.1790000000000003</v>
      </c>
      <c r="M534" s="65">
        <f t="shared" ref="M534:M597" si="259">F534*G534</f>
        <v>26.724</v>
      </c>
      <c r="N534" s="65"/>
      <c r="O534" s="65">
        <f t="shared" ref="O534:O597" si="260">F534*H534</f>
        <v>33.880000000000003</v>
      </c>
      <c r="P534" s="65" t="e">
        <f>IF(B534&lt;&gt;0,VLOOKUP(B534,#REF!,2,FALSE),"")</f>
        <v>#REF!</v>
      </c>
      <c r="Q534" s="2">
        <v>2</v>
      </c>
      <c r="R534" s="62">
        <f t="shared" si="251"/>
        <v>-2</v>
      </c>
      <c r="AD534" s="21"/>
      <c r="AE534" s="481"/>
      <c r="AF534" s="481"/>
      <c r="AG534" s="481"/>
      <c r="AH534" s="481"/>
      <c r="AI534" s="873">
        <f t="shared" si="243"/>
        <v>7.44</v>
      </c>
      <c r="AJ534" s="26">
        <f t="shared" si="240"/>
        <v>9.43</v>
      </c>
      <c r="AK534" s="26">
        <f t="shared" si="244"/>
        <v>37.72</v>
      </c>
    </row>
    <row r="535" spans="1:38" ht="45">
      <c r="A535" s="25" t="s">
        <v>2792</v>
      </c>
      <c r="B535" s="24">
        <v>91873</v>
      </c>
      <c r="C535" s="23" t="s">
        <v>1665</v>
      </c>
      <c r="D535" s="25" t="s">
        <v>12</v>
      </c>
      <c r="E535" s="25" t="s">
        <v>52</v>
      </c>
      <c r="F535" s="26">
        <v>2</v>
      </c>
      <c r="G535" s="26">
        <f t="shared" si="257"/>
        <v>11.8065</v>
      </c>
      <c r="H535" s="26">
        <f t="shared" si="255"/>
        <v>14.97</v>
      </c>
      <c r="I535" s="26">
        <f t="shared" si="256"/>
        <v>29.94</v>
      </c>
      <c r="J535" s="65" t="e">
        <f>IF(B535&lt;&gt;0,VLOOKUP(B535,#REF!,4,FALSE),"")</f>
        <v>#REF!</v>
      </c>
      <c r="K535" s="362" t="s">
        <v>3157</v>
      </c>
      <c r="L535" s="65">
        <f t="shared" si="258"/>
        <v>-2.0835000000000008</v>
      </c>
      <c r="M535" s="65">
        <f t="shared" si="259"/>
        <v>23.613</v>
      </c>
      <c r="N535" s="65"/>
      <c r="O535" s="65">
        <f t="shared" si="260"/>
        <v>29.94</v>
      </c>
      <c r="P535" s="65" t="e">
        <f>IF(B535&lt;&gt;0,VLOOKUP(B535,#REF!,2,FALSE),"")</f>
        <v>#REF!</v>
      </c>
      <c r="Q535" s="2">
        <v>1</v>
      </c>
      <c r="R535" s="62">
        <f t="shared" si="251"/>
        <v>-1</v>
      </c>
      <c r="AD535" s="21"/>
      <c r="AE535" s="481"/>
      <c r="AF535" s="481"/>
      <c r="AG535" s="481"/>
      <c r="AH535" s="481"/>
      <c r="AI535" s="873">
        <f t="shared" si="243"/>
        <v>13.15</v>
      </c>
      <c r="AJ535" s="26">
        <f t="shared" si="240"/>
        <v>16.68</v>
      </c>
      <c r="AK535" s="26">
        <f t="shared" si="244"/>
        <v>33.36</v>
      </c>
    </row>
    <row r="536" spans="1:38" ht="15" customHeight="1">
      <c r="A536" s="25" t="s">
        <v>2793</v>
      </c>
      <c r="B536" s="24">
        <v>91920</v>
      </c>
      <c r="C536" s="23" t="s">
        <v>1666</v>
      </c>
      <c r="D536" s="25" t="s">
        <v>12</v>
      </c>
      <c r="E536" s="25" t="s">
        <v>17</v>
      </c>
      <c r="F536" s="26">
        <v>1</v>
      </c>
      <c r="G536" s="26">
        <f t="shared" si="257"/>
        <v>11.942500000000001</v>
      </c>
      <c r="H536" s="26">
        <f t="shared" si="255"/>
        <v>15.14</v>
      </c>
      <c r="I536" s="26">
        <f t="shared" si="256"/>
        <v>15.14</v>
      </c>
      <c r="J536" s="65" t="e">
        <f>IF(B536&lt;&gt;0,VLOOKUP(B536,#REF!,4,FALSE),"")</f>
        <v>#REF!</v>
      </c>
      <c r="K536" s="362" t="s">
        <v>3210</v>
      </c>
      <c r="L536" s="65">
        <f t="shared" si="258"/>
        <v>-2.1074999999999999</v>
      </c>
      <c r="M536" s="65">
        <f t="shared" si="259"/>
        <v>11.942500000000001</v>
      </c>
      <c r="N536" s="65"/>
      <c r="O536" s="65">
        <f t="shared" si="260"/>
        <v>15.14</v>
      </c>
      <c r="P536" s="65" t="e">
        <f>IF(B536&lt;&gt;0,VLOOKUP(B536,#REF!,2,FALSE),"")</f>
        <v>#REF!</v>
      </c>
      <c r="Q536" s="2">
        <v>3</v>
      </c>
      <c r="R536" s="62">
        <f t="shared" si="251"/>
        <v>2</v>
      </c>
      <c r="AD536" s="21"/>
      <c r="AE536" s="481"/>
      <c r="AF536" s="481"/>
      <c r="AG536" s="481"/>
      <c r="AH536" s="481"/>
      <c r="AI536" s="873">
        <f t="shared" si="243"/>
        <v>13.3</v>
      </c>
      <c r="AJ536" s="26">
        <f t="shared" si="240"/>
        <v>16.87</v>
      </c>
      <c r="AK536" s="26">
        <f t="shared" si="244"/>
        <v>16.87</v>
      </c>
    </row>
    <row r="537" spans="1:38" s="62" customFormat="1" ht="60">
      <c r="A537" s="25" t="s">
        <v>2794</v>
      </c>
      <c r="B537" s="24">
        <v>91886</v>
      </c>
      <c r="C537" s="23" t="s">
        <v>1667</v>
      </c>
      <c r="D537" s="25" t="s">
        <v>12</v>
      </c>
      <c r="E537" s="25" t="s">
        <v>17</v>
      </c>
      <c r="F537" s="26">
        <v>3</v>
      </c>
      <c r="G537" s="26">
        <f t="shared" si="257"/>
        <v>7.5565000000000007</v>
      </c>
      <c r="H537" s="26">
        <f t="shared" si="255"/>
        <v>9.58</v>
      </c>
      <c r="I537" s="26">
        <f t="shared" si="256"/>
        <v>28.74</v>
      </c>
      <c r="J537" s="65" t="e">
        <f>IF(B537&lt;&gt;0,VLOOKUP(B537,#REF!,4,FALSE),"")</f>
        <v>#REF!</v>
      </c>
      <c r="K537" s="362" t="s">
        <v>1907</v>
      </c>
      <c r="L537" s="65">
        <f t="shared" si="258"/>
        <v>-1.3334999999999999</v>
      </c>
      <c r="M537" s="65">
        <f t="shared" si="259"/>
        <v>22.669500000000003</v>
      </c>
      <c r="N537" s="65"/>
      <c r="O537" s="65">
        <f t="shared" si="260"/>
        <v>28.740000000000002</v>
      </c>
      <c r="P537" s="65" t="e">
        <f>IF(B537&lt;&gt;0,VLOOKUP(B537,#REF!,2,FALSE),"")</f>
        <v>#REF!</v>
      </c>
      <c r="Q537" s="62">
        <v>1</v>
      </c>
      <c r="R537" s="62">
        <f t="shared" si="251"/>
        <v>-2</v>
      </c>
      <c r="AD537" s="221"/>
      <c r="AE537" s="481"/>
      <c r="AF537" s="481"/>
      <c r="AG537" s="481"/>
      <c r="AH537" s="481"/>
      <c r="AI537" s="873">
        <f t="shared" si="243"/>
        <v>8.42</v>
      </c>
      <c r="AJ537" s="26">
        <f t="shared" si="240"/>
        <v>10.68</v>
      </c>
      <c r="AK537" s="26">
        <f t="shared" si="244"/>
        <v>32.04</v>
      </c>
      <c r="AL537" s="224"/>
    </row>
    <row r="538" spans="1:38" s="62" customFormat="1" ht="30">
      <c r="A538" s="25" t="s">
        <v>2795</v>
      </c>
      <c r="B538" s="24">
        <v>725</v>
      </c>
      <c r="C538" s="23" t="s">
        <v>207</v>
      </c>
      <c r="D538" s="25" t="s">
        <v>44</v>
      </c>
      <c r="E538" s="25" t="s">
        <v>17</v>
      </c>
      <c r="F538" s="26">
        <v>1</v>
      </c>
      <c r="G538" s="26">
        <f t="shared" si="257"/>
        <v>5.5419999999999998</v>
      </c>
      <c r="H538" s="26">
        <f t="shared" si="255"/>
        <v>7.03</v>
      </c>
      <c r="I538" s="26">
        <f t="shared" si="256"/>
        <v>7.03</v>
      </c>
      <c r="J538" s="64">
        <f>'COMPOSIÇÃO DE CUSTOS'!G1172</f>
        <v>5.55</v>
      </c>
      <c r="K538" s="362">
        <v>6.52</v>
      </c>
      <c r="L538" s="65">
        <f t="shared" si="258"/>
        <v>-0.97799999999999976</v>
      </c>
      <c r="M538" s="65">
        <f t="shared" si="259"/>
        <v>5.5419999999999998</v>
      </c>
      <c r="N538" s="65"/>
      <c r="O538" s="65">
        <f t="shared" si="260"/>
        <v>7.03</v>
      </c>
      <c r="P538" s="65" t="e">
        <f>IF(B538&lt;&gt;0,VLOOKUP(B538,#REF!,2,FALSE),"")</f>
        <v>#REF!</v>
      </c>
      <c r="Q538" s="62">
        <v>9</v>
      </c>
      <c r="R538" s="62">
        <f t="shared" si="251"/>
        <v>8</v>
      </c>
      <c r="AD538" s="221"/>
      <c r="AE538" s="481"/>
      <c r="AF538" s="481"/>
      <c r="AG538" s="481"/>
      <c r="AH538" s="481"/>
      <c r="AI538" s="873">
        <f t="shared" si="243"/>
        <v>6.17</v>
      </c>
      <c r="AJ538" s="26">
        <f t="shared" si="240"/>
        <v>7.82</v>
      </c>
      <c r="AK538" s="26">
        <f t="shared" si="244"/>
        <v>7.82</v>
      </c>
      <c r="AL538" s="224"/>
    </row>
    <row r="539" spans="1:38" s="62" customFormat="1" ht="30">
      <c r="A539" s="25" t="s">
        <v>2796</v>
      </c>
      <c r="B539" s="24">
        <v>723</v>
      </c>
      <c r="C539" s="23" t="s">
        <v>1765</v>
      </c>
      <c r="D539" s="25" t="s">
        <v>44</v>
      </c>
      <c r="E539" s="25" t="s">
        <v>17</v>
      </c>
      <c r="F539" s="26">
        <v>9</v>
      </c>
      <c r="G539" s="26">
        <f t="shared" si="257"/>
        <v>3.4085000000000001</v>
      </c>
      <c r="H539" s="26">
        <f t="shared" si="255"/>
        <v>4.32</v>
      </c>
      <c r="I539" s="26">
        <f t="shared" si="256"/>
        <v>38.880000000000003</v>
      </c>
      <c r="J539" s="64">
        <f>'COMPOSIÇÃO DE CUSTOS'!G1307</f>
        <v>3.41</v>
      </c>
      <c r="K539" s="362">
        <v>4.01</v>
      </c>
      <c r="L539" s="65">
        <f t="shared" si="258"/>
        <v>-0.6014999999999997</v>
      </c>
      <c r="M539" s="65">
        <f t="shared" si="259"/>
        <v>30.676500000000001</v>
      </c>
      <c r="N539" s="65"/>
      <c r="O539" s="65">
        <f t="shared" si="260"/>
        <v>38.880000000000003</v>
      </c>
      <c r="P539" s="65" t="e">
        <f>IF(B539&lt;&gt;0,VLOOKUP(B539,#REF!,2,FALSE),"")</f>
        <v>#REF!</v>
      </c>
      <c r="R539" s="62">
        <f t="shared" si="251"/>
        <v>-9</v>
      </c>
      <c r="AD539" s="221"/>
      <c r="AE539" s="481"/>
      <c r="AF539" s="481"/>
      <c r="AG539" s="481"/>
      <c r="AH539" s="481"/>
      <c r="AI539" s="873">
        <f t="shared" si="243"/>
        <v>3.8</v>
      </c>
      <c r="AJ539" s="26">
        <f t="shared" si="240"/>
        <v>4.82</v>
      </c>
      <c r="AK539" s="26">
        <f t="shared" si="244"/>
        <v>43.38</v>
      </c>
      <c r="AL539" s="224"/>
    </row>
    <row r="540" spans="1:38" s="62" customFormat="1">
      <c r="A540" s="77" t="s">
        <v>2797</v>
      </c>
      <c r="B540" s="139"/>
      <c r="C540" s="340" t="s">
        <v>214</v>
      </c>
      <c r="D540" s="341"/>
      <c r="E540" s="341"/>
      <c r="F540" s="341"/>
      <c r="G540" s="26"/>
      <c r="H540" s="341"/>
      <c r="I540" s="96"/>
      <c r="J540" s="65" t="str">
        <f>IF(B540&lt;&gt;0,VLOOKUP(B540,#REF!,4,FALSE),"")</f>
        <v/>
      </c>
      <c r="K540" s="362" t="s">
        <v>1892</v>
      </c>
      <c r="L540" s="65"/>
      <c r="M540" s="65">
        <f t="shared" si="259"/>
        <v>0</v>
      </c>
      <c r="N540" s="65"/>
      <c r="O540" s="65">
        <f t="shared" si="260"/>
        <v>0</v>
      </c>
      <c r="P540" s="65" t="str">
        <f>IF(B540&lt;&gt;0,VLOOKUP(B540,#REF!,2,FALSE),"")</f>
        <v/>
      </c>
      <c r="Q540" s="62">
        <v>678</v>
      </c>
      <c r="R540" s="62">
        <f t="shared" si="251"/>
        <v>678</v>
      </c>
      <c r="AD540" s="221"/>
      <c r="AE540" s="481"/>
      <c r="AF540" s="481"/>
      <c r="AG540" s="481"/>
      <c r="AH540" s="481"/>
      <c r="AI540" s="873"/>
      <c r="AJ540" s="26"/>
      <c r="AK540" s="26"/>
      <c r="AL540" s="224"/>
    </row>
    <row r="541" spans="1:38" s="34" customFormat="1" ht="45">
      <c r="A541" s="472" t="s">
        <v>2798</v>
      </c>
      <c r="B541" s="475">
        <v>98297</v>
      </c>
      <c r="C541" s="471" t="s">
        <v>2505</v>
      </c>
      <c r="D541" s="472" t="s">
        <v>12</v>
      </c>
      <c r="E541" s="472" t="s">
        <v>52</v>
      </c>
      <c r="F541" s="473">
        <v>678</v>
      </c>
      <c r="G541" s="473">
        <f t="shared" si="257"/>
        <v>1.7765</v>
      </c>
      <c r="H541" s="473">
        <f>ROUND(G541*(1+$J$13),2)</f>
        <v>2.25</v>
      </c>
      <c r="I541" s="473">
        <f t="shared" ref="I541" si="261">ROUND(H541*F541,2)</f>
        <v>1525.5</v>
      </c>
      <c r="J541" s="47" t="e">
        <f>IF(B541&lt;&gt;0,VLOOKUP(B541,#REF!,4,FALSE),"")</f>
        <v>#REF!</v>
      </c>
      <c r="K541" s="378" t="s">
        <v>2643</v>
      </c>
      <c r="L541" s="47">
        <f t="shared" si="258"/>
        <v>-0.31349999999999989</v>
      </c>
      <c r="M541" s="47">
        <f t="shared" si="259"/>
        <v>1204.4669999999999</v>
      </c>
      <c r="N541" s="47"/>
      <c r="O541" s="47">
        <f t="shared" si="260"/>
        <v>1525.5</v>
      </c>
      <c r="P541" s="47" t="e">
        <f>IF(B541&lt;&gt;0,VLOOKUP(B541,#REF!,2,FALSE),"")</f>
        <v>#REF!</v>
      </c>
      <c r="R541" s="34">
        <f t="shared" si="251"/>
        <v>-678</v>
      </c>
      <c r="AD541" s="577"/>
      <c r="AE541" s="502"/>
      <c r="AF541" s="502"/>
      <c r="AG541" s="502"/>
      <c r="AH541" s="502"/>
      <c r="AI541" s="872">
        <f>AL541</f>
        <v>3.74</v>
      </c>
      <c r="AJ541" s="473">
        <f>ROUND(AI541*(1+$J$13),2)</f>
        <v>4.74</v>
      </c>
      <c r="AK541" s="473">
        <f>ROUND(AJ541*F541,2)</f>
        <v>3213.72</v>
      </c>
      <c r="AL541" s="788">
        <f>AL479</f>
        <v>3.74</v>
      </c>
    </row>
    <row r="542" spans="1:38" s="62" customFormat="1" ht="22.5" customHeight="1">
      <c r="A542" s="77" t="s">
        <v>2799</v>
      </c>
      <c r="B542" s="139"/>
      <c r="C542" s="340" t="s">
        <v>216</v>
      </c>
      <c r="D542" s="341"/>
      <c r="E542" s="341"/>
      <c r="F542" s="341"/>
      <c r="G542" s="26"/>
      <c r="H542" s="341"/>
      <c r="I542" s="96"/>
      <c r="J542" s="65" t="str">
        <f>IF(B542&lt;&gt;0,VLOOKUP(B542,#REF!,4,FALSE),"")</f>
        <v/>
      </c>
      <c r="K542" s="362" t="s">
        <v>1892</v>
      </c>
      <c r="L542" s="65"/>
      <c r="M542" s="65">
        <f t="shared" si="259"/>
        <v>0</v>
      </c>
      <c r="N542" s="65"/>
      <c r="O542" s="65">
        <f t="shared" si="260"/>
        <v>0</v>
      </c>
      <c r="P542" s="65" t="str">
        <f>IF(B542&lt;&gt;0,VLOOKUP(B542,#REF!,2,FALSE),"")</f>
        <v/>
      </c>
      <c r="Q542" s="62">
        <v>2</v>
      </c>
      <c r="R542" s="62">
        <f t="shared" si="251"/>
        <v>2</v>
      </c>
      <c r="AD542" s="221"/>
      <c r="AE542" s="481"/>
      <c r="AF542" s="481"/>
      <c r="AG542" s="481"/>
      <c r="AH542" s="481"/>
      <c r="AI542" s="873"/>
      <c r="AJ542" s="26"/>
      <c r="AK542" s="26"/>
      <c r="AL542" s="224"/>
    </row>
    <row r="543" spans="1:38" s="62" customFormat="1" ht="45">
      <c r="A543" s="25" t="s">
        <v>2800</v>
      </c>
      <c r="B543" s="24">
        <v>95795</v>
      </c>
      <c r="C543" s="23" t="s">
        <v>1707</v>
      </c>
      <c r="D543" s="25" t="s">
        <v>12</v>
      </c>
      <c r="E543" s="25" t="s">
        <v>17</v>
      </c>
      <c r="F543" s="26">
        <v>2</v>
      </c>
      <c r="G543" s="26">
        <f t="shared" si="257"/>
        <v>21.488</v>
      </c>
      <c r="H543" s="26">
        <f>ROUND(G543*(1+$J$13),2)</f>
        <v>27.25</v>
      </c>
      <c r="I543" s="26">
        <f t="shared" ref="I543:I544" si="262">ROUND(H543*F543,2)</f>
        <v>54.5</v>
      </c>
      <c r="J543" s="64" t="e">
        <f>IF(B543&lt;&gt;0,VLOOKUP(B543,#REF!,4,FALSE),"")</f>
        <v>#REF!</v>
      </c>
      <c r="K543" s="362" t="s">
        <v>3238</v>
      </c>
      <c r="L543" s="65">
        <f t="shared" si="258"/>
        <v>-3.7920000000000016</v>
      </c>
      <c r="M543" s="65">
        <f t="shared" si="259"/>
        <v>42.975999999999999</v>
      </c>
      <c r="N543" s="65"/>
      <c r="O543" s="65">
        <f t="shared" si="260"/>
        <v>54.5</v>
      </c>
      <c r="P543" s="65" t="e">
        <f>IF(B543&lt;&gt;0,VLOOKUP(B543,#REF!,2,FALSE),"")</f>
        <v>#REF!</v>
      </c>
      <c r="Q543" s="62">
        <v>2</v>
      </c>
      <c r="R543" s="62">
        <f t="shared" si="251"/>
        <v>0</v>
      </c>
      <c r="AD543" s="221"/>
      <c r="AE543" s="481"/>
      <c r="AF543" s="481"/>
      <c r="AG543" s="481"/>
      <c r="AH543" s="481"/>
      <c r="AI543" s="873">
        <f t="shared" si="243"/>
        <v>23.94</v>
      </c>
      <c r="AJ543" s="26">
        <f t="shared" si="240"/>
        <v>30.36</v>
      </c>
      <c r="AK543" s="26">
        <f t="shared" si="244"/>
        <v>60.72</v>
      </c>
      <c r="AL543" s="224"/>
    </row>
    <row r="544" spans="1:38" s="62" customFormat="1" ht="15" customHeight="1">
      <c r="A544" s="25" t="s">
        <v>2801</v>
      </c>
      <c r="B544" s="24" t="s">
        <v>2285</v>
      </c>
      <c r="C544" s="23" t="s">
        <v>228</v>
      </c>
      <c r="D544" s="25" t="s">
        <v>70</v>
      </c>
      <c r="E544" s="25" t="s">
        <v>17</v>
      </c>
      <c r="F544" s="26">
        <v>2</v>
      </c>
      <c r="G544" s="26">
        <f t="shared" si="257"/>
        <v>43.978999999999999</v>
      </c>
      <c r="H544" s="26">
        <f>ROUND(G544*(1+$J$13),2)</f>
        <v>55.77</v>
      </c>
      <c r="I544" s="26">
        <f t="shared" si="262"/>
        <v>111.54</v>
      </c>
      <c r="J544" s="64">
        <f>'COMPOSIÇÃO DE CUSTOS'!G1314</f>
        <v>43.97</v>
      </c>
      <c r="K544" s="362">
        <v>51.74</v>
      </c>
      <c r="L544" s="65">
        <f t="shared" si="258"/>
        <v>-7.7610000000000028</v>
      </c>
      <c r="M544" s="65">
        <f t="shared" si="259"/>
        <v>87.957999999999998</v>
      </c>
      <c r="N544" s="65"/>
      <c r="O544" s="65">
        <f t="shared" si="260"/>
        <v>111.54</v>
      </c>
      <c r="P544" s="65" t="e">
        <f>IF(B544&lt;&gt;0,VLOOKUP(B544,#REF!,2,FALSE),"")</f>
        <v>#REF!</v>
      </c>
      <c r="R544" s="62">
        <f t="shared" si="251"/>
        <v>-2</v>
      </c>
      <c r="AD544" s="221"/>
      <c r="AE544" s="481"/>
      <c r="AF544" s="481"/>
      <c r="AG544" s="481"/>
      <c r="AH544" s="481"/>
      <c r="AI544" s="873">
        <f t="shared" si="243"/>
        <v>48.99</v>
      </c>
      <c r="AJ544" s="26">
        <f t="shared" si="240"/>
        <v>62.12</v>
      </c>
      <c r="AK544" s="26">
        <f t="shared" si="244"/>
        <v>124.24</v>
      </c>
      <c r="AL544" s="224"/>
    </row>
    <row r="545" spans="1:38" s="62" customFormat="1">
      <c r="A545" s="25"/>
      <c r="B545" s="24"/>
      <c r="C545" s="23"/>
      <c r="D545" s="25"/>
      <c r="E545" s="25"/>
      <c r="F545" s="26"/>
      <c r="G545" s="26"/>
      <c r="H545" s="26"/>
      <c r="I545" s="26"/>
      <c r="J545" s="64" t="str">
        <f>IF(B545&lt;&gt;0,VLOOKUP(B545,#REF!,4,FALSE),"")</f>
        <v/>
      </c>
      <c r="K545" s="362" t="s">
        <v>1892</v>
      </c>
      <c r="L545" s="65"/>
      <c r="M545" s="65">
        <f t="shared" si="259"/>
        <v>0</v>
      </c>
      <c r="N545" s="65"/>
      <c r="O545" s="65">
        <f t="shared" si="260"/>
        <v>0</v>
      </c>
      <c r="P545" s="65" t="str">
        <f>IF(B545&lt;&gt;0,VLOOKUP(B545,#REF!,2,FALSE),"")</f>
        <v/>
      </c>
      <c r="R545" s="62">
        <f t="shared" si="251"/>
        <v>0</v>
      </c>
      <c r="AD545" s="221"/>
      <c r="AE545" s="481"/>
      <c r="AF545" s="481"/>
      <c r="AG545" s="481"/>
      <c r="AH545" s="481"/>
      <c r="AI545" s="552"/>
      <c r="AJ545" s="27"/>
      <c r="AK545" s="27"/>
      <c r="AL545" s="224"/>
    </row>
    <row r="546" spans="1:38" s="62" customFormat="1">
      <c r="A546" s="77" t="s">
        <v>1094</v>
      </c>
      <c r="B546" s="139"/>
      <c r="C546" s="340" t="s">
        <v>236</v>
      </c>
      <c r="D546" s="341"/>
      <c r="E546" s="341"/>
      <c r="F546" s="341"/>
      <c r="G546" s="26"/>
      <c r="H546" s="341"/>
      <c r="I546" s="96">
        <f>ROUND(SUM(I547:I548),2)</f>
        <v>88315.15</v>
      </c>
      <c r="J546" s="64" t="str">
        <f>IF(B546&lt;&gt;0,VLOOKUP(B546,#REF!,4,FALSE),"")</f>
        <v/>
      </c>
      <c r="K546" s="362" t="s">
        <v>1892</v>
      </c>
      <c r="L546" s="65"/>
      <c r="M546" s="65">
        <f t="shared" si="259"/>
        <v>0</v>
      </c>
      <c r="N546" s="65"/>
      <c r="O546" s="65">
        <f t="shared" si="260"/>
        <v>0</v>
      </c>
      <c r="P546" s="65" t="str">
        <f>IF(B546&lt;&gt;0,VLOOKUP(B546,#REF!,2,FALSE),"")</f>
        <v/>
      </c>
      <c r="Q546" s="62">
        <v>2</v>
      </c>
      <c r="R546" s="62">
        <f t="shared" si="251"/>
        <v>2</v>
      </c>
      <c r="AD546" s="221"/>
      <c r="AE546" s="481"/>
      <c r="AF546" s="481"/>
      <c r="AG546" s="481"/>
      <c r="AH546" s="481"/>
      <c r="AI546" s="855"/>
      <c r="AJ546" s="481"/>
      <c r="AK546" s="548">
        <f>ROUND(SUM(AK547:AK548),2)</f>
        <v>62906.89</v>
      </c>
      <c r="AL546" s="224"/>
    </row>
    <row r="547" spans="1:38" s="34" customFormat="1" ht="30">
      <c r="A547" s="515" t="s">
        <v>2802</v>
      </c>
      <c r="B547" s="475">
        <v>1843</v>
      </c>
      <c r="C547" s="471" t="s">
        <v>2428</v>
      </c>
      <c r="D547" s="472" t="s">
        <v>44</v>
      </c>
      <c r="E547" s="472" t="s">
        <v>17</v>
      </c>
      <c r="F547" s="473">
        <v>2</v>
      </c>
      <c r="G547" s="473">
        <f t="shared" si="257"/>
        <v>8421.6130000000012</v>
      </c>
      <c r="H547" s="473">
        <f>ROUND(G547*(1+$J$13),2)</f>
        <v>10679.45</v>
      </c>
      <c r="I547" s="473">
        <f t="shared" ref="I547:I548" si="263">ROUND(H547*F547,2)</f>
        <v>21358.9</v>
      </c>
      <c r="J547" s="474">
        <f>'COMPOSIÇÃO DE CUSTOS'!G2160</f>
        <v>8421.61</v>
      </c>
      <c r="K547" s="378">
        <v>9907.7800000000007</v>
      </c>
      <c r="L547" s="47">
        <f t="shared" si="258"/>
        <v>-1486.1669999999995</v>
      </c>
      <c r="M547" s="47">
        <f t="shared" si="259"/>
        <v>16843.226000000002</v>
      </c>
      <c r="N547" s="47"/>
      <c r="O547" s="47">
        <f t="shared" si="260"/>
        <v>21358.9</v>
      </c>
      <c r="P547" s="47" t="e">
        <f>IF(B547&lt;&gt;0,VLOOKUP(B547,#REF!,2,FALSE),"")</f>
        <v>#REF!</v>
      </c>
      <c r="Q547" s="34">
        <v>3</v>
      </c>
      <c r="R547" s="34">
        <f t="shared" si="251"/>
        <v>1</v>
      </c>
      <c r="AD547" s="577"/>
      <c r="AE547" s="502"/>
      <c r="AF547" s="502"/>
      <c r="AG547" s="502"/>
      <c r="AH547" s="502"/>
      <c r="AI547" s="879">
        <f>AL547</f>
        <v>12353.6</v>
      </c>
      <c r="AJ547" s="473">
        <f>ROUND(AI547*(1+$J$13),2)</f>
        <v>15665.6</v>
      </c>
      <c r="AK547" s="562">
        <f>ROUND(AJ547*F547,2)</f>
        <v>31331.200000000001</v>
      </c>
      <c r="AL547" s="788">
        <f>'COMPOSIÇÃO AB'!G766</f>
        <v>12353.6</v>
      </c>
    </row>
    <row r="548" spans="1:38" s="34" customFormat="1" ht="75">
      <c r="A548" s="515" t="s">
        <v>2803</v>
      </c>
      <c r="B548" s="475">
        <v>11064</v>
      </c>
      <c r="C548" s="471" t="s">
        <v>2209</v>
      </c>
      <c r="D548" s="472" t="s">
        <v>44</v>
      </c>
      <c r="E548" s="472" t="s">
        <v>17</v>
      </c>
      <c r="F548" s="473">
        <v>3</v>
      </c>
      <c r="G548" s="473">
        <f t="shared" si="257"/>
        <v>17600.151000000002</v>
      </c>
      <c r="H548" s="473">
        <f>ROUND(G548*(1+$J$13),2)</f>
        <v>22318.75</v>
      </c>
      <c r="I548" s="473">
        <f t="shared" si="263"/>
        <v>66956.25</v>
      </c>
      <c r="J548" s="474">
        <f>'COMPOSIÇÃO DE CUSTOS'!G2165</f>
        <v>17600.150000000001</v>
      </c>
      <c r="K548" s="378">
        <v>20706.060000000001</v>
      </c>
      <c r="L548" s="47">
        <f t="shared" si="258"/>
        <v>-3105.9089999999997</v>
      </c>
      <c r="M548" s="47">
        <f t="shared" si="259"/>
        <v>52800.453000000009</v>
      </c>
      <c r="N548" s="47"/>
      <c r="O548" s="47">
        <f t="shared" si="260"/>
        <v>66956.25</v>
      </c>
      <c r="P548" s="47" t="e">
        <f>IF(B548&lt;&gt;0,VLOOKUP(B548,#REF!,2,FALSE),"")</f>
        <v>#REF!</v>
      </c>
      <c r="R548" s="34">
        <f t="shared" si="251"/>
        <v>-3</v>
      </c>
      <c r="AD548" s="577"/>
      <c r="AE548" s="502"/>
      <c r="AF548" s="502"/>
      <c r="AG548" s="502"/>
      <c r="AH548" s="502"/>
      <c r="AI548" s="879">
        <f>AL548</f>
        <v>8300</v>
      </c>
      <c r="AJ548" s="473">
        <f>ROUND(AI548*(1+$J$13),2)</f>
        <v>10525.23</v>
      </c>
      <c r="AK548" s="562">
        <f>ROUND(AJ548*F548,2)</f>
        <v>31575.69</v>
      </c>
      <c r="AL548" s="788">
        <f>'COMPOSIÇÃO AB'!G771</f>
        <v>8300</v>
      </c>
    </row>
    <row r="549" spans="1:38" s="62" customFormat="1">
      <c r="A549" s="25"/>
      <c r="B549" s="24"/>
      <c r="C549" s="23"/>
      <c r="D549" s="25"/>
      <c r="E549" s="25"/>
      <c r="F549" s="26"/>
      <c r="G549" s="26"/>
      <c r="H549" s="26"/>
      <c r="I549" s="26"/>
      <c r="J549" s="65" t="str">
        <f>IF(B549&lt;&gt;0,VLOOKUP(B549,#REF!,4,FALSE),"")</f>
        <v/>
      </c>
      <c r="K549" s="362" t="s">
        <v>1892</v>
      </c>
      <c r="L549" s="65"/>
      <c r="M549" s="65">
        <f t="shared" si="259"/>
        <v>0</v>
      </c>
      <c r="N549" s="65"/>
      <c r="O549" s="65">
        <f t="shared" si="260"/>
        <v>0</v>
      </c>
      <c r="P549" s="65" t="str">
        <f>IF(B549&lt;&gt;0,VLOOKUP(B549,#REF!,2,FALSE),"")</f>
        <v/>
      </c>
      <c r="R549" s="62">
        <f t="shared" si="251"/>
        <v>0</v>
      </c>
      <c r="AD549" s="221"/>
      <c r="AE549" s="481"/>
      <c r="AF549" s="481"/>
      <c r="AG549" s="481"/>
      <c r="AH549" s="481"/>
      <c r="AI549" s="552"/>
      <c r="AJ549" s="27"/>
      <c r="AK549" s="27"/>
      <c r="AL549" s="224"/>
    </row>
    <row r="550" spans="1:38" ht="26.25" customHeight="1">
      <c r="A550" s="77" t="s">
        <v>1131</v>
      </c>
      <c r="B550" s="139"/>
      <c r="C550" s="340" t="s">
        <v>237</v>
      </c>
      <c r="D550" s="341"/>
      <c r="E550" s="341"/>
      <c r="F550" s="341"/>
      <c r="G550" s="26"/>
      <c r="H550" s="341"/>
      <c r="I550" s="96">
        <f>ROUND(SUM(I552:I590),2)</f>
        <v>35981.67</v>
      </c>
      <c r="J550" s="64" t="str">
        <f>IF(B550&lt;&gt;0,VLOOKUP(B550,#REF!,4,FALSE),"")</f>
        <v/>
      </c>
      <c r="K550" s="362" t="s">
        <v>1892</v>
      </c>
      <c r="L550" s="65"/>
      <c r="M550" s="65">
        <f t="shared" si="259"/>
        <v>0</v>
      </c>
      <c r="N550" s="65"/>
      <c r="O550" s="65">
        <f t="shared" si="260"/>
        <v>0</v>
      </c>
      <c r="P550" s="65" t="str">
        <f>IF(B550&lt;&gt;0,VLOOKUP(B550,#REF!,2,FALSE),"")</f>
        <v/>
      </c>
      <c r="R550" s="62">
        <f t="shared" si="251"/>
        <v>0</v>
      </c>
      <c r="AD550" s="21"/>
      <c r="AE550" s="481"/>
      <c r="AF550" s="481"/>
      <c r="AG550" s="481"/>
      <c r="AH550" s="481"/>
      <c r="AI550" s="855"/>
      <c r="AJ550" s="481"/>
      <c r="AK550" s="548">
        <f>ROUND(SUM(AK552:AK590),2)</f>
        <v>43996.93</v>
      </c>
    </row>
    <row r="551" spans="1:38" s="45" customFormat="1">
      <c r="A551" s="77" t="s">
        <v>1132</v>
      </c>
      <c r="B551" s="139"/>
      <c r="C551" s="340" t="s">
        <v>193</v>
      </c>
      <c r="D551" s="341"/>
      <c r="E551" s="341"/>
      <c r="F551" s="341"/>
      <c r="G551" s="26"/>
      <c r="H551" s="341"/>
      <c r="I551" s="96"/>
      <c r="J551" s="64" t="str">
        <f>IF(B551&lt;&gt;0,VLOOKUP(B551,#REF!,4,FALSE),"")</f>
        <v/>
      </c>
      <c r="K551" s="362" t="s">
        <v>1892</v>
      </c>
      <c r="L551" s="65"/>
      <c r="M551" s="65">
        <f t="shared" si="259"/>
        <v>0</v>
      </c>
      <c r="N551" s="65"/>
      <c r="O551" s="65">
        <f t="shared" si="260"/>
        <v>0</v>
      </c>
      <c r="P551" s="65" t="str">
        <f>IF(B551&lt;&gt;0,VLOOKUP(B551,#REF!,2,FALSE),"")</f>
        <v/>
      </c>
      <c r="Q551" s="45">
        <v>107</v>
      </c>
      <c r="R551" s="62">
        <f t="shared" si="251"/>
        <v>107</v>
      </c>
      <c r="AD551" s="56"/>
      <c r="AE551" s="481"/>
      <c r="AF551" s="481"/>
      <c r="AG551" s="481"/>
      <c r="AH551" s="481"/>
      <c r="AI551" s="855"/>
      <c r="AJ551" s="481"/>
      <c r="AK551" s="481"/>
      <c r="AL551" s="724"/>
    </row>
    <row r="552" spans="1:38" s="62" customFormat="1" ht="48.75" customHeight="1">
      <c r="A552" s="25" t="s">
        <v>1133</v>
      </c>
      <c r="B552" s="24">
        <v>91863</v>
      </c>
      <c r="C552" s="23" t="s">
        <v>1692</v>
      </c>
      <c r="D552" s="25" t="s">
        <v>12</v>
      </c>
      <c r="E552" s="25" t="s">
        <v>52</v>
      </c>
      <c r="F552" s="26">
        <v>107</v>
      </c>
      <c r="G552" s="26">
        <f t="shared" si="257"/>
        <v>6.8849999999999998</v>
      </c>
      <c r="H552" s="26">
        <f t="shared" ref="H552:H571" si="264">ROUND(G552*(1+$J$13),2)</f>
        <v>8.73</v>
      </c>
      <c r="I552" s="26">
        <f t="shared" ref="I552:I571" si="265">ROUND(H552*F552,2)</f>
        <v>934.11</v>
      </c>
      <c r="J552" s="64" t="e">
        <f>IF(B552&lt;&gt;0,VLOOKUP(B552,#REF!,4,FALSE),"")</f>
        <v>#REF!</v>
      </c>
      <c r="K552" s="362" t="s">
        <v>1886</v>
      </c>
      <c r="L552" s="65">
        <f t="shared" si="258"/>
        <v>-1.2149999999999999</v>
      </c>
      <c r="M552" s="65">
        <f t="shared" si="259"/>
        <v>736.69499999999994</v>
      </c>
      <c r="N552" s="65"/>
      <c r="O552" s="65">
        <f t="shared" si="260"/>
        <v>934.11</v>
      </c>
      <c r="P552" s="65" t="e">
        <f>IF(B552&lt;&gt;0,VLOOKUP(B552,#REF!,2,FALSE),"")</f>
        <v>#REF!</v>
      </c>
      <c r="Q552" s="62">
        <v>9</v>
      </c>
      <c r="R552" s="62">
        <f t="shared" si="251"/>
        <v>-98</v>
      </c>
      <c r="AD552" s="221"/>
      <c r="AE552" s="481"/>
      <c r="AF552" s="481"/>
      <c r="AG552" s="481"/>
      <c r="AH552" s="481"/>
      <c r="AI552" s="871">
        <f t="shared" ref="AI552" si="266">ROUND(G552*$AM$11,2)</f>
        <v>7.67</v>
      </c>
      <c r="AJ552" s="158">
        <f t="shared" ref="AJ552:AJ583" si="267">ROUND(AI552*(1+$J$13),2)</f>
        <v>9.73</v>
      </c>
      <c r="AK552" s="158">
        <f t="shared" ref="AK552" si="268">ROUND(AJ552*F552,2)</f>
        <v>1041.1099999999999</v>
      </c>
      <c r="AL552" s="224"/>
    </row>
    <row r="553" spans="1:38" s="62" customFormat="1" ht="60">
      <c r="A553" s="25" t="s">
        <v>2804</v>
      </c>
      <c r="B553" s="24">
        <v>91890</v>
      </c>
      <c r="C553" s="23" t="s">
        <v>1693</v>
      </c>
      <c r="D553" s="25" t="s">
        <v>12</v>
      </c>
      <c r="E553" s="25" t="s">
        <v>17</v>
      </c>
      <c r="F553" s="26">
        <v>9</v>
      </c>
      <c r="G553" s="26">
        <f t="shared" si="257"/>
        <v>6.375</v>
      </c>
      <c r="H553" s="26">
        <f t="shared" si="264"/>
        <v>8.08</v>
      </c>
      <c r="I553" s="26">
        <f t="shared" si="265"/>
        <v>72.72</v>
      </c>
      <c r="J553" s="64" t="e">
        <f>IF(B553&lt;&gt;0,VLOOKUP(B553,#REF!,4,FALSE),"")</f>
        <v>#REF!</v>
      </c>
      <c r="K553" s="362" t="s">
        <v>3225</v>
      </c>
      <c r="L553" s="65">
        <f t="shared" si="258"/>
        <v>-1.125</v>
      </c>
      <c r="M553" s="65">
        <f t="shared" si="259"/>
        <v>57.375</v>
      </c>
      <c r="N553" s="65"/>
      <c r="O553" s="65">
        <f t="shared" si="260"/>
        <v>72.72</v>
      </c>
      <c r="P553" s="65" t="e">
        <f>IF(B553&lt;&gt;0,VLOOKUP(B553,#REF!,2,FALSE),"")</f>
        <v>#REF!</v>
      </c>
      <c r="Q553" s="62">
        <v>54</v>
      </c>
      <c r="R553" s="62">
        <f t="shared" si="251"/>
        <v>45</v>
      </c>
      <c r="AD553" s="221"/>
      <c r="AE553" s="481"/>
      <c r="AF553" s="481"/>
      <c r="AG553" s="481"/>
      <c r="AH553" s="481"/>
      <c r="AI553" s="878">
        <f t="shared" ref="AI553:AI583" si="269">ROUND(G553*$AM$11,2)</f>
        <v>7.1</v>
      </c>
      <c r="AJ553" s="159">
        <f t="shared" si="267"/>
        <v>9</v>
      </c>
      <c r="AK553" s="159">
        <f t="shared" ref="AK553:AK583" si="270">ROUND(AJ553*F553,2)</f>
        <v>81</v>
      </c>
      <c r="AL553" s="224"/>
    </row>
    <row r="554" spans="1:38" s="62" customFormat="1" ht="60">
      <c r="A554" s="25" t="s">
        <v>2805</v>
      </c>
      <c r="B554" s="24">
        <v>91875</v>
      </c>
      <c r="C554" s="23" t="s">
        <v>1694</v>
      </c>
      <c r="D554" s="25" t="s">
        <v>12</v>
      </c>
      <c r="E554" s="25" t="s">
        <v>17</v>
      </c>
      <c r="F554" s="26">
        <v>54</v>
      </c>
      <c r="G554" s="26">
        <f t="shared" si="257"/>
        <v>3.7654999999999998</v>
      </c>
      <c r="H554" s="26">
        <f t="shared" si="264"/>
        <v>4.78</v>
      </c>
      <c r="I554" s="26">
        <f t="shared" si="265"/>
        <v>258.12</v>
      </c>
      <c r="J554" s="64" t="e">
        <f>IF(B554&lt;&gt;0,VLOOKUP(B554,#REF!,4,FALSE),"")</f>
        <v>#REF!</v>
      </c>
      <c r="K554" s="362" t="s">
        <v>1865</v>
      </c>
      <c r="L554" s="65">
        <f t="shared" si="258"/>
        <v>-0.66449999999999987</v>
      </c>
      <c r="M554" s="65">
        <f t="shared" si="259"/>
        <v>203.33699999999999</v>
      </c>
      <c r="N554" s="65"/>
      <c r="O554" s="65">
        <f t="shared" si="260"/>
        <v>258.12</v>
      </c>
      <c r="P554" s="65" t="e">
        <f>IF(B554&lt;&gt;0,VLOOKUP(B554,#REF!,2,FALSE),"")</f>
        <v>#REF!</v>
      </c>
      <c r="Q554" s="62">
        <v>104</v>
      </c>
      <c r="R554" s="62">
        <f t="shared" si="251"/>
        <v>50</v>
      </c>
      <c r="AD554" s="221"/>
      <c r="AE554" s="481"/>
      <c r="AF554" s="481"/>
      <c r="AG554" s="481"/>
      <c r="AH554" s="481"/>
      <c r="AI554" s="873">
        <f t="shared" si="269"/>
        <v>4.1900000000000004</v>
      </c>
      <c r="AJ554" s="26">
        <f t="shared" si="267"/>
        <v>5.31</v>
      </c>
      <c r="AK554" s="26">
        <f t="shared" si="270"/>
        <v>286.74</v>
      </c>
      <c r="AL554" s="224"/>
    </row>
    <row r="555" spans="1:38" s="62" customFormat="1" ht="45">
      <c r="A555" s="25" t="s">
        <v>2806</v>
      </c>
      <c r="B555" s="24">
        <v>91871</v>
      </c>
      <c r="C555" s="23" t="s">
        <v>1695</v>
      </c>
      <c r="D555" s="25" t="s">
        <v>12</v>
      </c>
      <c r="E555" s="25" t="s">
        <v>52</v>
      </c>
      <c r="F555" s="26">
        <v>104</v>
      </c>
      <c r="G555" s="26">
        <f t="shared" si="257"/>
        <v>7.3949999999999996</v>
      </c>
      <c r="H555" s="26">
        <f t="shared" si="264"/>
        <v>9.3800000000000008</v>
      </c>
      <c r="I555" s="26">
        <f t="shared" si="265"/>
        <v>975.52</v>
      </c>
      <c r="J555" s="64" t="e">
        <f>IF(B555&lt;&gt;0,VLOOKUP(B555,#REF!,4,FALSE),"")</f>
        <v>#REF!</v>
      </c>
      <c r="K555" s="362" t="s">
        <v>2648</v>
      </c>
      <c r="L555" s="65">
        <f t="shared" si="258"/>
        <v>-1.3049999999999997</v>
      </c>
      <c r="M555" s="65">
        <f t="shared" si="259"/>
        <v>769.07999999999993</v>
      </c>
      <c r="N555" s="65"/>
      <c r="O555" s="65">
        <f t="shared" si="260"/>
        <v>975.5200000000001</v>
      </c>
      <c r="P555" s="65" t="e">
        <f>IF(B555&lt;&gt;0,VLOOKUP(B555,#REF!,2,FALSE),"")</f>
        <v>#REF!</v>
      </c>
      <c r="Q555" s="62">
        <v>21</v>
      </c>
      <c r="R555" s="62">
        <f t="shared" si="251"/>
        <v>-83</v>
      </c>
      <c r="AD555" s="221"/>
      <c r="AE555" s="481"/>
      <c r="AF555" s="481"/>
      <c r="AG555" s="481"/>
      <c r="AH555" s="481"/>
      <c r="AI555" s="873">
        <f t="shared" si="269"/>
        <v>8.24</v>
      </c>
      <c r="AJ555" s="26">
        <f t="shared" si="267"/>
        <v>10.45</v>
      </c>
      <c r="AK555" s="26">
        <f t="shared" si="270"/>
        <v>1086.8</v>
      </c>
      <c r="AL555" s="224"/>
    </row>
    <row r="556" spans="1:38" s="62" customFormat="1" ht="60">
      <c r="A556" s="25" t="s">
        <v>2807</v>
      </c>
      <c r="B556" s="24">
        <v>91914</v>
      </c>
      <c r="C556" s="23" t="s">
        <v>1696</v>
      </c>
      <c r="D556" s="25" t="s">
        <v>12</v>
      </c>
      <c r="E556" s="25" t="s">
        <v>17</v>
      </c>
      <c r="F556" s="26">
        <v>21</v>
      </c>
      <c r="G556" s="26">
        <f t="shared" si="257"/>
        <v>8.5084999999999997</v>
      </c>
      <c r="H556" s="26">
        <f t="shared" si="264"/>
        <v>10.79</v>
      </c>
      <c r="I556" s="26">
        <f t="shared" si="265"/>
        <v>226.59</v>
      </c>
      <c r="J556" s="64" t="e">
        <f>IF(B556&lt;&gt;0,VLOOKUP(B556,#REF!,4,FALSE),"")</f>
        <v>#REF!</v>
      </c>
      <c r="K556" s="362" t="s">
        <v>1908</v>
      </c>
      <c r="L556" s="65">
        <f t="shared" si="258"/>
        <v>-1.5015000000000001</v>
      </c>
      <c r="M556" s="65">
        <f t="shared" si="259"/>
        <v>178.67849999999999</v>
      </c>
      <c r="N556" s="65"/>
      <c r="O556" s="65">
        <f t="shared" si="260"/>
        <v>226.58999999999997</v>
      </c>
      <c r="P556" s="65" t="e">
        <f>IF(B556&lt;&gt;0,VLOOKUP(B556,#REF!,2,FALSE),"")</f>
        <v>#REF!</v>
      </c>
      <c r="Q556" s="62">
        <v>77</v>
      </c>
      <c r="R556" s="62">
        <f t="shared" si="251"/>
        <v>56</v>
      </c>
      <c r="AD556" s="221"/>
      <c r="AE556" s="481"/>
      <c r="AF556" s="481"/>
      <c r="AG556" s="481"/>
      <c r="AH556" s="481"/>
      <c r="AI556" s="873">
        <f t="shared" si="269"/>
        <v>9.48</v>
      </c>
      <c r="AJ556" s="26">
        <f t="shared" si="267"/>
        <v>12.02</v>
      </c>
      <c r="AK556" s="26">
        <f t="shared" si="270"/>
        <v>252.42</v>
      </c>
      <c r="AL556" s="224"/>
    </row>
    <row r="557" spans="1:38" s="62" customFormat="1" ht="60">
      <c r="A557" s="25" t="s">
        <v>2808</v>
      </c>
      <c r="B557" s="24">
        <v>91884</v>
      </c>
      <c r="C557" s="23" t="s">
        <v>1697</v>
      </c>
      <c r="D557" s="25" t="s">
        <v>12</v>
      </c>
      <c r="E557" s="25" t="s">
        <v>17</v>
      </c>
      <c r="F557" s="26">
        <v>77</v>
      </c>
      <c r="G557" s="26">
        <f t="shared" si="257"/>
        <v>5.1849999999999996</v>
      </c>
      <c r="H557" s="26">
        <f t="shared" si="264"/>
        <v>6.58</v>
      </c>
      <c r="I557" s="26">
        <f t="shared" si="265"/>
        <v>506.66</v>
      </c>
      <c r="J557" s="64" t="e">
        <f>IF(B557&lt;&gt;0,VLOOKUP(B557,#REF!,4,FALSE),"")</f>
        <v>#REF!</v>
      </c>
      <c r="K557" s="362" t="s">
        <v>3141</v>
      </c>
      <c r="L557" s="65">
        <f t="shared" si="258"/>
        <v>-0.91500000000000004</v>
      </c>
      <c r="M557" s="65">
        <f t="shared" si="259"/>
        <v>399.24499999999995</v>
      </c>
      <c r="N557" s="65"/>
      <c r="O557" s="65">
        <f t="shared" si="260"/>
        <v>506.66</v>
      </c>
      <c r="P557" s="65" t="e">
        <f>IF(B557&lt;&gt;0,VLOOKUP(B557,#REF!,2,FALSE),"")</f>
        <v>#REF!</v>
      </c>
      <c r="Q557" s="62">
        <v>31</v>
      </c>
      <c r="R557" s="62">
        <f t="shared" si="251"/>
        <v>-46</v>
      </c>
      <c r="AD557" s="221"/>
      <c r="AE557" s="481"/>
      <c r="AF557" s="481"/>
      <c r="AG557" s="481"/>
      <c r="AH557" s="481"/>
      <c r="AI557" s="873">
        <f t="shared" si="269"/>
        <v>5.78</v>
      </c>
      <c r="AJ557" s="26">
        <f t="shared" si="267"/>
        <v>7.33</v>
      </c>
      <c r="AK557" s="26">
        <f t="shared" si="270"/>
        <v>564.41</v>
      </c>
      <c r="AL557" s="224"/>
    </row>
    <row r="558" spans="1:38" s="62" customFormat="1" ht="15" customHeight="1">
      <c r="A558" s="25" t="s">
        <v>2809</v>
      </c>
      <c r="B558" s="24">
        <v>723</v>
      </c>
      <c r="C558" s="23" t="s">
        <v>1765</v>
      </c>
      <c r="D558" s="25" t="s">
        <v>44</v>
      </c>
      <c r="E558" s="25" t="s">
        <v>17</v>
      </c>
      <c r="F558" s="26">
        <v>31</v>
      </c>
      <c r="G558" s="26">
        <f t="shared" si="257"/>
        <v>3.4085000000000001</v>
      </c>
      <c r="H558" s="26">
        <f t="shared" si="264"/>
        <v>4.32</v>
      </c>
      <c r="I558" s="26">
        <f t="shared" si="265"/>
        <v>133.91999999999999</v>
      </c>
      <c r="J558" s="64">
        <f>'COMPOSIÇÃO DE CUSTOS'!G1307</f>
        <v>3.41</v>
      </c>
      <c r="K558" s="362">
        <v>4.01</v>
      </c>
      <c r="L558" s="65">
        <f t="shared" si="258"/>
        <v>-0.6014999999999997</v>
      </c>
      <c r="M558" s="65">
        <f t="shared" si="259"/>
        <v>105.6635</v>
      </c>
      <c r="N558" s="65"/>
      <c r="O558" s="65">
        <f t="shared" si="260"/>
        <v>133.92000000000002</v>
      </c>
      <c r="P558" s="65" t="e">
        <f>IF(B558&lt;&gt;0,VLOOKUP(B558,#REF!,2,FALSE),"")</f>
        <v>#REF!</v>
      </c>
      <c r="Q558" s="62">
        <v>12</v>
      </c>
      <c r="R558" s="62">
        <f t="shared" si="251"/>
        <v>-19</v>
      </c>
      <c r="AD558" s="221"/>
      <c r="AE558" s="481"/>
      <c r="AF558" s="481"/>
      <c r="AG558" s="481"/>
      <c r="AH558" s="481"/>
      <c r="AI558" s="873">
        <f t="shared" si="269"/>
        <v>3.8</v>
      </c>
      <c r="AJ558" s="26">
        <f t="shared" si="267"/>
        <v>4.82</v>
      </c>
      <c r="AK558" s="26">
        <f t="shared" si="270"/>
        <v>149.41999999999999</v>
      </c>
      <c r="AL558" s="224"/>
    </row>
    <row r="559" spans="1:38" s="62" customFormat="1" ht="30">
      <c r="A559" s="25" t="s">
        <v>2810</v>
      </c>
      <c r="B559" s="24">
        <v>91864</v>
      </c>
      <c r="C559" s="23" t="s">
        <v>194</v>
      </c>
      <c r="D559" s="25" t="s">
        <v>12</v>
      </c>
      <c r="E559" s="25" t="s">
        <v>52</v>
      </c>
      <c r="F559" s="26">
        <v>12</v>
      </c>
      <c r="G559" s="26">
        <f t="shared" si="257"/>
        <v>9.1204999999999998</v>
      </c>
      <c r="H559" s="26">
        <f t="shared" si="264"/>
        <v>11.57</v>
      </c>
      <c r="I559" s="26">
        <f t="shared" si="265"/>
        <v>138.84</v>
      </c>
      <c r="J559" s="64" t="e">
        <f>IF(B559&lt;&gt;0,VLOOKUP(B559,#REF!,4,FALSE),"")</f>
        <v>#REF!</v>
      </c>
      <c r="K559" s="362" t="s">
        <v>1837</v>
      </c>
      <c r="L559" s="65">
        <f t="shared" si="258"/>
        <v>-1.6095000000000006</v>
      </c>
      <c r="M559" s="65">
        <f t="shared" si="259"/>
        <v>109.446</v>
      </c>
      <c r="N559" s="65"/>
      <c r="O559" s="65">
        <f t="shared" si="260"/>
        <v>138.84</v>
      </c>
      <c r="P559" s="65" t="e">
        <f>IF(B559&lt;&gt;0,VLOOKUP(B559,#REF!,2,FALSE),"")</f>
        <v>#REF!</v>
      </c>
      <c r="Q559" s="62">
        <v>4</v>
      </c>
      <c r="R559" s="62">
        <f t="shared" si="251"/>
        <v>-8</v>
      </c>
      <c r="AD559" s="221"/>
      <c r="AE559" s="481"/>
      <c r="AF559" s="481"/>
      <c r="AG559" s="481"/>
      <c r="AH559" s="481"/>
      <c r="AI559" s="873">
        <f t="shared" si="269"/>
        <v>10.16</v>
      </c>
      <c r="AJ559" s="26">
        <f t="shared" si="267"/>
        <v>12.88</v>
      </c>
      <c r="AK559" s="26">
        <f t="shared" si="270"/>
        <v>154.56</v>
      </c>
      <c r="AL559" s="224"/>
    </row>
    <row r="560" spans="1:38" s="62" customFormat="1" ht="30">
      <c r="A560" s="25" t="s">
        <v>2811</v>
      </c>
      <c r="B560" s="24">
        <v>91885</v>
      </c>
      <c r="C560" s="23" t="s">
        <v>195</v>
      </c>
      <c r="D560" s="25" t="s">
        <v>12</v>
      </c>
      <c r="E560" s="25" t="s">
        <v>17</v>
      </c>
      <c r="F560" s="26">
        <v>4</v>
      </c>
      <c r="G560" s="26">
        <f t="shared" si="257"/>
        <v>6.1624999999999996</v>
      </c>
      <c r="H560" s="26">
        <f t="shared" si="264"/>
        <v>7.81</v>
      </c>
      <c r="I560" s="26">
        <f t="shared" si="265"/>
        <v>31.24</v>
      </c>
      <c r="J560" s="64" t="e">
        <f>IF(B560&lt;&gt;0,VLOOKUP(B560,#REF!,4,FALSE),"")</f>
        <v>#REF!</v>
      </c>
      <c r="K560" s="362" t="s">
        <v>1871</v>
      </c>
      <c r="L560" s="65">
        <f t="shared" si="258"/>
        <v>-1.0875000000000004</v>
      </c>
      <c r="M560" s="65">
        <f t="shared" si="259"/>
        <v>24.65</v>
      </c>
      <c r="N560" s="65"/>
      <c r="O560" s="65">
        <f t="shared" si="260"/>
        <v>31.24</v>
      </c>
      <c r="P560" s="65" t="e">
        <f>IF(B560&lt;&gt;0,VLOOKUP(B560,#REF!,2,FALSE),"")</f>
        <v>#REF!</v>
      </c>
      <c r="Q560" s="62">
        <v>12</v>
      </c>
      <c r="R560" s="62">
        <f t="shared" si="251"/>
        <v>8</v>
      </c>
      <c r="AD560" s="221"/>
      <c r="AE560" s="481"/>
      <c r="AF560" s="481"/>
      <c r="AG560" s="481"/>
      <c r="AH560" s="481"/>
      <c r="AI560" s="873">
        <f t="shared" si="269"/>
        <v>6.87</v>
      </c>
      <c r="AJ560" s="26">
        <f t="shared" si="267"/>
        <v>8.7100000000000009</v>
      </c>
      <c r="AK560" s="26">
        <f t="shared" si="270"/>
        <v>34.840000000000003</v>
      </c>
      <c r="AL560" s="224"/>
    </row>
    <row r="561" spans="1:38" s="62" customFormat="1" ht="30">
      <c r="A561" s="25" t="s">
        <v>2812</v>
      </c>
      <c r="B561" s="24">
        <v>765</v>
      </c>
      <c r="C561" s="23" t="s">
        <v>1767</v>
      </c>
      <c r="D561" s="25" t="s">
        <v>44</v>
      </c>
      <c r="E561" s="25" t="s">
        <v>17</v>
      </c>
      <c r="F561" s="26">
        <v>12</v>
      </c>
      <c r="G561" s="26">
        <f t="shared" si="257"/>
        <v>47.5745</v>
      </c>
      <c r="H561" s="26">
        <f t="shared" si="264"/>
        <v>60.33</v>
      </c>
      <c r="I561" s="26">
        <f t="shared" si="265"/>
        <v>723.96</v>
      </c>
      <c r="J561" s="64">
        <f>'COMPOSIÇÃO DE CUSTOS'!G2512</f>
        <v>47.57</v>
      </c>
      <c r="K561" s="362">
        <v>55.97</v>
      </c>
      <c r="L561" s="65">
        <f t="shared" si="258"/>
        <v>-8.3954999999999984</v>
      </c>
      <c r="M561" s="65">
        <f t="shared" si="259"/>
        <v>570.89400000000001</v>
      </c>
      <c r="N561" s="65"/>
      <c r="O561" s="65">
        <f t="shared" si="260"/>
        <v>723.96</v>
      </c>
      <c r="P561" s="65" t="e">
        <f>IF(B561&lt;&gt;0,VLOOKUP(B561,#REF!,2,FALSE),"")</f>
        <v>#REF!</v>
      </c>
      <c r="Q561" s="62">
        <v>2</v>
      </c>
      <c r="R561" s="62">
        <f t="shared" si="251"/>
        <v>-10</v>
      </c>
      <c r="AD561" s="221"/>
      <c r="AE561" s="481"/>
      <c r="AF561" s="481"/>
      <c r="AG561" s="481"/>
      <c r="AH561" s="481"/>
      <c r="AI561" s="873">
        <f t="shared" si="269"/>
        <v>53</v>
      </c>
      <c r="AJ561" s="26">
        <f t="shared" si="267"/>
        <v>67.209999999999994</v>
      </c>
      <c r="AK561" s="26">
        <f t="shared" si="270"/>
        <v>806.52</v>
      </c>
      <c r="AL561" s="224"/>
    </row>
    <row r="562" spans="1:38" s="62" customFormat="1" ht="30">
      <c r="A562" s="25" t="s">
        <v>2813</v>
      </c>
      <c r="B562" s="24">
        <v>8689</v>
      </c>
      <c r="C562" s="23" t="s">
        <v>2814</v>
      </c>
      <c r="D562" s="25" t="s">
        <v>44</v>
      </c>
      <c r="E562" s="25" t="s">
        <v>17</v>
      </c>
      <c r="F562" s="26">
        <v>2</v>
      </c>
      <c r="G562" s="26">
        <f t="shared" si="257"/>
        <v>16.4815</v>
      </c>
      <c r="H562" s="26">
        <f t="shared" si="264"/>
        <v>20.9</v>
      </c>
      <c r="I562" s="26">
        <f t="shared" si="265"/>
        <v>41.8</v>
      </c>
      <c r="J562" s="64">
        <f>'COMPOSIÇÃO DE CUSTOS'!G2505</f>
        <v>16.48</v>
      </c>
      <c r="K562" s="362">
        <v>19.39</v>
      </c>
      <c r="L562" s="65">
        <f t="shared" si="258"/>
        <v>-2.9085000000000001</v>
      </c>
      <c r="M562" s="65">
        <f t="shared" si="259"/>
        <v>32.963000000000001</v>
      </c>
      <c r="N562" s="65"/>
      <c r="O562" s="65">
        <f t="shared" si="260"/>
        <v>41.8</v>
      </c>
      <c r="P562" s="65" t="e">
        <f>IF(B562&lt;&gt;0,VLOOKUP(B562,#REF!,2,FALSE),"")</f>
        <v>#REF!</v>
      </c>
      <c r="Q562" s="62">
        <v>4</v>
      </c>
      <c r="R562" s="62">
        <f t="shared" si="251"/>
        <v>2</v>
      </c>
      <c r="AD562" s="221"/>
      <c r="AE562" s="481"/>
      <c r="AF562" s="481"/>
      <c r="AG562" s="481"/>
      <c r="AH562" s="481"/>
      <c r="AI562" s="873">
        <f t="shared" si="269"/>
        <v>18.36</v>
      </c>
      <c r="AJ562" s="26">
        <f t="shared" si="267"/>
        <v>23.28</v>
      </c>
      <c r="AK562" s="26">
        <f t="shared" si="270"/>
        <v>46.56</v>
      </c>
      <c r="AL562" s="224"/>
    </row>
    <row r="563" spans="1:38" s="62" customFormat="1" ht="30">
      <c r="A563" s="25" t="s">
        <v>2815</v>
      </c>
      <c r="B563" s="24">
        <v>749</v>
      </c>
      <c r="C563" s="23" t="s">
        <v>198</v>
      </c>
      <c r="D563" s="25" t="s">
        <v>44</v>
      </c>
      <c r="E563" s="25" t="s">
        <v>17</v>
      </c>
      <c r="F563" s="26">
        <v>4</v>
      </c>
      <c r="G563" s="26">
        <f t="shared" si="257"/>
        <v>55.385999999999996</v>
      </c>
      <c r="H563" s="26">
        <f t="shared" si="264"/>
        <v>70.23</v>
      </c>
      <c r="I563" s="26">
        <f t="shared" si="265"/>
        <v>280.92</v>
      </c>
      <c r="J563" s="64">
        <f>'COMPOSIÇÃO DE CUSTOS'!G1032</f>
        <v>55.39</v>
      </c>
      <c r="K563" s="362">
        <v>65.16</v>
      </c>
      <c r="L563" s="65">
        <f t="shared" si="258"/>
        <v>-9.7740000000000009</v>
      </c>
      <c r="M563" s="65">
        <f t="shared" si="259"/>
        <v>221.54399999999998</v>
      </c>
      <c r="N563" s="65"/>
      <c r="O563" s="65">
        <f t="shared" si="260"/>
        <v>280.92</v>
      </c>
      <c r="P563" s="65" t="e">
        <f>IF(B563&lt;&gt;0,VLOOKUP(B563,#REF!,2,FALSE),"")</f>
        <v>#REF!</v>
      </c>
      <c r="Q563" s="62">
        <v>17</v>
      </c>
      <c r="R563" s="62">
        <f t="shared" si="251"/>
        <v>13</v>
      </c>
      <c r="AD563" s="221"/>
      <c r="AE563" s="481"/>
      <c r="AF563" s="481"/>
      <c r="AG563" s="481"/>
      <c r="AH563" s="481"/>
      <c r="AI563" s="873">
        <f t="shared" si="269"/>
        <v>61.7</v>
      </c>
      <c r="AJ563" s="26">
        <f t="shared" si="267"/>
        <v>78.239999999999995</v>
      </c>
      <c r="AK563" s="26">
        <f t="shared" si="270"/>
        <v>312.95999999999998</v>
      </c>
      <c r="AL563" s="224"/>
    </row>
    <row r="564" spans="1:38" s="62" customFormat="1" ht="30">
      <c r="A564" s="25" t="s">
        <v>2816</v>
      </c>
      <c r="B564" s="24">
        <v>748</v>
      </c>
      <c r="C564" s="23" t="s">
        <v>201</v>
      </c>
      <c r="D564" s="25" t="s">
        <v>44</v>
      </c>
      <c r="E564" s="25" t="s">
        <v>17</v>
      </c>
      <c r="F564" s="26">
        <v>17</v>
      </c>
      <c r="G564" s="26">
        <f t="shared" si="257"/>
        <v>70.473500000000001</v>
      </c>
      <c r="H564" s="26">
        <f t="shared" si="264"/>
        <v>89.37</v>
      </c>
      <c r="I564" s="26">
        <f t="shared" si="265"/>
        <v>1519.29</v>
      </c>
      <c r="J564" s="64">
        <f>'COMPOSIÇÃO DE CUSTOS'!G1053</f>
        <v>70.47</v>
      </c>
      <c r="K564" s="362">
        <v>82.91</v>
      </c>
      <c r="L564" s="65">
        <f t="shared" si="258"/>
        <v>-12.436499999999995</v>
      </c>
      <c r="M564" s="65">
        <f t="shared" si="259"/>
        <v>1198.0495000000001</v>
      </c>
      <c r="N564" s="65"/>
      <c r="O564" s="65">
        <f t="shared" si="260"/>
        <v>1519.29</v>
      </c>
      <c r="P564" s="65" t="e">
        <f>IF(B564&lt;&gt;0,VLOOKUP(B564,#REF!,2,FALSE),"")</f>
        <v>#REF!</v>
      </c>
      <c r="Q564" s="62">
        <v>1</v>
      </c>
      <c r="R564" s="62">
        <f t="shared" si="251"/>
        <v>-16</v>
      </c>
      <c r="AD564" s="221"/>
      <c r="AE564" s="481"/>
      <c r="AF564" s="481"/>
      <c r="AG564" s="481"/>
      <c r="AH564" s="481"/>
      <c r="AI564" s="873">
        <f t="shared" si="269"/>
        <v>78.510000000000005</v>
      </c>
      <c r="AJ564" s="26">
        <f t="shared" si="267"/>
        <v>99.56</v>
      </c>
      <c r="AK564" s="26">
        <f t="shared" si="270"/>
        <v>1692.52</v>
      </c>
      <c r="AL564" s="224"/>
    </row>
    <row r="565" spans="1:38" s="62" customFormat="1" ht="36" customHeight="1">
      <c r="A565" s="25" t="s">
        <v>2817</v>
      </c>
      <c r="B565" s="24">
        <v>11548</v>
      </c>
      <c r="C565" s="23" t="s">
        <v>1755</v>
      </c>
      <c r="D565" s="25" t="s">
        <v>44</v>
      </c>
      <c r="E565" s="25" t="s">
        <v>17</v>
      </c>
      <c r="F565" s="26">
        <v>1</v>
      </c>
      <c r="G565" s="26">
        <f t="shared" si="257"/>
        <v>39.967000000000006</v>
      </c>
      <c r="H565" s="26">
        <f t="shared" si="264"/>
        <v>50.68</v>
      </c>
      <c r="I565" s="26">
        <f t="shared" si="265"/>
        <v>50.68</v>
      </c>
      <c r="J565" s="64">
        <f>'COMPOSIÇÃO DE CUSTOS'!G1067</f>
        <v>39.96</v>
      </c>
      <c r="K565" s="362">
        <v>47.02</v>
      </c>
      <c r="L565" s="65">
        <f t="shared" si="258"/>
        <v>-7.0529999999999973</v>
      </c>
      <c r="M565" s="65">
        <f t="shared" si="259"/>
        <v>39.967000000000006</v>
      </c>
      <c r="N565" s="65"/>
      <c r="O565" s="65">
        <f t="shared" si="260"/>
        <v>50.68</v>
      </c>
      <c r="P565" s="65" t="e">
        <f>IF(B565&lt;&gt;0,VLOOKUP(B565,#REF!,2,FALSE),"")</f>
        <v>#REF!</v>
      </c>
      <c r="Q565" s="62">
        <v>2</v>
      </c>
      <c r="R565" s="62">
        <f t="shared" si="251"/>
        <v>1</v>
      </c>
      <c r="AD565" s="221"/>
      <c r="AE565" s="481"/>
      <c r="AF565" s="481"/>
      <c r="AG565" s="481"/>
      <c r="AH565" s="481"/>
      <c r="AI565" s="873">
        <f t="shared" si="269"/>
        <v>44.52</v>
      </c>
      <c r="AJ565" s="26">
        <f t="shared" si="267"/>
        <v>56.46</v>
      </c>
      <c r="AK565" s="26">
        <f t="shared" si="270"/>
        <v>56.46</v>
      </c>
      <c r="AL565" s="224"/>
    </row>
    <row r="566" spans="1:38" s="62" customFormat="1" ht="29.25" customHeight="1">
      <c r="A566" s="25" t="s">
        <v>2818</v>
      </c>
      <c r="B566" s="24">
        <v>9280</v>
      </c>
      <c r="C566" s="23" t="s">
        <v>1743</v>
      </c>
      <c r="D566" s="25" t="s">
        <v>44</v>
      </c>
      <c r="E566" s="25" t="s">
        <v>17</v>
      </c>
      <c r="F566" s="26">
        <v>2</v>
      </c>
      <c r="G566" s="26">
        <f t="shared" si="257"/>
        <v>52.173000000000002</v>
      </c>
      <c r="H566" s="26">
        <f t="shared" si="264"/>
        <v>66.16</v>
      </c>
      <c r="I566" s="26">
        <f t="shared" si="265"/>
        <v>132.32</v>
      </c>
      <c r="J566" s="64">
        <f>'COMPOSIÇÃO DE CUSTOS'!G1074</f>
        <v>52.17</v>
      </c>
      <c r="K566" s="362">
        <v>61.38</v>
      </c>
      <c r="L566" s="65">
        <f t="shared" si="258"/>
        <v>-9.2070000000000007</v>
      </c>
      <c r="M566" s="65">
        <f t="shared" si="259"/>
        <v>104.346</v>
      </c>
      <c r="N566" s="65"/>
      <c r="O566" s="65">
        <f t="shared" si="260"/>
        <v>132.32</v>
      </c>
      <c r="P566" s="65" t="e">
        <f>IF(B566&lt;&gt;0,VLOOKUP(B566,#REF!,2,FALSE),"")</f>
        <v>#REF!</v>
      </c>
      <c r="Q566" s="62">
        <v>1</v>
      </c>
      <c r="R566" s="62">
        <f t="shared" si="251"/>
        <v>-1</v>
      </c>
      <c r="AD566" s="221"/>
      <c r="AE566" s="481"/>
      <c r="AF566" s="481"/>
      <c r="AG566" s="481"/>
      <c r="AH566" s="481"/>
      <c r="AI566" s="873">
        <f t="shared" si="269"/>
        <v>58.12</v>
      </c>
      <c r="AJ566" s="26">
        <f t="shared" si="267"/>
        <v>73.7</v>
      </c>
      <c r="AK566" s="26">
        <f t="shared" si="270"/>
        <v>147.4</v>
      </c>
      <c r="AL566" s="224"/>
    </row>
    <row r="567" spans="1:38" s="62" customFormat="1" ht="33.75" customHeight="1">
      <c r="A567" s="25" t="s">
        <v>2819</v>
      </c>
      <c r="B567" s="24" t="s">
        <v>2230</v>
      </c>
      <c r="C567" s="23" t="s">
        <v>1744</v>
      </c>
      <c r="D567" s="25" t="s">
        <v>1915</v>
      </c>
      <c r="E567" s="25" t="s">
        <v>17</v>
      </c>
      <c r="F567" s="26">
        <v>1</v>
      </c>
      <c r="G567" s="26">
        <f t="shared" si="257"/>
        <v>15.614500000000001</v>
      </c>
      <c r="H567" s="26">
        <f t="shared" si="264"/>
        <v>19.8</v>
      </c>
      <c r="I567" s="26">
        <f t="shared" si="265"/>
        <v>19.8</v>
      </c>
      <c r="J567" s="64">
        <f>'COMPOSIÇÃO DE CUSTOS'!G1081</f>
        <v>15.61</v>
      </c>
      <c r="K567" s="362">
        <v>18.37</v>
      </c>
      <c r="L567" s="65">
        <f t="shared" si="258"/>
        <v>-2.7554999999999996</v>
      </c>
      <c r="M567" s="65">
        <f t="shared" si="259"/>
        <v>15.614500000000001</v>
      </c>
      <c r="N567" s="65"/>
      <c r="O567" s="65">
        <f t="shared" si="260"/>
        <v>19.8</v>
      </c>
      <c r="P567" s="65" t="e">
        <f>IF(B567&lt;&gt;0,VLOOKUP(B567,#REF!,2,FALSE),"")</f>
        <v>#REF!</v>
      </c>
      <c r="Q567" s="62">
        <v>3</v>
      </c>
      <c r="R567" s="62">
        <f t="shared" si="251"/>
        <v>2</v>
      </c>
      <c r="AD567" s="221"/>
      <c r="AE567" s="481"/>
      <c r="AF567" s="481"/>
      <c r="AG567" s="481"/>
      <c r="AH567" s="481"/>
      <c r="AI567" s="873">
        <f t="shared" si="269"/>
        <v>17.39</v>
      </c>
      <c r="AJ567" s="26">
        <f t="shared" si="267"/>
        <v>22.05</v>
      </c>
      <c r="AK567" s="26">
        <f t="shared" si="270"/>
        <v>22.05</v>
      </c>
      <c r="AL567" s="224"/>
    </row>
    <row r="568" spans="1:38" s="62" customFormat="1" ht="36" customHeight="1">
      <c r="A568" s="25" t="s">
        <v>2820</v>
      </c>
      <c r="B568" s="24">
        <v>4533</v>
      </c>
      <c r="C568" s="23" t="s">
        <v>203</v>
      </c>
      <c r="D568" s="25" t="s">
        <v>44</v>
      </c>
      <c r="E568" s="25" t="s">
        <v>17</v>
      </c>
      <c r="F568" s="26">
        <v>3</v>
      </c>
      <c r="G568" s="26">
        <f t="shared" si="257"/>
        <v>114.5205</v>
      </c>
      <c r="H568" s="26">
        <f t="shared" si="264"/>
        <v>145.22</v>
      </c>
      <c r="I568" s="26">
        <f t="shared" si="265"/>
        <v>435.66</v>
      </c>
      <c r="J568" s="64">
        <f>'COMPOSIÇÃO DE CUSTOS'!G1088</f>
        <v>114.52</v>
      </c>
      <c r="K568" s="362">
        <v>134.72999999999999</v>
      </c>
      <c r="L568" s="65">
        <f t="shared" si="258"/>
        <v>-20.209499999999991</v>
      </c>
      <c r="M568" s="65">
        <f t="shared" si="259"/>
        <v>343.56150000000002</v>
      </c>
      <c r="N568" s="65"/>
      <c r="O568" s="65">
        <f t="shared" si="260"/>
        <v>435.65999999999997</v>
      </c>
      <c r="P568" s="65" t="e">
        <f>IF(B568&lt;&gt;0,VLOOKUP(B568,#REF!,2,FALSE),"")</f>
        <v>#REF!</v>
      </c>
      <c r="Q568" s="62">
        <v>1</v>
      </c>
      <c r="R568" s="62">
        <f t="shared" si="251"/>
        <v>-2</v>
      </c>
      <c r="AD568" s="221"/>
      <c r="AE568" s="481"/>
      <c r="AF568" s="481"/>
      <c r="AG568" s="481"/>
      <c r="AH568" s="481"/>
      <c r="AI568" s="873">
        <f t="shared" si="269"/>
        <v>127.58</v>
      </c>
      <c r="AJ568" s="26">
        <f t="shared" si="267"/>
        <v>161.78</v>
      </c>
      <c r="AK568" s="26">
        <f t="shared" si="270"/>
        <v>485.34</v>
      </c>
      <c r="AL568" s="224"/>
    </row>
    <row r="569" spans="1:38" s="62" customFormat="1" ht="35.25" customHeight="1">
      <c r="A569" s="25" t="s">
        <v>2821</v>
      </c>
      <c r="B569" s="24">
        <v>12924</v>
      </c>
      <c r="C569" s="23" t="s">
        <v>1746</v>
      </c>
      <c r="D569" s="25" t="s">
        <v>44</v>
      </c>
      <c r="E569" s="25" t="s">
        <v>17</v>
      </c>
      <c r="F569" s="26">
        <v>1</v>
      </c>
      <c r="G569" s="26">
        <f t="shared" si="257"/>
        <v>11.279499999999999</v>
      </c>
      <c r="H569" s="26">
        <f t="shared" si="264"/>
        <v>14.3</v>
      </c>
      <c r="I569" s="26">
        <f t="shared" si="265"/>
        <v>14.3</v>
      </c>
      <c r="J569" s="64">
        <f>'COMPOSIÇÃO DE CUSTOS'!G1116</f>
        <v>11.28</v>
      </c>
      <c r="K569" s="362">
        <v>13.27</v>
      </c>
      <c r="L569" s="65">
        <f t="shared" si="258"/>
        <v>-1.9905000000000008</v>
      </c>
      <c r="M569" s="65">
        <f t="shared" si="259"/>
        <v>11.279499999999999</v>
      </c>
      <c r="N569" s="65"/>
      <c r="O569" s="65">
        <f t="shared" si="260"/>
        <v>14.3</v>
      </c>
      <c r="P569" s="65" t="e">
        <f>IF(B569&lt;&gt;0,VLOOKUP(B569,#REF!,2,FALSE),"")</f>
        <v>#REF!</v>
      </c>
      <c r="Q569" s="62">
        <v>26</v>
      </c>
      <c r="R569" s="62">
        <f t="shared" si="251"/>
        <v>25</v>
      </c>
      <c r="AD569" s="221"/>
      <c r="AE569" s="481"/>
      <c r="AF569" s="481"/>
      <c r="AG569" s="481"/>
      <c r="AH569" s="481"/>
      <c r="AI569" s="873">
        <f t="shared" si="269"/>
        <v>12.57</v>
      </c>
      <c r="AJ569" s="26">
        <f t="shared" si="267"/>
        <v>15.94</v>
      </c>
      <c r="AK569" s="26">
        <f t="shared" si="270"/>
        <v>15.94</v>
      </c>
      <c r="AL569" s="224"/>
    </row>
    <row r="570" spans="1:38" s="62" customFormat="1" ht="37.5" customHeight="1">
      <c r="A570" s="25" t="s">
        <v>2822</v>
      </c>
      <c r="B570" s="24">
        <v>762</v>
      </c>
      <c r="C570" s="23" t="s">
        <v>1749</v>
      </c>
      <c r="D570" s="25" t="s">
        <v>44</v>
      </c>
      <c r="E570" s="25" t="s">
        <v>17</v>
      </c>
      <c r="F570" s="26">
        <v>26</v>
      </c>
      <c r="G570" s="26">
        <f t="shared" si="257"/>
        <v>57.230499999999999</v>
      </c>
      <c r="H570" s="26">
        <f t="shared" si="264"/>
        <v>72.569999999999993</v>
      </c>
      <c r="I570" s="26">
        <f t="shared" si="265"/>
        <v>1886.82</v>
      </c>
      <c r="J570" s="64">
        <f>'COMPOSIÇÃO DE CUSTOS'!G1265</f>
        <v>57.23</v>
      </c>
      <c r="K570" s="362">
        <v>67.33</v>
      </c>
      <c r="L570" s="65">
        <f t="shared" si="258"/>
        <v>-10.099499999999999</v>
      </c>
      <c r="M570" s="65">
        <f t="shared" si="259"/>
        <v>1487.9929999999999</v>
      </c>
      <c r="N570" s="65"/>
      <c r="O570" s="65">
        <f t="shared" si="260"/>
        <v>1886.8199999999997</v>
      </c>
      <c r="P570" s="65" t="e">
        <f>IF(B570&lt;&gt;0,VLOOKUP(B570,#REF!,2,FALSE),"")</f>
        <v>#REF!</v>
      </c>
      <c r="Q570" s="62">
        <v>1</v>
      </c>
      <c r="R570" s="62">
        <f t="shared" si="251"/>
        <v>-25</v>
      </c>
      <c r="AD570" s="221"/>
      <c r="AE570" s="481"/>
      <c r="AF570" s="481"/>
      <c r="AG570" s="481"/>
      <c r="AH570" s="481"/>
      <c r="AI570" s="873">
        <f t="shared" si="269"/>
        <v>63.76</v>
      </c>
      <c r="AJ570" s="26">
        <f t="shared" si="267"/>
        <v>80.849999999999994</v>
      </c>
      <c r="AK570" s="26">
        <f t="shared" si="270"/>
        <v>2102.1</v>
      </c>
      <c r="AL570" s="224"/>
    </row>
    <row r="571" spans="1:38" s="62" customFormat="1" ht="30">
      <c r="A571" s="25" t="s">
        <v>2823</v>
      </c>
      <c r="B571" s="24">
        <v>8443</v>
      </c>
      <c r="C571" s="23" t="s">
        <v>1759</v>
      </c>
      <c r="D571" s="25" t="s">
        <v>44</v>
      </c>
      <c r="E571" s="25" t="s">
        <v>17</v>
      </c>
      <c r="F571" s="26">
        <v>1</v>
      </c>
      <c r="G571" s="26">
        <f t="shared" si="257"/>
        <v>57.179499999999997</v>
      </c>
      <c r="H571" s="26">
        <f t="shared" si="264"/>
        <v>72.510000000000005</v>
      </c>
      <c r="I571" s="26">
        <f t="shared" si="265"/>
        <v>72.510000000000005</v>
      </c>
      <c r="J571" s="64">
        <f>'COMPOSIÇÃO DE CUSTOS'!G1272</f>
        <v>57.18</v>
      </c>
      <c r="K571" s="362">
        <v>67.27</v>
      </c>
      <c r="L571" s="65">
        <f t="shared" si="258"/>
        <v>-10.090499999999999</v>
      </c>
      <c r="M571" s="65">
        <f t="shared" si="259"/>
        <v>57.179499999999997</v>
      </c>
      <c r="N571" s="65"/>
      <c r="O571" s="65">
        <f t="shared" si="260"/>
        <v>72.510000000000005</v>
      </c>
      <c r="P571" s="65" t="e">
        <f>IF(B571&lt;&gt;0,VLOOKUP(B571,#REF!,2,FALSE),"")</f>
        <v>#REF!</v>
      </c>
      <c r="R571" s="62">
        <f t="shared" si="251"/>
        <v>-1</v>
      </c>
      <c r="AD571" s="221"/>
      <c r="AE571" s="481"/>
      <c r="AF571" s="481"/>
      <c r="AG571" s="481"/>
      <c r="AH571" s="481"/>
      <c r="AI571" s="873">
        <f t="shared" si="269"/>
        <v>63.7</v>
      </c>
      <c r="AJ571" s="26">
        <f t="shared" si="267"/>
        <v>80.78</v>
      </c>
      <c r="AK571" s="26">
        <f t="shared" si="270"/>
        <v>80.78</v>
      </c>
      <c r="AL571" s="224"/>
    </row>
    <row r="572" spans="1:38" s="62" customFormat="1">
      <c r="A572" s="77" t="s">
        <v>1134</v>
      </c>
      <c r="B572" s="139"/>
      <c r="C572" s="340" t="s">
        <v>239</v>
      </c>
      <c r="D572" s="341"/>
      <c r="E572" s="341"/>
      <c r="F572" s="341"/>
      <c r="G572" s="26"/>
      <c r="H572" s="341"/>
      <c r="I572" s="96"/>
      <c r="J572" s="224" t="str">
        <f>IF(B572&lt;&gt;0,VLOOKUP(B572,#REF!,4,FALSE),"")</f>
        <v/>
      </c>
      <c r="K572" s="362" t="s">
        <v>1892</v>
      </c>
      <c r="L572" s="65"/>
      <c r="M572" s="65">
        <f t="shared" si="259"/>
        <v>0</v>
      </c>
      <c r="N572" s="65"/>
      <c r="O572" s="65">
        <f t="shared" si="260"/>
        <v>0</v>
      </c>
      <c r="P572" s="65" t="str">
        <f>IF(B572&lt;&gt;0,VLOOKUP(B572,#REF!,2,FALSE),"")</f>
        <v/>
      </c>
      <c r="Q572" s="62">
        <v>25</v>
      </c>
      <c r="R572" s="62">
        <f t="shared" si="251"/>
        <v>25</v>
      </c>
      <c r="AD572" s="221"/>
      <c r="AE572" s="481"/>
      <c r="AF572" s="481"/>
      <c r="AG572" s="481"/>
      <c r="AH572" s="481"/>
      <c r="AI572" s="873"/>
      <c r="AJ572" s="26"/>
      <c r="AK572" s="26"/>
      <c r="AL572" s="224"/>
    </row>
    <row r="573" spans="1:38" s="62" customFormat="1" ht="30">
      <c r="A573" s="25" t="s">
        <v>1135</v>
      </c>
      <c r="B573" s="24">
        <v>7384</v>
      </c>
      <c r="C573" s="23" t="s">
        <v>229</v>
      </c>
      <c r="D573" s="25" t="s">
        <v>44</v>
      </c>
      <c r="E573" s="25" t="s">
        <v>52</v>
      </c>
      <c r="F573" s="26">
        <v>25</v>
      </c>
      <c r="G573" s="26">
        <f t="shared" si="257"/>
        <v>19.244</v>
      </c>
      <c r="H573" s="26">
        <f t="shared" ref="H573:H578" si="271">ROUND(G573*(1+$J$13),2)</f>
        <v>24.4</v>
      </c>
      <c r="I573" s="26">
        <f t="shared" ref="I573:I578" si="272">ROUND(H573*F573,2)</f>
        <v>610</v>
      </c>
      <c r="J573" s="64">
        <f>'COMPOSIÇÃO DE CUSTOS'!G1195</f>
        <v>19.25</v>
      </c>
      <c r="K573" s="362">
        <v>22.64</v>
      </c>
      <c r="L573" s="65">
        <f t="shared" si="258"/>
        <v>-3.3960000000000008</v>
      </c>
      <c r="M573" s="65">
        <f t="shared" si="259"/>
        <v>481.1</v>
      </c>
      <c r="N573" s="65"/>
      <c r="O573" s="65">
        <f t="shared" si="260"/>
        <v>610</v>
      </c>
      <c r="P573" s="65" t="e">
        <f>IF(B573&lt;&gt;0,VLOOKUP(B573,#REF!,2,FALSE),"")</f>
        <v>#REF!</v>
      </c>
      <c r="Q573" s="62">
        <v>23</v>
      </c>
      <c r="R573" s="62">
        <f t="shared" ref="R573:R636" si="273">Q573-F573</f>
        <v>-2</v>
      </c>
      <c r="AD573" s="221"/>
      <c r="AE573" s="481"/>
      <c r="AF573" s="481"/>
      <c r="AG573" s="481"/>
      <c r="AH573" s="481"/>
      <c r="AI573" s="873">
        <f t="shared" si="269"/>
        <v>21.44</v>
      </c>
      <c r="AJ573" s="26">
        <f t="shared" si="267"/>
        <v>27.19</v>
      </c>
      <c r="AK573" s="26">
        <f t="shared" si="270"/>
        <v>679.75</v>
      </c>
      <c r="AL573" s="224"/>
    </row>
    <row r="574" spans="1:38" s="62" customFormat="1" ht="30">
      <c r="A574" s="25" t="s">
        <v>1136</v>
      </c>
      <c r="B574" s="24">
        <v>7881</v>
      </c>
      <c r="C574" s="23" t="s">
        <v>319</v>
      </c>
      <c r="D574" s="25" t="s">
        <v>44</v>
      </c>
      <c r="E574" s="25" t="s">
        <v>17</v>
      </c>
      <c r="F574" s="26">
        <v>23</v>
      </c>
      <c r="G574" s="26">
        <f t="shared" si="257"/>
        <v>8.9420000000000002</v>
      </c>
      <c r="H574" s="26">
        <f t="shared" si="271"/>
        <v>11.34</v>
      </c>
      <c r="I574" s="26">
        <f t="shared" si="272"/>
        <v>260.82</v>
      </c>
      <c r="J574" s="64">
        <f>'COMPOSIÇÃO DE CUSTOS'!G2498</f>
        <v>8.94</v>
      </c>
      <c r="K574" s="362">
        <v>10.52</v>
      </c>
      <c r="L574" s="65">
        <f t="shared" si="258"/>
        <v>-1.5779999999999994</v>
      </c>
      <c r="M574" s="65">
        <f t="shared" si="259"/>
        <v>205.666</v>
      </c>
      <c r="N574" s="65"/>
      <c r="O574" s="65">
        <f t="shared" si="260"/>
        <v>260.82</v>
      </c>
      <c r="P574" s="65" t="e">
        <f>IF(B574&lt;&gt;0,VLOOKUP(B574,#REF!,2,FALSE),"")</f>
        <v>#REF!</v>
      </c>
      <c r="Q574" s="62">
        <v>7</v>
      </c>
      <c r="R574" s="62">
        <f t="shared" si="273"/>
        <v>-16</v>
      </c>
      <c r="AD574" s="221"/>
      <c r="AE574" s="481"/>
      <c r="AF574" s="481"/>
      <c r="AG574" s="481"/>
      <c r="AH574" s="481"/>
      <c r="AI574" s="873">
        <f t="shared" si="269"/>
        <v>9.9600000000000009</v>
      </c>
      <c r="AJ574" s="26">
        <f t="shared" si="267"/>
        <v>12.63</v>
      </c>
      <c r="AK574" s="26">
        <f t="shared" si="270"/>
        <v>290.49</v>
      </c>
      <c r="AL574" s="224"/>
    </row>
    <row r="575" spans="1:38" s="62" customFormat="1" ht="30">
      <c r="A575" s="25" t="s">
        <v>1137</v>
      </c>
      <c r="B575" s="24">
        <v>8697</v>
      </c>
      <c r="C575" s="23" t="s">
        <v>1762</v>
      </c>
      <c r="D575" s="25" t="s">
        <v>44</v>
      </c>
      <c r="E575" s="25" t="s">
        <v>17</v>
      </c>
      <c r="F575" s="26">
        <v>7</v>
      </c>
      <c r="G575" s="26">
        <f t="shared" si="257"/>
        <v>8.1940000000000008</v>
      </c>
      <c r="H575" s="26">
        <f t="shared" si="271"/>
        <v>10.39</v>
      </c>
      <c r="I575" s="26">
        <f t="shared" si="272"/>
        <v>72.73</v>
      </c>
      <c r="J575" s="64">
        <f>'COMPOSIÇÃO DE CUSTOS'!G1202</f>
        <v>8.19</v>
      </c>
      <c r="K575" s="362">
        <v>9.64</v>
      </c>
      <c r="L575" s="65">
        <f t="shared" si="258"/>
        <v>-1.4459999999999997</v>
      </c>
      <c r="M575" s="65">
        <f t="shared" si="259"/>
        <v>57.358000000000004</v>
      </c>
      <c r="N575" s="65"/>
      <c r="O575" s="65">
        <f t="shared" si="260"/>
        <v>72.73</v>
      </c>
      <c r="P575" s="65" t="e">
        <f>IF(B575&lt;&gt;0,VLOOKUP(B575,#REF!,2,FALSE),"")</f>
        <v>#REF!</v>
      </c>
      <c r="Q575" s="62">
        <v>17</v>
      </c>
      <c r="R575" s="62">
        <f t="shared" si="273"/>
        <v>10</v>
      </c>
      <c r="AD575" s="221"/>
      <c r="AE575" s="481"/>
      <c r="AF575" s="481"/>
      <c r="AG575" s="481"/>
      <c r="AH575" s="481"/>
      <c r="AI575" s="873">
        <f t="shared" si="269"/>
        <v>9.1300000000000008</v>
      </c>
      <c r="AJ575" s="26">
        <f t="shared" si="267"/>
        <v>11.58</v>
      </c>
      <c r="AK575" s="26">
        <f t="shared" si="270"/>
        <v>81.06</v>
      </c>
      <c r="AL575" s="224"/>
    </row>
    <row r="576" spans="1:38" s="62" customFormat="1" ht="30">
      <c r="A576" s="25" t="s">
        <v>1138</v>
      </c>
      <c r="B576" s="24">
        <v>7879</v>
      </c>
      <c r="C576" s="23" t="s">
        <v>1764</v>
      </c>
      <c r="D576" s="25">
        <f>D511</f>
        <v>0</v>
      </c>
      <c r="E576" s="25" t="s">
        <v>17</v>
      </c>
      <c r="F576" s="26">
        <v>17</v>
      </c>
      <c r="G576" s="26">
        <f t="shared" si="257"/>
        <v>9.4945000000000004</v>
      </c>
      <c r="H576" s="26">
        <f t="shared" si="271"/>
        <v>12.04</v>
      </c>
      <c r="I576" s="26">
        <f t="shared" si="272"/>
        <v>204.68</v>
      </c>
      <c r="J576" s="64">
        <f>'COMPOSIÇÃO DE CUSTOS'!G1258</f>
        <v>9.49</v>
      </c>
      <c r="K576" s="362">
        <v>11.17</v>
      </c>
      <c r="L576" s="65">
        <f t="shared" si="258"/>
        <v>-1.6754999999999995</v>
      </c>
      <c r="M576" s="65">
        <f t="shared" si="259"/>
        <v>161.40649999999999</v>
      </c>
      <c r="N576" s="65"/>
      <c r="O576" s="65">
        <f t="shared" si="260"/>
        <v>204.67999999999998</v>
      </c>
      <c r="P576" s="65" t="e">
        <f>IF(B576&lt;&gt;0,VLOOKUP(B576,#REF!,2,FALSE),"")</f>
        <v>#REF!</v>
      </c>
      <c r="Q576" s="62">
        <v>33</v>
      </c>
      <c r="R576" s="62">
        <f t="shared" si="273"/>
        <v>16</v>
      </c>
      <c r="AD576" s="221"/>
      <c r="AE576" s="481"/>
      <c r="AF576" s="481"/>
      <c r="AG576" s="481"/>
      <c r="AH576" s="481"/>
      <c r="AI576" s="873">
        <f t="shared" si="269"/>
        <v>10.58</v>
      </c>
      <c r="AJ576" s="26">
        <f t="shared" si="267"/>
        <v>13.42</v>
      </c>
      <c r="AK576" s="26">
        <f t="shared" si="270"/>
        <v>228.14</v>
      </c>
      <c r="AL576" s="224"/>
    </row>
    <row r="577" spans="1:38" s="62" customFormat="1" ht="30">
      <c r="A577" s="25" t="s">
        <v>1139</v>
      </c>
      <c r="B577" s="24">
        <v>12573</v>
      </c>
      <c r="C577" s="23" t="s">
        <v>1760</v>
      </c>
      <c r="D577" s="25" t="s">
        <v>44</v>
      </c>
      <c r="E577" s="25" t="s">
        <v>17</v>
      </c>
      <c r="F577" s="26">
        <v>33</v>
      </c>
      <c r="G577" s="26">
        <f t="shared" si="257"/>
        <v>9.5794999999999995</v>
      </c>
      <c r="H577" s="26">
        <f t="shared" si="271"/>
        <v>12.15</v>
      </c>
      <c r="I577" s="26">
        <f t="shared" si="272"/>
        <v>400.95</v>
      </c>
      <c r="J577" s="64">
        <f>'COMPOSIÇÃO DE CUSTOS'!G1209</f>
        <v>9.58</v>
      </c>
      <c r="K577" s="362">
        <v>11.27</v>
      </c>
      <c r="L577" s="65">
        <f t="shared" si="258"/>
        <v>-1.6905000000000001</v>
      </c>
      <c r="M577" s="65">
        <f t="shared" si="259"/>
        <v>316.12349999999998</v>
      </c>
      <c r="N577" s="65"/>
      <c r="O577" s="65">
        <f t="shared" si="260"/>
        <v>400.95</v>
      </c>
      <c r="P577" s="65" t="e">
        <f>IF(B577&lt;&gt;0,VLOOKUP(B577,#REF!,2,FALSE),"")</f>
        <v>#REF!</v>
      </c>
      <c r="Q577" s="62">
        <v>5</v>
      </c>
      <c r="R577" s="62">
        <f t="shared" si="273"/>
        <v>-28</v>
      </c>
      <c r="AD577" s="221"/>
      <c r="AE577" s="481"/>
      <c r="AF577" s="481"/>
      <c r="AG577" s="481"/>
      <c r="AH577" s="481"/>
      <c r="AI577" s="873">
        <f t="shared" si="269"/>
        <v>10.67</v>
      </c>
      <c r="AJ577" s="26">
        <f t="shared" si="267"/>
        <v>13.53</v>
      </c>
      <c r="AK577" s="26">
        <f t="shared" si="270"/>
        <v>446.49</v>
      </c>
      <c r="AL577" s="224"/>
    </row>
    <row r="578" spans="1:38" s="62" customFormat="1" ht="30">
      <c r="A578" s="25" t="s">
        <v>1140</v>
      </c>
      <c r="B578" s="24">
        <v>12976</v>
      </c>
      <c r="C578" s="23" t="s">
        <v>1761</v>
      </c>
      <c r="D578" s="25" t="s">
        <v>44</v>
      </c>
      <c r="E578" s="25" t="s">
        <v>17</v>
      </c>
      <c r="F578" s="26">
        <v>5</v>
      </c>
      <c r="G578" s="26">
        <f t="shared" si="257"/>
        <v>11.662000000000001</v>
      </c>
      <c r="H578" s="26">
        <f t="shared" si="271"/>
        <v>14.79</v>
      </c>
      <c r="I578" s="26">
        <f t="shared" si="272"/>
        <v>73.95</v>
      </c>
      <c r="J578" s="64">
        <f>'COMPOSIÇÃO DE CUSTOS'!G1216</f>
        <v>11.66</v>
      </c>
      <c r="K578" s="362">
        <v>13.72</v>
      </c>
      <c r="L578" s="65">
        <f t="shared" si="258"/>
        <v>-2.0579999999999998</v>
      </c>
      <c r="M578" s="65">
        <f t="shared" si="259"/>
        <v>58.31</v>
      </c>
      <c r="N578" s="65"/>
      <c r="O578" s="65">
        <f t="shared" si="260"/>
        <v>73.949999999999989</v>
      </c>
      <c r="P578" s="65" t="e">
        <f>IF(B578&lt;&gt;0,VLOOKUP(B578,#REF!,2,FALSE),"")</f>
        <v>#REF!</v>
      </c>
      <c r="R578" s="62">
        <f t="shared" si="273"/>
        <v>-5</v>
      </c>
      <c r="AD578" s="221"/>
      <c r="AE578" s="481"/>
      <c r="AF578" s="481"/>
      <c r="AG578" s="481"/>
      <c r="AH578" s="481"/>
      <c r="AI578" s="873">
        <f t="shared" si="269"/>
        <v>12.99</v>
      </c>
      <c r="AJ578" s="26">
        <f t="shared" si="267"/>
        <v>16.47</v>
      </c>
      <c r="AK578" s="26">
        <f t="shared" si="270"/>
        <v>82.35</v>
      </c>
      <c r="AL578" s="224"/>
    </row>
    <row r="579" spans="1:38" s="62" customFormat="1">
      <c r="A579" s="77" t="s">
        <v>1142</v>
      </c>
      <c r="B579" s="139"/>
      <c r="C579" s="340" t="s">
        <v>240</v>
      </c>
      <c r="D579" s="341"/>
      <c r="E579" s="341"/>
      <c r="F579" s="341"/>
      <c r="G579" s="26"/>
      <c r="H579" s="341"/>
      <c r="I579" s="96"/>
      <c r="J579" s="224" t="str">
        <f>IF(B579&lt;&gt;0,VLOOKUP(B579,#REF!,4,FALSE),"")</f>
        <v/>
      </c>
      <c r="K579" s="362" t="s">
        <v>1892</v>
      </c>
      <c r="L579" s="65"/>
      <c r="M579" s="65">
        <f t="shared" si="259"/>
        <v>0</v>
      </c>
      <c r="N579" s="65"/>
      <c r="O579" s="65">
        <f t="shared" si="260"/>
        <v>0</v>
      </c>
      <c r="P579" s="65" t="str">
        <f>IF(B579&lt;&gt;0,VLOOKUP(B579,#REF!,2,FALSE),"")</f>
        <v/>
      </c>
      <c r="Q579" s="62">
        <v>84</v>
      </c>
      <c r="R579" s="62">
        <f t="shared" si="273"/>
        <v>84</v>
      </c>
      <c r="AD579" s="221"/>
      <c r="AE579" s="481"/>
      <c r="AF579" s="481"/>
      <c r="AG579" s="481"/>
      <c r="AH579" s="481"/>
      <c r="AI579" s="873"/>
      <c r="AJ579" s="26"/>
      <c r="AK579" s="26"/>
      <c r="AL579" s="224"/>
    </row>
    <row r="580" spans="1:38" s="62" customFormat="1" ht="54.75" customHeight="1">
      <c r="A580" s="25" t="s">
        <v>1143</v>
      </c>
      <c r="B580" s="24">
        <v>92008</v>
      </c>
      <c r="C580" s="23" t="s">
        <v>1711</v>
      </c>
      <c r="D580" s="25" t="s">
        <v>12</v>
      </c>
      <c r="E580" s="25" t="s">
        <v>17</v>
      </c>
      <c r="F580" s="26">
        <v>84</v>
      </c>
      <c r="G580" s="26">
        <f t="shared" si="257"/>
        <v>29.6905</v>
      </c>
      <c r="H580" s="26">
        <f>ROUND(G580*(1+$J$13),2)</f>
        <v>37.65</v>
      </c>
      <c r="I580" s="26">
        <f t="shared" ref="I580:I583" si="274">ROUND(H580*F580,2)</f>
        <v>3162.6</v>
      </c>
      <c r="J580" s="64" t="e">
        <f>IF(B580&lt;&gt;0,VLOOKUP(B580,#REF!,4,FALSE),"")</f>
        <v>#REF!</v>
      </c>
      <c r="K580" s="362" t="s">
        <v>3166</v>
      </c>
      <c r="L580" s="65">
        <f t="shared" si="258"/>
        <v>-5.2394999999999996</v>
      </c>
      <c r="M580" s="65">
        <f t="shared" si="259"/>
        <v>2494.002</v>
      </c>
      <c r="N580" s="65"/>
      <c r="O580" s="65">
        <f t="shared" si="260"/>
        <v>3162.6</v>
      </c>
      <c r="P580" s="65" t="e">
        <f>IF(B580&lt;&gt;0,VLOOKUP(B580,#REF!,2,FALSE),"")</f>
        <v>#REF!</v>
      </c>
      <c r="Q580" s="62">
        <v>14</v>
      </c>
      <c r="R580" s="62">
        <f t="shared" si="273"/>
        <v>-70</v>
      </c>
      <c r="AD580" s="221"/>
      <c r="AE580" s="481"/>
      <c r="AF580" s="481"/>
      <c r="AG580" s="481"/>
      <c r="AH580" s="481"/>
      <c r="AI580" s="873">
        <f t="shared" si="269"/>
        <v>33.08</v>
      </c>
      <c r="AJ580" s="26">
        <f t="shared" si="267"/>
        <v>41.95</v>
      </c>
      <c r="AK580" s="26">
        <f t="shared" si="270"/>
        <v>3523.8</v>
      </c>
      <c r="AL580" s="224"/>
    </row>
    <row r="581" spans="1:38" s="62" customFormat="1" ht="45">
      <c r="A581" s="25" t="s">
        <v>2824</v>
      </c>
      <c r="B581" s="24">
        <v>91992</v>
      </c>
      <c r="C581" s="23" t="s">
        <v>1712</v>
      </c>
      <c r="D581" s="25" t="s">
        <v>12</v>
      </c>
      <c r="E581" s="25" t="s">
        <v>17</v>
      </c>
      <c r="F581" s="26">
        <v>14</v>
      </c>
      <c r="G581" s="26">
        <f t="shared" si="257"/>
        <v>25.533999999999999</v>
      </c>
      <c r="H581" s="26">
        <f>ROUND(G581*(1+$J$13),2)</f>
        <v>32.380000000000003</v>
      </c>
      <c r="I581" s="26">
        <f t="shared" si="274"/>
        <v>453.32</v>
      </c>
      <c r="J581" s="64" t="e">
        <f>IF(B581&lt;&gt;0,VLOOKUP(B581,#REF!,4,FALSE),"")</f>
        <v>#REF!</v>
      </c>
      <c r="K581" s="362" t="s">
        <v>3164</v>
      </c>
      <c r="L581" s="65">
        <f t="shared" si="258"/>
        <v>-4.5060000000000002</v>
      </c>
      <c r="M581" s="65">
        <f t="shared" si="259"/>
        <v>357.476</v>
      </c>
      <c r="N581" s="65"/>
      <c r="O581" s="65">
        <f t="shared" si="260"/>
        <v>453.32000000000005</v>
      </c>
      <c r="P581" s="65" t="e">
        <f>IF(B581&lt;&gt;0,VLOOKUP(B581,#REF!,2,FALSE),"")</f>
        <v>#REF!</v>
      </c>
      <c r="Q581" s="62">
        <v>14</v>
      </c>
      <c r="R581" s="62">
        <f t="shared" si="273"/>
        <v>0</v>
      </c>
      <c r="AD581" s="221"/>
      <c r="AE581" s="481"/>
      <c r="AF581" s="481"/>
      <c r="AG581" s="481"/>
      <c r="AH581" s="481"/>
      <c r="AI581" s="873">
        <f t="shared" si="269"/>
        <v>28.45</v>
      </c>
      <c r="AJ581" s="26">
        <f t="shared" si="267"/>
        <v>36.08</v>
      </c>
      <c r="AK581" s="26">
        <f t="shared" si="270"/>
        <v>505.12</v>
      </c>
      <c r="AL581" s="224"/>
    </row>
    <row r="582" spans="1:38" ht="38.25" customHeight="1">
      <c r="A582" s="25" t="s">
        <v>2825</v>
      </c>
      <c r="B582" s="24">
        <v>780</v>
      </c>
      <c r="C582" s="23" t="s">
        <v>1938</v>
      </c>
      <c r="D582" s="25" t="s">
        <v>44</v>
      </c>
      <c r="E582" s="25" t="s">
        <v>17</v>
      </c>
      <c r="F582" s="26">
        <v>14</v>
      </c>
      <c r="G582" s="26">
        <f t="shared" si="257"/>
        <v>57.239000000000004</v>
      </c>
      <c r="H582" s="26">
        <f>ROUND(G582*(1+$J$13),2)</f>
        <v>72.58</v>
      </c>
      <c r="I582" s="26">
        <f t="shared" si="274"/>
        <v>1016.12</v>
      </c>
      <c r="J582" s="64">
        <f>'COMPOSIÇÃO DE CUSTOS'!G1903</f>
        <v>57.23</v>
      </c>
      <c r="K582" s="362">
        <v>67.34</v>
      </c>
      <c r="L582" s="65">
        <f t="shared" si="258"/>
        <v>-10.100999999999999</v>
      </c>
      <c r="M582" s="65">
        <f t="shared" si="259"/>
        <v>801.346</v>
      </c>
      <c r="N582" s="65"/>
      <c r="O582" s="65">
        <f t="shared" si="260"/>
        <v>1016.12</v>
      </c>
      <c r="P582" s="65" t="e">
        <f>IF(B582&lt;&gt;0,VLOOKUP(B582,#REF!,2,FALSE),"")</f>
        <v>#REF!</v>
      </c>
      <c r="Q582" s="2">
        <v>14</v>
      </c>
      <c r="R582" s="62">
        <f t="shared" si="273"/>
        <v>0</v>
      </c>
      <c r="AD582" s="21"/>
      <c r="AE582" s="481"/>
      <c r="AF582" s="481"/>
      <c r="AG582" s="481"/>
      <c r="AH582" s="481"/>
      <c r="AI582" s="873">
        <f t="shared" si="269"/>
        <v>63.76</v>
      </c>
      <c r="AJ582" s="26">
        <f t="shared" si="267"/>
        <v>80.849999999999994</v>
      </c>
      <c r="AK582" s="26">
        <f t="shared" si="270"/>
        <v>1131.9000000000001</v>
      </c>
    </row>
    <row r="583" spans="1:38" s="45" customFormat="1" ht="31.5" customHeight="1">
      <c r="A583" s="25" t="s">
        <v>2826</v>
      </c>
      <c r="B583" s="24">
        <v>12397</v>
      </c>
      <c r="C583" s="23" t="s">
        <v>1974</v>
      </c>
      <c r="D583" s="25" t="s">
        <v>44</v>
      </c>
      <c r="E583" s="25" t="s">
        <v>17</v>
      </c>
      <c r="F583" s="26">
        <v>14</v>
      </c>
      <c r="G583" s="26">
        <f t="shared" si="257"/>
        <v>49.291499999999999</v>
      </c>
      <c r="H583" s="26">
        <f>ROUND(G583*(1+$J$13),2)</f>
        <v>62.51</v>
      </c>
      <c r="I583" s="26">
        <f t="shared" si="274"/>
        <v>875.14</v>
      </c>
      <c r="J583" s="64">
        <f>'COMPOSIÇÃO DE CUSTOS'!G2025</f>
        <v>49.28</v>
      </c>
      <c r="K583" s="362">
        <v>57.99</v>
      </c>
      <c r="L583" s="65">
        <f t="shared" si="258"/>
        <v>-8.6985000000000028</v>
      </c>
      <c r="M583" s="65">
        <f t="shared" si="259"/>
        <v>690.08100000000002</v>
      </c>
      <c r="N583" s="65"/>
      <c r="O583" s="65">
        <f t="shared" si="260"/>
        <v>875.14</v>
      </c>
      <c r="P583" s="65" t="e">
        <f>IF(B583&lt;&gt;0,VLOOKUP(B583,#REF!,2,FALSE),"")</f>
        <v>#REF!</v>
      </c>
      <c r="R583" s="62">
        <f t="shared" si="273"/>
        <v>-14</v>
      </c>
      <c r="AD583" s="56"/>
      <c r="AE583" s="481"/>
      <c r="AF583" s="481"/>
      <c r="AG583" s="481"/>
      <c r="AH583" s="481"/>
      <c r="AI583" s="873">
        <f t="shared" si="269"/>
        <v>54.91</v>
      </c>
      <c r="AJ583" s="26">
        <f t="shared" si="267"/>
        <v>69.63</v>
      </c>
      <c r="AK583" s="26">
        <f t="shared" si="270"/>
        <v>974.82</v>
      </c>
      <c r="AL583" s="724"/>
    </row>
    <row r="584" spans="1:38" s="62" customFormat="1">
      <c r="A584" s="77" t="s">
        <v>1144</v>
      </c>
      <c r="B584" s="139"/>
      <c r="C584" s="340" t="s">
        <v>214</v>
      </c>
      <c r="D584" s="341"/>
      <c r="E584" s="341"/>
      <c r="F584" s="341"/>
      <c r="G584" s="26"/>
      <c r="H584" s="341"/>
      <c r="I584" s="96"/>
      <c r="J584" s="64" t="str">
        <f>IF(B584&lt;&gt;0,VLOOKUP(B584,#REF!,4,FALSE),"")</f>
        <v/>
      </c>
      <c r="K584" s="362" t="s">
        <v>1892</v>
      </c>
      <c r="L584" s="65"/>
      <c r="M584" s="65">
        <f t="shared" si="259"/>
        <v>0</v>
      </c>
      <c r="N584" s="65"/>
      <c r="O584" s="65">
        <f t="shared" si="260"/>
        <v>0</v>
      </c>
      <c r="P584" s="65" t="str">
        <f>IF(B584&lt;&gt;0,VLOOKUP(B584,#REF!,2,FALSE),"")</f>
        <v/>
      </c>
      <c r="Q584" s="62">
        <v>762</v>
      </c>
      <c r="R584" s="62">
        <f t="shared" si="273"/>
        <v>762</v>
      </c>
      <c r="AD584" s="221"/>
      <c r="AE584" s="481"/>
      <c r="AF584" s="481"/>
      <c r="AG584" s="481"/>
      <c r="AH584" s="481"/>
      <c r="AI584" s="552"/>
      <c r="AJ584" s="27"/>
      <c r="AK584" s="27"/>
      <c r="AL584" s="224"/>
    </row>
    <row r="585" spans="1:38" s="34" customFormat="1" ht="45">
      <c r="A585" s="472" t="s">
        <v>1145</v>
      </c>
      <c r="B585" s="475">
        <v>91926</v>
      </c>
      <c r="C585" s="471" t="s">
        <v>1713</v>
      </c>
      <c r="D585" s="472" t="s">
        <v>12</v>
      </c>
      <c r="E585" s="472" t="s">
        <v>52</v>
      </c>
      <c r="F585" s="473">
        <v>762</v>
      </c>
      <c r="G585" s="473">
        <f t="shared" si="257"/>
        <v>3.0684999999999998</v>
      </c>
      <c r="H585" s="473">
        <f>ROUND(G585*(1+$J$13),2)</f>
        <v>3.89</v>
      </c>
      <c r="I585" s="473">
        <f t="shared" ref="I585:I586" si="275">ROUND(H585*F585,2)</f>
        <v>2964.18</v>
      </c>
      <c r="J585" s="474" t="e">
        <f>IF(B585&lt;&gt;0,VLOOKUP(B585,#REF!,4,FALSE),"")</f>
        <v>#REF!</v>
      </c>
      <c r="K585" s="378" t="s">
        <v>3107</v>
      </c>
      <c r="L585" s="47">
        <f t="shared" si="258"/>
        <v>-0.54150000000000009</v>
      </c>
      <c r="M585" s="47">
        <f t="shared" si="259"/>
        <v>2338.1969999999997</v>
      </c>
      <c r="N585" s="47"/>
      <c r="O585" s="47">
        <f t="shared" si="260"/>
        <v>2964.1800000000003</v>
      </c>
      <c r="P585" s="47" t="e">
        <f>IF(B585&lt;&gt;0,VLOOKUP(B585,#REF!,2,FALSE),"")</f>
        <v>#REF!</v>
      </c>
      <c r="Q585" s="34">
        <v>2464</v>
      </c>
      <c r="R585" s="34">
        <f t="shared" si="273"/>
        <v>1702</v>
      </c>
      <c r="AD585" s="577"/>
      <c r="AE585" s="502"/>
      <c r="AF585" s="502"/>
      <c r="AG585" s="502"/>
      <c r="AH585" s="502"/>
      <c r="AI585" s="872">
        <f>AL585</f>
        <v>4.33</v>
      </c>
      <c r="AJ585" s="473">
        <f>ROUND(AI585*(1+$J$13),2)</f>
        <v>5.49</v>
      </c>
      <c r="AK585" s="473">
        <f>ROUND(AJ585*F585,2)</f>
        <v>4183.38</v>
      </c>
      <c r="AL585" s="788">
        <f>'PLANILHA ORÇA - CORREGEDORIA'!BG653</f>
        <v>4.33</v>
      </c>
    </row>
    <row r="586" spans="1:38" s="34" customFormat="1" ht="48.75" customHeight="1">
      <c r="A586" s="472" t="s">
        <v>1146</v>
      </c>
      <c r="B586" s="475">
        <v>91928</v>
      </c>
      <c r="C586" s="471" t="s">
        <v>2827</v>
      </c>
      <c r="D586" s="472" t="s">
        <v>12</v>
      </c>
      <c r="E586" s="472" t="s">
        <v>52</v>
      </c>
      <c r="F586" s="473">
        <v>2464</v>
      </c>
      <c r="G586" s="473">
        <f t="shared" si="257"/>
        <v>5.117</v>
      </c>
      <c r="H586" s="473">
        <f>ROUND(G586*(1+$J$13),2)</f>
        <v>6.49</v>
      </c>
      <c r="I586" s="473">
        <f t="shared" si="275"/>
        <v>15991.36</v>
      </c>
      <c r="J586" s="474" t="e">
        <f>IF(B586&lt;&gt;0,VLOOKUP(B586,#REF!,4,FALSE),"")</f>
        <v>#REF!</v>
      </c>
      <c r="K586" s="378" t="s">
        <v>1864</v>
      </c>
      <c r="L586" s="47">
        <f t="shared" si="258"/>
        <v>-0.90299999999999958</v>
      </c>
      <c r="M586" s="47">
        <f t="shared" si="259"/>
        <v>12608.288</v>
      </c>
      <c r="N586" s="47"/>
      <c r="O586" s="47">
        <f t="shared" si="260"/>
        <v>15991.36</v>
      </c>
      <c r="P586" s="47" t="e">
        <f>IF(B586&lt;&gt;0,VLOOKUP(B586,#REF!,2,FALSE),"")</f>
        <v>#REF!</v>
      </c>
      <c r="R586" s="34">
        <f t="shared" si="273"/>
        <v>-2464</v>
      </c>
      <c r="AD586" s="577"/>
      <c r="AE586" s="502"/>
      <c r="AF586" s="502"/>
      <c r="AG586" s="502"/>
      <c r="AH586" s="502"/>
      <c r="AI586" s="872">
        <f>AL586</f>
        <v>6.67</v>
      </c>
      <c r="AJ586" s="473">
        <f>ROUND(AI586*(1+$J$13),2)</f>
        <v>8.4600000000000009</v>
      </c>
      <c r="AK586" s="473">
        <f>ROUND(AJ586*F586,2)</f>
        <v>20845.439999999999</v>
      </c>
      <c r="AL586" s="788">
        <f>'PLANILHA ORÇA - CORREGEDORIA'!BG654</f>
        <v>6.67</v>
      </c>
    </row>
    <row r="587" spans="1:38" s="45" customFormat="1" ht="15" customHeight="1">
      <c r="A587" s="77" t="s">
        <v>1151</v>
      </c>
      <c r="B587" s="139"/>
      <c r="C587" s="340" t="s">
        <v>216</v>
      </c>
      <c r="D587" s="341"/>
      <c r="E587" s="341"/>
      <c r="F587" s="341"/>
      <c r="G587" s="26"/>
      <c r="H587" s="341"/>
      <c r="I587" s="96"/>
      <c r="J587" s="64" t="str">
        <f>IF(B587&lt;&gt;0,VLOOKUP(B587,#REF!,4,FALSE),"")</f>
        <v/>
      </c>
      <c r="K587" s="362" t="s">
        <v>1892</v>
      </c>
      <c r="L587" s="65"/>
      <c r="M587" s="65">
        <f t="shared" si="259"/>
        <v>0</v>
      </c>
      <c r="N587" s="65"/>
      <c r="O587" s="65">
        <f t="shared" si="260"/>
        <v>0</v>
      </c>
      <c r="P587" s="65" t="str">
        <f>IF(B587&lt;&gt;0,VLOOKUP(B587,#REF!,2,FALSE),"")</f>
        <v/>
      </c>
      <c r="Q587" s="45">
        <v>7</v>
      </c>
      <c r="R587" s="62">
        <f t="shared" si="273"/>
        <v>7</v>
      </c>
      <c r="AD587" s="56"/>
      <c r="AE587" s="481"/>
      <c r="AF587" s="481"/>
      <c r="AG587" s="481"/>
      <c r="AH587" s="481"/>
      <c r="AI587" s="552"/>
      <c r="AJ587" s="27"/>
      <c r="AK587" s="27"/>
      <c r="AL587" s="724"/>
    </row>
    <row r="588" spans="1:38" s="62" customFormat="1" ht="33.75" customHeight="1">
      <c r="A588" s="25" t="s">
        <v>1152</v>
      </c>
      <c r="B588" s="24" t="s">
        <v>2285</v>
      </c>
      <c r="C588" s="23" t="s">
        <v>228</v>
      </c>
      <c r="D588" s="25" t="s">
        <v>70</v>
      </c>
      <c r="E588" s="25" t="s">
        <v>17</v>
      </c>
      <c r="F588" s="26">
        <v>7</v>
      </c>
      <c r="G588" s="26">
        <f t="shared" si="257"/>
        <v>43.978999999999999</v>
      </c>
      <c r="H588" s="26">
        <f>ROUND(G588*(1+$J$13),2)</f>
        <v>55.77</v>
      </c>
      <c r="I588" s="26">
        <f t="shared" ref="I588:I590" si="276">ROUND(H588*F588,2)</f>
        <v>390.39</v>
      </c>
      <c r="J588" s="64">
        <f>'COMPOSIÇÃO DE CUSTOS'!G1314</f>
        <v>43.97</v>
      </c>
      <c r="K588" s="362">
        <v>51.74</v>
      </c>
      <c r="L588" s="65">
        <f t="shared" si="258"/>
        <v>-7.7610000000000028</v>
      </c>
      <c r="M588" s="65">
        <f t="shared" si="259"/>
        <v>307.85300000000001</v>
      </c>
      <c r="N588" s="65"/>
      <c r="O588" s="65">
        <f t="shared" si="260"/>
        <v>390.39000000000004</v>
      </c>
      <c r="P588" s="65" t="e">
        <f>IF(B588&lt;&gt;0,VLOOKUP(B588,#REF!,2,FALSE),"")</f>
        <v>#REF!</v>
      </c>
      <c r="Q588" s="62">
        <v>84</v>
      </c>
      <c r="R588" s="62">
        <f t="shared" si="273"/>
        <v>77</v>
      </c>
      <c r="AD588" s="221"/>
      <c r="AE588" s="481"/>
      <c r="AF588" s="481"/>
      <c r="AG588" s="481"/>
      <c r="AH588" s="481"/>
      <c r="AI588" s="873">
        <f t="shared" ref="AI588" si="277">ROUND(G588*$AM$11,2)</f>
        <v>48.99</v>
      </c>
      <c r="AJ588" s="26">
        <f t="shared" ref="AJ588:AJ590" si="278">ROUND(AI588*(1+$J$13),2)</f>
        <v>62.12</v>
      </c>
      <c r="AK588" s="26">
        <f t="shared" ref="AK588" si="279">ROUND(AJ588*F588,2)</f>
        <v>434.84</v>
      </c>
      <c r="AL588" s="224"/>
    </row>
    <row r="589" spans="1:38" s="62" customFormat="1" ht="45">
      <c r="A589" s="25" t="s">
        <v>1153</v>
      </c>
      <c r="B589" s="24">
        <v>91944</v>
      </c>
      <c r="C589" s="23" t="s">
        <v>1728</v>
      </c>
      <c r="D589" s="25" t="s">
        <v>12</v>
      </c>
      <c r="E589" s="25" t="s">
        <v>17</v>
      </c>
      <c r="F589" s="26">
        <v>84</v>
      </c>
      <c r="G589" s="26">
        <f t="shared" si="257"/>
        <v>8.5</v>
      </c>
      <c r="H589" s="26">
        <f>ROUND(G589*(1+$J$13),2)</f>
        <v>10.78</v>
      </c>
      <c r="I589" s="26">
        <f t="shared" si="276"/>
        <v>905.52</v>
      </c>
      <c r="J589" s="64" t="e">
        <f>IF(B589&lt;&gt;0,VLOOKUP(B589,#REF!,4,FALSE),"")</f>
        <v>#REF!</v>
      </c>
      <c r="K589" s="362" t="s">
        <v>2644</v>
      </c>
      <c r="L589" s="65">
        <f t="shared" si="258"/>
        <v>-1.5</v>
      </c>
      <c r="M589" s="65">
        <f t="shared" si="259"/>
        <v>714</v>
      </c>
      <c r="N589" s="65"/>
      <c r="O589" s="65">
        <f t="shared" si="260"/>
        <v>905.52</v>
      </c>
      <c r="P589" s="65" t="e">
        <f>IF(B589&lt;&gt;0,VLOOKUP(B589,#REF!,2,FALSE),"")</f>
        <v>#REF!</v>
      </c>
      <c r="Q589" s="62">
        <v>7</v>
      </c>
      <c r="R589" s="62">
        <f t="shared" si="273"/>
        <v>-77</v>
      </c>
      <c r="AD589" s="221"/>
      <c r="AE589" s="481"/>
      <c r="AF589" s="481"/>
      <c r="AG589" s="481"/>
      <c r="AH589" s="481"/>
      <c r="AI589" s="873">
        <f t="shared" ref="AI589:AI590" si="280">ROUND(G589*$AM$11,2)</f>
        <v>9.4700000000000006</v>
      </c>
      <c r="AJ589" s="26">
        <f t="shared" si="278"/>
        <v>12.01</v>
      </c>
      <c r="AK589" s="26">
        <f t="shared" ref="AK589:AK590" si="281">ROUND(AJ589*F589,2)</f>
        <v>1008.84</v>
      </c>
      <c r="AL589" s="224"/>
    </row>
    <row r="590" spans="1:38" s="62" customFormat="1" ht="45">
      <c r="A590" s="25" t="s">
        <v>2828</v>
      </c>
      <c r="B590" s="24">
        <v>91939</v>
      </c>
      <c r="C590" s="23" t="s">
        <v>1715</v>
      </c>
      <c r="D590" s="25" t="s">
        <v>12</v>
      </c>
      <c r="E590" s="25" t="s">
        <v>17</v>
      </c>
      <c r="F590" s="26">
        <v>7</v>
      </c>
      <c r="G590" s="26">
        <f t="shared" si="257"/>
        <v>16.234999999999999</v>
      </c>
      <c r="H590" s="26">
        <f>ROUND(G590*(1+$J$13),2)</f>
        <v>20.59</v>
      </c>
      <c r="I590" s="26">
        <f t="shared" si="276"/>
        <v>144.13</v>
      </c>
      <c r="J590" s="64" t="e">
        <f>IF(B590&lt;&gt;0,VLOOKUP(B590,#REF!,4,FALSE),"")</f>
        <v>#REF!</v>
      </c>
      <c r="K590" s="362" t="s">
        <v>3236</v>
      </c>
      <c r="L590" s="65">
        <f t="shared" si="258"/>
        <v>-2.865000000000002</v>
      </c>
      <c r="M590" s="65">
        <f t="shared" si="259"/>
        <v>113.645</v>
      </c>
      <c r="N590" s="65"/>
      <c r="O590" s="65">
        <f t="shared" si="260"/>
        <v>144.13</v>
      </c>
      <c r="P590" s="65" t="e">
        <f>IF(B590&lt;&gt;0,VLOOKUP(B590,#REF!,2,FALSE),"")</f>
        <v>#REF!</v>
      </c>
      <c r="R590" s="62">
        <f t="shared" si="273"/>
        <v>-7</v>
      </c>
      <c r="AD590" s="221"/>
      <c r="AE590" s="481"/>
      <c r="AF590" s="481"/>
      <c r="AG590" s="481"/>
      <c r="AH590" s="481"/>
      <c r="AI590" s="873">
        <f t="shared" si="280"/>
        <v>18.09</v>
      </c>
      <c r="AJ590" s="26">
        <f t="shared" si="278"/>
        <v>22.94</v>
      </c>
      <c r="AK590" s="26">
        <f t="shared" si="281"/>
        <v>160.58000000000001</v>
      </c>
      <c r="AL590" s="224"/>
    </row>
    <row r="591" spans="1:38" s="62" customFormat="1">
      <c r="A591" s="25"/>
      <c r="B591" s="24"/>
      <c r="C591" s="23"/>
      <c r="D591" s="25"/>
      <c r="E591" s="25"/>
      <c r="F591" s="26"/>
      <c r="G591" s="26"/>
      <c r="H591" s="26"/>
      <c r="I591" s="26"/>
      <c r="J591" s="64" t="str">
        <f>IF(B591&lt;&gt;0,VLOOKUP(B591,#REF!,4,FALSE),"")</f>
        <v/>
      </c>
      <c r="K591" s="362" t="s">
        <v>1892</v>
      </c>
      <c r="L591" s="65"/>
      <c r="M591" s="65">
        <f t="shared" si="259"/>
        <v>0</v>
      </c>
      <c r="N591" s="65"/>
      <c r="O591" s="65">
        <f t="shared" si="260"/>
        <v>0</v>
      </c>
      <c r="P591" s="65" t="str">
        <f>IF(B591&lt;&gt;0,VLOOKUP(B591,#REF!,2,FALSE),"")</f>
        <v/>
      </c>
      <c r="R591" s="62">
        <f t="shared" si="273"/>
        <v>0</v>
      </c>
      <c r="AD591" s="221"/>
      <c r="AE591" s="481"/>
      <c r="AF591" s="481"/>
      <c r="AG591" s="481"/>
      <c r="AH591" s="481"/>
      <c r="AI591" s="552"/>
      <c r="AJ591" s="27"/>
      <c r="AK591" s="27"/>
      <c r="AL591" s="224"/>
    </row>
    <row r="592" spans="1:38" s="62" customFormat="1">
      <c r="A592" s="77" t="s">
        <v>1154</v>
      </c>
      <c r="B592" s="139"/>
      <c r="C592" s="340" t="s">
        <v>241</v>
      </c>
      <c r="D592" s="341"/>
      <c r="E592" s="341"/>
      <c r="F592" s="341"/>
      <c r="G592" s="26"/>
      <c r="H592" s="341"/>
      <c r="I592" s="96">
        <f>ROUND(SUM(I594:I603),2)</f>
        <v>116058.16</v>
      </c>
      <c r="J592" s="64" t="str">
        <f>IF(B592&lt;&gt;0,VLOOKUP(B592,#REF!,4,FALSE),"")</f>
        <v/>
      </c>
      <c r="K592" s="362" t="s">
        <v>1892</v>
      </c>
      <c r="L592" s="65"/>
      <c r="M592" s="65">
        <f t="shared" si="259"/>
        <v>0</v>
      </c>
      <c r="N592" s="65"/>
      <c r="O592" s="65">
        <f t="shared" si="260"/>
        <v>0</v>
      </c>
      <c r="P592" s="65" t="str">
        <f>IF(B592&lt;&gt;0,VLOOKUP(B592,#REF!,2,FALSE),"")</f>
        <v/>
      </c>
      <c r="R592" s="62">
        <f t="shared" si="273"/>
        <v>0</v>
      </c>
      <c r="AD592" s="221"/>
      <c r="AE592" s="481"/>
      <c r="AF592" s="481"/>
      <c r="AG592" s="481"/>
      <c r="AH592" s="481"/>
      <c r="AI592" s="855"/>
      <c r="AJ592" s="481"/>
      <c r="AK592" s="548">
        <f>ROUND(SUM(AK594:AK603),2)</f>
        <v>151798.43</v>
      </c>
      <c r="AL592" s="224"/>
    </row>
    <row r="593" spans="1:38" s="62" customFormat="1">
      <c r="A593" s="77" t="s">
        <v>1155</v>
      </c>
      <c r="B593" s="139"/>
      <c r="C593" s="340" t="s">
        <v>242</v>
      </c>
      <c r="D593" s="341"/>
      <c r="E593" s="341"/>
      <c r="F593" s="341"/>
      <c r="G593" s="26"/>
      <c r="H593" s="341"/>
      <c r="I593" s="96"/>
      <c r="J593" s="64" t="str">
        <f>IF(B593&lt;&gt;0,VLOOKUP(B593,#REF!,4,FALSE),"")</f>
        <v/>
      </c>
      <c r="K593" s="362" t="s">
        <v>1892</v>
      </c>
      <c r="L593" s="65"/>
      <c r="M593" s="65">
        <f t="shared" si="259"/>
        <v>0</v>
      </c>
      <c r="N593" s="65"/>
      <c r="O593" s="65">
        <f t="shared" si="260"/>
        <v>0</v>
      </c>
      <c r="P593" s="65" t="str">
        <f>IF(B593&lt;&gt;0,VLOOKUP(B593,#REF!,2,FALSE),"")</f>
        <v/>
      </c>
      <c r="Q593" s="62">
        <v>1</v>
      </c>
      <c r="R593" s="62">
        <f t="shared" si="273"/>
        <v>1</v>
      </c>
      <c r="AD593" s="221"/>
      <c r="AE593" s="481"/>
      <c r="AF593" s="481"/>
      <c r="AG593" s="481"/>
      <c r="AH593" s="481"/>
      <c r="AI593" s="855"/>
      <c r="AJ593" s="481"/>
      <c r="AK593" s="481"/>
      <c r="AL593" s="224"/>
    </row>
    <row r="594" spans="1:38" s="34" customFormat="1" ht="45">
      <c r="A594" s="472" t="s">
        <v>1156</v>
      </c>
      <c r="B594" s="475">
        <v>10726</v>
      </c>
      <c r="C594" s="471" t="s">
        <v>2829</v>
      </c>
      <c r="D594" s="472" t="s">
        <v>1915</v>
      </c>
      <c r="E594" s="472" t="s">
        <v>17</v>
      </c>
      <c r="F594" s="473">
        <v>1</v>
      </c>
      <c r="G594" s="473">
        <f t="shared" si="257"/>
        <v>86750.872499999998</v>
      </c>
      <c r="H594" s="473">
        <f>ROUND(G594*(1+$J$13),2)</f>
        <v>110008.78</v>
      </c>
      <c r="I594" s="473">
        <f t="shared" ref="I594" si="282">ROUND(H594*F594,2)</f>
        <v>110008.78</v>
      </c>
      <c r="J594" s="474">
        <f>'COMPOSIÇÃO DE CUSTOS'!G2456</f>
        <v>86750.87</v>
      </c>
      <c r="K594" s="378">
        <v>102059.85</v>
      </c>
      <c r="L594" s="47">
        <f t="shared" si="258"/>
        <v>-15308.977500000008</v>
      </c>
      <c r="M594" s="47">
        <f t="shared" si="259"/>
        <v>86750.872499999998</v>
      </c>
      <c r="N594" s="47"/>
      <c r="O594" s="47">
        <f t="shared" si="260"/>
        <v>110008.78</v>
      </c>
      <c r="P594" s="47" t="e">
        <f>IF(B594&lt;&gt;0,VLOOKUP(B594,#REF!,2,FALSE),"")</f>
        <v>#REF!</v>
      </c>
      <c r="R594" s="34">
        <f t="shared" si="273"/>
        <v>-1</v>
      </c>
      <c r="AD594" s="577"/>
      <c r="AE594" s="502"/>
      <c r="AF594" s="502"/>
      <c r="AG594" s="502"/>
      <c r="AH594" s="502"/>
      <c r="AI594" s="879">
        <f>AL594</f>
        <v>113572</v>
      </c>
      <c r="AJ594" s="473">
        <f>ROUND(AI594*(1+$J$13),2)</f>
        <v>144020.65</v>
      </c>
      <c r="AK594" s="562">
        <f>ROUND(AJ594*F594,2)</f>
        <v>144020.65</v>
      </c>
      <c r="AL594" s="788">
        <f>'COMPOSIÇÃO AB'!G816</f>
        <v>113572</v>
      </c>
    </row>
    <row r="595" spans="1:38" s="62" customFormat="1">
      <c r="A595" s="77" t="s">
        <v>1160</v>
      </c>
      <c r="B595" s="139"/>
      <c r="C595" s="340" t="s">
        <v>224</v>
      </c>
      <c r="D595" s="341"/>
      <c r="E595" s="341"/>
      <c r="F595" s="341"/>
      <c r="G595" s="26"/>
      <c r="H595" s="341"/>
      <c r="I595" s="96"/>
      <c r="J595" s="64" t="str">
        <f>IF(B595&lt;&gt;0,VLOOKUP(B595,#REF!,4,FALSE),"")</f>
        <v/>
      </c>
      <c r="K595" s="362" t="s">
        <v>1892</v>
      </c>
      <c r="L595" s="65"/>
      <c r="M595" s="65">
        <f t="shared" si="259"/>
        <v>0</v>
      </c>
      <c r="N595" s="65"/>
      <c r="O595" s="65">
        <f t="shared" si="260"/>
        <v>0</v>
      </c>
      <c r="P595" s="65" t="str">
        <f>IF(B595&lt;&gt;0,VLOOKUP(B595,#REF!,2,FALSE),"")</f>
        <v/>
      </c>
      <c r="Q595" s="62">
        <v>91</v>
      </c>
      <c r="R595" s="62">
        <f t="shared" si="273"/>
        <v>91</v>
      </c>
      <c r="AD595" s="221"/>
      <c r="AE595" s="481"/>
      <c r="AF595" s="481"/>
      <c r="AG595" s="481"/>
      <c r="AH595" s="481"/>
      <c r="AI595" s="855"/>
      <c r="AJ595" s="481"/>
      <c r="AK595" s="481"/>
      <c r="AL595" s="224"/>
    </row>
    <row r="596" spans="1:38" s="62" customFormat="1" ht="33.75" customHeight="1">
      <c r="A596" s="25" t="s">
        <v>1161</v>
      </c>
      <c r="B596" s="24" t="s">
        <v>2311</v>
      </c>
      <c r="C596" s="23" t="s">
        <v>244</v>
      </c>
      <c r="D596" s="25" t="s">
        <v>70</v>
      </c>
      <c r="E596" s="25" t="s">
        <v>52</v>
      </c>
      <c r="F596" s="26">
        <v>91</v>
      </c>
      <c r="G596" s="26">
        <f t="shared" si="257"/>
        <v>17.425000000000001</v>
      </c>
      <c r="H596" s="26">
        <f>ROUND(G596*(1+$J$13),2)</f>
        <v>22.1</v>
      </c>
      <c r="I596" s="26">
        <f t="shared" ref="I596" si="283">ROUND(H596*F596,2)</f>
        <v>2011.1</v>
      </c>
      <c r="J596" s="64">
        <f>'COMPOSIÇÃO DE CUSTOS'!G1357</f>
        <v>19.059999999999999</v>
      </c>
      <c r="K596" s="362">
        <v>20.5</v>
      </c>
      <c r="L596" s="65">
        <f t="shared" si="258"/>
        <v>-3.0749999999999993</v>
      </c>
      <c r="M596" s="65">
        <f t="shared" si="259"/>
        <v>1585.675</v>
      </c>
      <c r="N596" s="65"/>
      <c r="O596" s="65">
        <f t="shared" si="260"/>
        <v>2011.1000000000001</v>
      </c>
      <c r="P596" s="65" t="e">
        <f>IF(B596&lt;&gt;0,VLOOKUP(B596,#REF!,2,FALSE),"")</f>
        <v>#REF!</v>
      </c>
      <c r="R596" s="62">
        <f t="shared" si="273"/>
        <v>-91</v>
      </c>
      <c r="AD596" s="221"/>
      <c r="AE596" s="481"/>
      <c r="AF596" s="481"/>
      <c r="AG596" s="481"/>
      <c r="AH596" s="481"/>
      <c r="AI596" s="871">
        <f t="shared" ref="AI596" si="284">ROUND(G596*$AM$11,2)</f>
        <v>19.41</v>
      </c>
      <c r="AJ596" s="158">
        <f t="shared" ref="AJ596" si="285">ROUND(AI596*(1+$J$13),2)</f>
        <v>24.61</v>
      </c>
      <c r="AK596" s="158">
        <f t="shared" ref="AK596" si="286">ROUND(AJ596*F596,2)</f>
        <v>2239.5100000000002</v>
      </c>
      <c r="AL596" s="224"/>
    </row>
    <row r="597" spans="1:38" s="62" customFormat="1" ht="24" customHeight="1">
      <c r="A597" s="77" t="s">
        <v>1179</v>
      </c>
      <c r="B597" s="139"/>
      <c r="C597" s="340" t="s">
        <v>214</v>
      </c>
      <c r="D597" s="341"/>
      <c r="E597" s="341"/>
      <c r="F597" s="341"/>
      <c r="G597" s="26"/>
      <c r="H597" s="341"/>
      <c r="I597" s="96"/>
      <c r="J597" s="64" t="str">
        <f>IF(B597&lt;&gt;0,VLOOKUP(B597,#REF!,4,FALSE),"")</f>
        <v/>
      </c>
      <c r="K597" s="362" t="s">
        <v>1892</v>
      </c>
      <c r="L597" s="65"/>
      <c r="M597" s="65">
        <f t="shared" si="259"/>
        <v>0</v>
      </c>
      <c r="N597" s="65"/>
      <c r="O597" s="65">
        <f t="shared" si="260"/>
        <v>0</v>
      </c>
      <c r="P597" s="65" t="str">
        <f>IF(B597&lt;&gt;0,VLOOKUP(B597,#REF!,2,FALSE),"")</f>
        <v/>
      </c>
      <c r="Q597" s="62">
        <v>477</v>
      </c>
      <c r="R597" s="62">
        <f t="shared" si="273"/>
        <v>477</v>
      </c>
      <c r="AD597" s="221"/>
      <c r="AE597" s="481"/>
      <c r="AF597" s="481"/>
      <c r="AG597" s="481"/>
      <c r="AH597" s="481"/>
      <c r="AI597" s="552"/>
      <c r="AJ597" s="27"/>
      <c r="AK597" s="27"/>
      <c r="AL597" s="224"/>
    </row>
    <row r="598" spans="1:38" s="34" customFormat="1" ht="45">
      <c r="A598" s="472" t="s">
        <v>1180</v>
      </c>
      <c r="B598" s="475">
        <v>91929</v>
      </c>
      <c r="C598" s="471" t="s">
        <v>1714</v>
      </c>
      <c r="D598" s="472" t="s">
        <v>12</v>
      </c>
      <c r="E598" s="472" t="s">
        <v>52</v>
      </c>
      <c r="F598" s="473">
        <v>477</v>
      </c>
      <c r="G598" s="473">
        <f t="shared" ref="G598:G658" si="287">K598-(K598*$L$14)</f>
        <v>5.8819999999999997</v>
      </c>
      <c r="H598" s="473">
        <f>ROUND(G598*(1+$J$13),2)</f>
        <v>7.46</v>
      </c>
      <c r="I598" s="473">
        <f t="shared" ref="I598" si="288">ROUND(H598*F598,2)</f>
        <v>3558.42</v>
      </c>
      <c r="J598" s="474" t="e">
        <f>IF(B598&lt;&gt;0,VLOOKUP(B598,#REF!,4,FALSE),"")</f>
        <v>#REF!</v>
      </c>
      <c r="K598" s="378" t="s">
        <v>1860</v>
      </c>
      <c r="L598" s="47">
        <f t="shared" ref="L598:L658" si="289">G598-K598</f>
        <v>-1.0380000000000003</v>
      </c>
      <c r="M598" s="47">
        <f t="shared" ref="M598:M661" si="290">F598*G598</f>
        <v>2805.7139999999999</v>
      </c>
      <c r="N598" s="47"/>
      <c r="O598" s="47">
        <f t="shared" ref="O598:O661" si="291">F598*H598</f>
        <v>3558.42</v>
      </c>
      <c r="P598" s="47" t="e">
        <f>IF(B598&lt;&gt;0,VLOOKUP(B598,#REF!,2,FALSE),"")</f>
        <v>#REF!</v>
      </c>
      <c r="R598" s="34">
        <f t="shared" si="273"/>
        <v>-477</v>
      </c>
      <c r="AD598" s="577"/>
      <c r="AE598" s="502"/>
      <c r="AF598" s="502"/>
      <c r="AG598" s="502"/>
      <c r="AH598" s="502"/>
      <c r="AI598" s="872">
        <f>AL598</f>
        <v>8.27</v>
      </c>
      <c r="AJ598" s="473">
        <f>ROUND(AI598*(1+$J$13),2)</f>
        <v>10.49</v>
      </c>
      <c r="AK598" s="473">
        <f>ROUND(AJ598*F598,2)</f>
        <v>5003.7299999999996</v>
      </c>
      <c r="AL598" s="788">
        <f>'PLANILHA ORÇA - CORREGEDORIA'!BG672</f>
        <v>8.27</v>
      </c>
    </row>
    <row r="599" spans="1:38" s="62" customFormat="1">
      <c r="A599" s="77" t="s">
        <v>1184</v>
      </c>
      <c r="B599" s="139"/>
      <c r="C599" s="340" t="s">
        <v>216</v>
      </c>
      <c r="D599" s="341"/>
      <c r="E599" s="341"/>
      <c r="F599" s="341"/>
      <c r="G599" s="26"/>
      <c r="H599" s="341"/>
      <c r="I599" s="96"/>
      <c r="J599" s="64" t="str">
        <f>IF(B599&lt;&gt;0,VLOOKUP(B599,#REF!,4,FALSE),"")</f>
        <v/>
      </c>
      <c r="K599" s="362" t="s">
        <v>1892</v>
      </c>
      <c r="L599" s="65"/>
      <c r="M599" s="65">
        <f t="shared" si="290"/>
        <v>0</v>
      </c>
      <c r="N599" s="65"/>
      <c r="O599" s="65">
        <f t="shared" si="291"/>
        <v>0</v>
      </c>
      <c r="P599" s="65" t="str">
        <f>IF(B599&lt;&gt;0,VLOOKUP(B599,#REF!,2,FALSE),"")</f>
        <v/>
      </c>
      <c r="Q599" s="62">
        <v>4</v>
      </c>
      <c r="R599" s="62">
        <f t="shared" si="273"/>
        <v>4</v>
      </c>
      <c r="AD599" s="221"/>
      <c r="AE599" s="481"/>
      <c r="AF599" s="481"/>
      <c r="AG599" s="481"/>
      <c r="AH599" s="481"/>
      <c r="AI599" s="552"/>
      <c r="AJ599" s="27"/>
      <c r="AK599" s="27"/>
      <c r="AL599" s="224"/>
    </row>
    <row r="600" spans="1:38" s="62" customFormat="1" ht="45">
      <c r="A600" s="25" t="s">
        <v>1185</v>
      </c>
      <c r="B600" s="24">
        <v>95795</v>
      </c>
      <c r="C600" s="23" t="s">
        <v>1707</v>
      </c>
      <c r="D600" s="25" t="s">
        <v>12</v>
      </c>
      <c r="E600" s="25" t="s">
        <v>17</v>
      </c>
      <c r="F600" s="26">
        <v>4</v>
      </c>
      <c r="G600" s="26">
        <f t="shared" si="287"/>
        <v>21.488</v>
      </c>
      <c r="H600" s="26">
        <f>ROUND(G600*(1+$J$13),2)</f>
        <v>27.25</v>
      </c>
      <c r="I600" s="26">
        <f t="shared" ref="I600:I603" si="292">ROUND(H600*F600,2)</f>
        <v>109</v>
      </c>
      <c r="J600" s="64" t="e">
        <f>IF(B600&lt;&gt;0,VLOOKUP(B600,#REF!,4,FALSE),"")</f>
        <v>#REF!</v>
      </c>
      <c r="K600" s="362" t="s">
        <v>3238</v>
      </c>
      <c r="L600" s="65">
        <f t="shared" si="289"/>
        <v>-3.7920000000000016</v>
      </c>
      <c r="M600" s="65">
        <f t="shared" si="290"/>
        <v>85.951999999999998</v>
      </c>
      <c r="N600" s="65"/>
      <c r="O600" s="65">
        <f t="shared" si="291"/>
        <v>109</v>
      </c>
      <c r="P600" s="65" t="e">
        <f>IF(B600&lt;&gt;0,VLOOKUP(B600,#REF!,2,FALSE),"")</f>
        <v>#REF!</v>
      </c>
      <c r="Q600" s="62">
        <v>3</v>
      </c>
      <c r="R600" s="62">
        <f t="shared" si="273"/>
        <v>-1</v>
      </c>
      <c r="AD600" s="221"/>
      <c r="AE600" s="481"/>
      <c r="AF600" s="481"/>
      <c r="AG600" s="481"/>
      <c r="AH600" s="481"/>
      <c r="AI600" s="873">
        <f t="shared" ref="AI600:AI603" si="293">ROUND(G600*$AM$11,2)</f>
        <v>23.94</v>
      </c>
      <c r="AJ600" s="26">
        <f t="shared" ref="AJ600:AJ603" si="294">ROUND(AI600*(1+$J$13),2)</f>
        <v>30.36</v>
      </c>
      <c r="AK600" s="26">
        <f t="shared" ref="AK600:AK603" si="295">ROUND(AJ600*F600,2)</f>
        <v>121.44</v>
      </c>
      <c r="AL600" s="224"/>
    </row>
    <row r="601" spans="1:38" s="62" customFormat="1" ht="45">
      <c r="A601" s="25" t="s">
        <v>1186</v>
      </c>
      <c r="B601" s="24">
        <v>95787</v>
      </c>
      <c r="C601" s="23" t="s">
        <v>1708</v>
      </c>
      <c r="D601" s="25" t="s">
        <v>12</v>
      </c>
      <c r="E601" s="25" t="s">
        <v>17</v>
      </c>
      <c r="F601" s="26">
        <v>3</v>
      </c>
      <c r="G601" s="26">
        <f t="shared" si="287"/>
        <v>18.614999999999998</v>
      </c>
      <c r="H601" s="26">
        <f>ROUND(G601*(1+$J$13),2)</f>
        <v>23.61</v>
      </c>
      <c r="I601" s="26">
        <f t="shared" si="292"/>
        <v>70.83</v>
      </c>
      <c r="J601" s="64" t="e">
        <f>IF(B601&lt;&gt;0,VLOOKUP(B601,#REF!,4,FALSE),"")</f>
        <v>#REF!</v>
      </c>
      <c r="K601" s="362" t="s">
        <v>1888</v>
      </c>
      <c r="L601" s="65">
        <f t="shared" si="289"/>
        <v>-3.2850000000000001</v>
      </c>
      <c r="M601" s="65">
        <f t="shared" si="290"/>
        <v>55.844999999999999</v>
      </c>
      <c r="N601" s="65"/>
      <c r="O601" s="65">
        <f t="shared" si="291"/>
        <v>70.83</v>
      </c>
      <c r="P601" s="65" t="e">
        <f>IF(B601&lt;&gt;0,VLOOKUP(B601,#REF!,2,FALSE),"")</f>
        <v>#REF!</v>
      </c>
      <c r="Q601" s="62">
        <v>6</v>
      </c>
      <c r="R601" s="62">
        <f t="shared" si="273"/>
        <v>3</v>
      </c>
      <c r="AD601" s="221"/>
      <c r="AE601" s="481"/>
      <c r="AF601" s="481"/>
      <c r="AG601" s="481"/>
      <c r="AH601" s="481"/>
      <c r="AI601" s="873">
        <f t="shared" si="293"/>
        <v>20.74</v>
      </c>
      <c r="AJ601" s="26">
        <f t="shared" si="294"/>
        <v>26.3</v>
      </c>
      <c r="AK601" s="26">
        <f t="shared" si="295"/>
        <v>78.900000000000006</v>
      </c>
      <c r="AL601" s="224"/>
    </row>
    <row r="602" spans="1:38" s="62" customFormat="1" ht="45">
      <c r="A602" s="25" t="s">
        <v>1187</v>
      </c>
      <c r="B602" s="24">
        <v>95779</v>
      </c>
      <c r="C602" s="23" t="s">
        <v>1710</v>
      </c>
      <c r="D602" s="25" t="s">
        <v>12</v>
      </c>
      <c r="E602" s="25" t="s">
        <v>17</v>
      </c>
      <c r="F602" s="26">
        <v>6</v>
      </c>
      <c r="G602" s="26">
        <f t="shared" si="287"/>
        <v>17.442</v>
      </c>
      <c r="H602" s="26">
        <f>ROUND(G602*(1+$J$13),2)</f>
        <v>22.12</v>
      </c>
      <c r="I602" s="26">
        <f t="shared" si="292"/>
        <v>132.72</v>
      </c>
      <c r="J602" s="64" t="e">
        <f>IF(B602&lt;&gt;0,VLOOKUP(B602,#REF!,4,FALSE),"")</f>
        <v>#REF!</v>
      </c>
      <c r="K602" s="362" t="s">
        <v>1900</v>
      </c>
      <c r="L602" s="65">
        <f t="shared" si="289"/>
        <v>-3.0779999999999994</v>
      </c>
      <c r="M602" s="65">
        <f t="shared" si="290"/>
        <v>104.652</v>
      </c>
      <c r="N602" s="65"/>
      <c r="O602" s="65">
        <f t="shared" si="291"/>
        <v>132.72</v>
      </c>
      <c r="P602" s="65" t="e">
        <f>IF(B602&lt;&gt;0,VLOOKUP(B602,#REF!,2,FALSE),"")</f>
        <v>#REF!</v>
      </c>
      <c r="Q602" s="62">
        <v>3</v>
      </c>
      <c r="R602" s="62">
        <f t="shared" si="273"/>
        <v>-3</v>
      </c>
      <c r="AD602" s="221"/>
      <c r="AE602" s="481"/>
      <c r="AF602" s="481"/>
      <c r="AG602" s="481"/>
      <c r="AH602" s="481"/>
      <c r="AI602" s="873">
        <f t="shared" si="293"/>
        <v>19.43</v>
      </c>
      <c r="AJ602" s="26">
        <f t="shared" si="294"/>
        <v>24.64</v>
      </c>
      <c r="AK602" s="26">
        <f t="shared" si="295"/>
        <v>147.84</v>
      </c>
      <c r="AL602" s="224"/>
    </row>
    <row r="603" spans="1:38" s="62" customFormat="1" ht="30">
      <c r="A603" s="25" t="s">
        <v>1188</v>
      </c>
      <c r="B603" s="24" t="s">
        <v>2285</v>
      </c>
      <c r="C603" s="23" t="s">
        <v>228</v>
      </c>
      <c r="D603" s="25" t="s">
        <v>70</v>
      </c>
      <c r="E603" s="25" t="s">
        <v>17</v>
      </c>
      <c r="F603" s="26">
        <v>3</v>
      </c>
      <c r="G603" s="26">
        <f t="shared" si="287"/>
        <v>43.978999999999999</v>
      </c>
      <c r="H603" s="26">
        <f>ROUND(G603*(1+$J$13),2)</f>
        <v>55.77</v>
      </c>
      <c r="I603" s="26">
        <f t="shared" si="292"/>
        <v>167.31</v>
      </c>
      <c r="J603" s="64">
        <f>'COMPOSIÇÃO DE CUSTOS'!G1314</f>
        <v>43.97</v>
      </c>
      <c r="K603" s="362">
        <v>51.74</v>
      </c>
      <c r="L603" s="65">
        <f t="shared" si="289"/>
        <v>-7.7610000000000028</v>
      </c>
      <c r="M603" s="65">
        <f t="shared" si="290"/>
        <v>131.93700000000001</v>
      </c>
      <c r="N603" s="65"/>
      <c r="O603" s="65">
        <f t="shared" si="291"/>
        <v>167.31</v>
      </c>
      <c r="P603" s="65" t="e">
        <f>IF(B603&lt;&gt;0,VLOOKUP(B603,#REF!,2,FALSE),"")</f>
        <v>#REF!</v>
      </c>
      <c r="R603" s="62">
        <f t="shared" si="273"/>
        <v>-3</v>
      </c>
      <c r="AD603" s="221"/>
      <c r="AE603" s="481"/>
      <c r="AF603" s="481"/>
      <c r="AG603" s="481"/>
      <c r="AH603" s="481"/>
      <c r="AI603" s="873">
        <f t="shared" si="293"/>
        <v>48.99</v>
      </c>
      <c r="AJ603" s="26">
        <f t="shared" si="294"/>
        <v>62.12</v>
      </c>
      <c r="AK603" s="26">
        <f t="shared" si="295"/>
        <v>186.36</v>
      </c>
      <c r="AL603" s="224"/>
    </row>
    <row r="604" spans="1:38" s="62" customFormat="1">
      <c r="A604" s="25"/>
      <c r="B604" s="24"/>
      <c r="C604" s="23"/>
      <c r="D604" s="25"/>
      <c r="E604" s="25"/>
      <c r="F604" s="26"/>
      <c r="G604" s="26"/>
      <c r="H604" s="26"/>
      <c r="I604" s="26"/>
      <c r="J604" s="64" t="str">
        <f>IF(B604&lt;&gt;0,VLOOKUP(B604,#REF!,4,FALSE),"")</f>
        <v/>
      </c>
      <c r="K604" s="362" t="s">
        <v>1892</v>
      </c>
      <c r="L604" s="65"/>
      <c r="M604" s="65">
        <f t="shared" si="290"/>
        <v>0</v>
      </c>
      <c r="N604" s="65"/>
      <c r="O604" s="65">
        <f t="shared" si="291"/>
        <v>0</v>
      </c>
      <c r="P604" s="65" t="str">
        <f>IF(B604&lt;&gt;0,VLOOKUP(B604,#REF!,2,FALSE),"")</f>
        <v/>
      </c>
      <c r="R604" s="62">
        <f t="shared" si="273"/>
        <v>0</v>
      </c>
      <c r="AD604" s="221"/>
      <c r="AE604" s="481"/>
      <c r="AF604" s="481"/>
      <c r="AG604" s="481"/>
      <c r="AH604" s="481"/>
      <c r="AI604" s="552"/>
      <c r="AJ604" s="27"/>
      <c r="AK604" s="27"/>
      <c r="AL604" s="224"/>
    </row>
    <row r="605" spans="1:38" s="62" customFormat="1">
      <c r="A605" s="77" t="s">
        <v>1210</v>
      </c>
      <c r="B605" s="139"/>
      <c r="C605" s="340" t="s">
        <v>247</v>
      </c>
      <c r="D605" s="341"/>
      <c r="E605" s="341"/>
      <c r="F605" s="341"/>
      <c r="G605" s="26"/>
      <c r="H605" s="341"/>
      <c r="I605" s="96">
        <f>SUM(I607:I658)</f>
        <v>108532.18999999999</v>
      </c>
      <c r="J605" s="64" t="str">
        <f>IF(B605&lt;&gt;0,VLOOKUP(B605,#REF!,4,FALSE),"")</f>
        <v/>
      </c>
      <c r="K605" s="362" t="s">
        <v>1892</v>
      </c>
      <c r="L605" s="65"/>
      <c r="M605" s="65">
        <f t="shared" si="290"/>
        <v>0</v>
      </c>
      <c r="N605" s="65"/>
      <c r="O605" s="65">
        <f t="shared" si="291"/>
        <v>0</v>
      </c>
      <c r="P605" s="65" t="str">
        <f>IF(B605&lt;&gt;0,VLOOKUP(B605,#REF!,2,FALSE),"")</f>
        <v/>
      </c>
      <c r="R605" s="62">
        <f t="shared" si="273"/>
        <v>0</v>
      </c>
      <c r="AD605" s="221"/>
      <c r="AE605" s="481"/>
      <c r="AF605" s="481"/>
      <c r="AG605" s="481"/>
      <c r="AH605" s="481"/>
      <c r="AI605" s="855"/>
      <c r="AJ605" s="481"/>
      <c r="AK605" s="548">
        <f>SUM(AK607:AK658)</f>
        <v>135013.1</v>
      </c>
      <c r="AL605" s="224"/>
    </row>
    <row r="606" spans="1:38" s="62" customFormat="1">
      <c r="A606" s="77" t="s">
        <v>1211</v>
      </c>
      <c r="B606" s="139"/>
      <c r="C606" s="340" t="s">
        <v>248</v>
      </c>
      <c r="D606" s="341"/>
      <c r="E606" s="341"/>
      <c r="F606" s="341"/>
      <c r="G606" s="26"/>
      <c r="H606" s="341"/>
      <c r="I606" s="96"/>
      <c r="J606" s="64" t="str">
        <f>IF(B606&lt;&gt;0,VLOOKUP(B606,#REF!,4,FALSE),"")</f>
        <v/>
      </c>
      <c r="K606" s="362" t="s">
        <v>1892</v>
      </c>
      <c r="L606" s="65"/>
      <c r="M606" s="65">
        <f t="shared" si="290"/>
        <v>0</v>
      </c>
      <c r="N606" s="65"/>
      <c r="O606" s="65">
        <f t="shared" si="291"/>
        <v>0</v>
      </c>
      <c r="P606" s="65" t="str">
        <f>IF(B606&lt;&gt;0,VLOOKUP(B606,#REF!,2,FALSE),"")</f>
        <v/>
      </c>
      <c r="Q606" s="62">
        <v>6</v>
      </c>
      <c r="R606" s="62">
        <f t="shared" si="273"/>
        <v>6</v>
      </c>
      <c r="AD606" s="221"/>
      <c r="AE606" s="481"/>
      <c r="AF606" s="481"/>
      <c r="AG606" s="481"/>
      <c r="AH606" s="481"/>
      <c r="AI606" s="855"/>
      <c r="AJ606" s="481"/>
      <c r="AK606" s="481"/>
      <c r="AL606" s="224"/>
    </row>
    <row r="607" spans="1:38" s="62" customFormat="1" ht="53.25" customHeight="1">
      <c r="A607" s="25" t="s">
        <v>1212</v>
      </c>
      <c r="B607" s="24">
        <v>97585</v>
      </c>
      <c r="C607" s="23" t="s">
        <v>2508</v>
      </c>
      <c r="D607" s="25" t="s">
        <v>12</v>
      </c>
      <c r="E607" s="25" t="s">
        <v>17</v>
      </c>
      <c r="F607" s="26">
        <v>6</v>
      </c>
      <c r="G607" s="26">
        <f t="shared" si="287"/>
        <v>59.16</v>
      </c>
      <c r="H607" s="26">
        <f t="shared" ref="H607:H612" si="296">ROUND(G607*(1+$J$13),2)</f>
        <v>75.02</v>
      </c>
      <c r="I607" s="26">
        <f t="shared" ref="I607:I612" si="297">ROUND(H607*F607,2)</f>
        <v>450.12</v>
      </c>
      <c r="J607" s="64" t="e">
        <f>IF(B607&lt;&gt;0,VLOOKUP(B607,#REF!,4,FALSE),"")</f>
        <v>#REF!</v>
      </c>
      <c r="K607" s="362" t="s">
        <v>3257</v>
      </c>
      <c r="L607" s="65">
        <f t="shared" si="289"/>
        <v>-10.439999999999998</v>
      </c>
      <c r="M607" s="65">
        <f t="shared" si="290"/>
        <v>354.96</v>
      </c>
      <c r="N607" s="65"/>
      <c r="O607" s="65">
        <f t="shared" si="291"/>
        <v>450.12</v>
      </c>
      <c r="P607" s="65" t="e">
        <f>IF(B607&lt;&gt;0,VLOOKUP(B607,#REF!,2,FALSE),"")</f>
        <v>#REF!</v>
      </c>
      <c r="Q607" s="62">
        <v>131</v>
      </c>
      <c r="R607" s="62">
        <f t="shared" si="273"/>
        <v>125</v>
      </c>
      <c r="AD607" s="221"/>
      <c r="AE607" s="481"/>
      <c r="AF607" s="481"/>
      <c r="AG607" s="481"/>
      <c r="AH607" s="481"/>
      <c r="AI607" s="871">
        <f t="shared" ref="AI607" si="298">ROUND(G607*$AM$11,2)</f>
        <v>65.900000000000006</v>
      </c>
      <c r="AJ607" s="158">
        <f t="shared" ref="AJ607" si="299">ROUND(AI607*(1+$J$13),2)</f>
        <v>83.57</v>
      </c>
      <c r="AK607" s="158">
        <f t="shared" ref="AK607" si="300">ROUND(AJ607*F607,2)</f>
        <v>501.42</v>
      </c>
      <c r="AL607" s="224"/>
    </row>
    <row r="608" spans="1:38" s="34" customFormat="1" ht="35.25" customHeight="1">
      <c r="A608" s="472" t="s">
        <v>1213</v>
      </c>
      <c r="B608" s="475">
        <v>539</v>
      </c>
      <c r="C608" s="471" t="s">
        <v>1931</v>
      </c>
      <c r="D608" s="472" t="s">
        <v>44</v>
      </c>
      <c r="E608" s="472" t="s">
        <v>17</v>
      </c>
      <c r="F608" s="473">
        <v>131</v>
      </c>
      <c r="G608" s="473">
        <f t="shared" si="287"/>
        <v>189.26949999999999</v>
      </c>
      <c r="H608" s="473">
        <f t="shared" si="296"/>
        <v>240.01</v>
      </c>
      <c r="I608" s="473">
        <f t="shared" si="297"/>
        <v>31441.31</v>
      </c>
      <c r="J608" s="474">
        <f>'COMPOSIÇÃO DE CUSTOS'!G1886</f>
        <v>189.27</v>
      </c>
      <c r="K608" s="378">
        <v>222.67</v>
      </c>
      <c r="L608" s="47">
        <f t="shared" si="289"/>
        <v>-33.400499999999994</v>
      </c>
      <c r="M608" s="47">
        <f t="shared" si="290"/>
        <v>24794.304499999998</v>
      </c>
      <c r="N608" s="47"/>
      <c r="O608" s="47">
        <f t="shared" si="291"/>
        <v>31441.309999999998</v>
      </c>
      <c r="P608" s="47" t="e">
        <f>IF(B608&lt;&gt;0,VLOOKUP(B608,#REF!,2,FALSE),"")</f>
        <v>#REF!</v>
      </c>
      <c r="Q608" s="34">
        <v>14</v>
      </c>
      <c r="R608" s="34">
        <f t="shared" si="273"/>
        <v>-117</v>
      </c>
      <c r="AD608" s="577"/>
      <c r="AE608" s="502"/>
      <c r="AF608" s="502"/>
      <c r="AG608" s="502"/>
      <c r="AH608" s="502"/>
      <c r="AI608" s="880">
        <f>AL608</f>
        <v>250.63</v>
      </c>
      <c r="AJ608" s="473">
        <f>ROUND(AI608*(1+$J$13),2)</f>
        <v>317.82</v>
      </c>
      <c r="AK608" s="573">
        <f>ROUND(AJ608*F608,2)</f>
        <v>41634.42</v>
      </c>
      <c r="AL608" s="788">
        <f>'PLANILHA ORÇA - CORREGEDORIA'!BG687</f>
        <v>250.63</v>
      </c>
    </row>
    <row r="609" spans="1:38" s="62" customFormat="1" ht="30">
      <c r="A609" s="25" t="s">
        <v>1214</v>
      </c>
      <c r="B609" s="24">
        <v>38770</v>
      </c>
      <c r="C609" s="23" t="s">
        <v>2029</v>
      </c>
      <c r="D609" s="25" t="s">
        <v>1915</v>
      </c>
      <c r="E609" s="25" t="s">
        <v>17</v>
      </c>
      <c r="F609" s="26">
        <v>14</v>
      </c>
      <c r="G609" s="26">
        <f t="shared" si="287"/>
        <v>75.267499999999998</v>
      </c>
      <c r="H609" s="26">
        <f t="shared" si="296"/>
        <v>95.45</v>
      </c>
      <c r="I609" s="26">
        <f t="shared" si="297"/>
        <v>1336.3</v>
      </c>
      <c r="J609" s="64">
        <f>'COMPOSIÇÃO DE CUSTOS'!G2207</f>
        <v>75.25</v>
      </c>
      <c r="K609" s="362">
        <v>88.55</v>
      </c>
      <c r="L609" s="65">
        <f t="shared" si="289"/>
        <v>-13.282499999999999</v>
      </c>
      <c r="M609" s="65">
        <f t="shared" si="290"/>
        <v>1053.7449999999999</v>
      </c>
      <c r="N609" s="65"/>
      <c r="O609" s="65">
        <f t="shared" si="291"/>
        <v>1336.3</v>
      </c>
      <c r="P609" s="65" t="e">
        <f>IF(B609&lt;&gt;0,VLOOKUP(B609,#REF!,2,FALSE),"")</f>
        <v>#REF!</v>
      </c>
      <c r="Q609" s="62">
        <v>12</v>
      </c>
      <c r="R609" s="62">
        <f t="shared" si="273"/>
        <v>-2</v>
      </c>
      <c r="AD609" s="221"/>
      <c r="AE609" s="481"/>
      <c r="AF609" s="481"/>
      <c r="AG609" s="481"/>
      <c r="AH609" s="481"/>
      <c r="AI609" s="873">
        <f t="shared" ref="AI609:AI610" si="301">ROUND(G609*$AM$11,2)</f>
        <v>83.85</v>
      </c>
      <c r="AJ609" s="26">
        <f t="shared" ref="AJ609:AJ610" si="302">ROUND(AI609*(1+$J$13),2)</f>
        <v>106.33</v>
      </c>
      <c r="AK609" s="26">
        <f t="shared" ref="AK609:AK610" si="303">ROUND(AJ609*F609,2)</f>
        <v>1488.62</v>
      </c>
      <c r="AL609" s="224"/>
    </row>
    <row r="610" spans="1:38" s="62" customFormat="1" ht="30">
      <c r="A610" s="25" t="s">
        <v>1215</v>
      </c>
      <c r="B610" s="24">
        <v>11130</v>
      </c>
      <c r="C610" s="23" t="s">
        <v>249</v>
      </c>
      <c r="D610" s="25" t="s">
        <v>44</v>
      </c>
      <c r="E610" s="25" t="s">
        <v>17</v>
      </c>
      <c r="F610" s="26">
        <v>12</v>
      </c>
      <c r="G610" s="26">
        <f t="shared" si="287"/>
        <v>78.540000000000006</v>
      </c>
      <c r="H610" s="26">
        <f t="shared" si="296"/>
        <v>99.6</v>
      </c>
      <c r="I610" s="26">
        <f t="shared" si="297"/>
        <v>1195.2</v>
      </c>
      <c r="J610" s="64">
        <f>'COMPOSIÇÃO DE CUSTOS'!G1385</f>
        <v>78.540000000000006</v>
      </c>
      <c r="K610" s="362">
        <v>92.4</v>
      </c>
      <c r="L610" s="65">
        <f t="shared" si="289"/>
        <v>-13.86</v>
      </c>
      <c r="M610" s="65">
        <f t="shared" si="290"/>
        <v>942.48</v>
      </c>
      <c r="N610" s="65"/>
      <c r="O610" s="65">
        <f t="shared" si="291"/>
        <v>1195.1999999999998</v>
      </c>
      <c r="P610" s="65" t="e">
        <f>IF(B610&lt;&gt;0,VLOOKUP(B610,#REF!,2,FALSE),"")</f>
        <v>#REF!</v>
      </c>
      <c r="Q610" s="62">
        <v>22</v>
      </c>
      <c r="R610" s="62">
        <f t="shared" si="273"/>
        <v>10</v>
      </c>
      <c r="AD610" s="221"/>
      <c r="AE610" s="481"/>
      <c r="AF610" s="481"/>
      <c r="AG610" s="481"/>
      <c r="AH610" s="481"/>
      <c r="AI610" s="873">
        <f t="shared" si="301"/>
        <v>87.49</v>
      </c>
      <c r="AJ610" s="26">
        <f t="shared" si="302"/>
        <v>110.95</v>
      </c>
      <c r="AK610" s="26">
        <f t="shared" si="303"/>
        <v>1331.4</v>
      </c>
      <c r="AL610" s="224"/>
    </row>
    <row r="611" spans="1:38" s="34" customFormat="1" ht="60">
      <c r="A611" s="472" t="s">
        <v>1216</v>
      </c>
      <c r="B611" s="472" t="s">
        <v>2410</v>
      </c>
      <c r="C611" s="471" t="s">
        <v>250</v>
      </c>
      <c r="D611" s="472" t="s">
        <v>1915</v>
      </c>
      <c r="E611" s="472" t="s">
        <v>17</v>
      </c>
      <c r="F611" s="473">
        <v>22</v>
      </c>
      <c r="G611" s="473">
        <f t="shared" si="287"/>
        <v>585.04649999999992</v>
      </c>
      <c r="H611" s="473">
        <f t="shared" si="296"/>
        <v>741.9</v>
      </c>
      <c r="I611" s="473">
        <f t="shared" si="297"/>
        <v>16321.8</v>
      </c>
      <c r="J611" s="474">
        <f>'COMPOSIÇÃO DE CUSTOS'!G1393</f>
        <v>585.03</v>
      </c>
      <c r="K611" s="378">
        <v>688.29</v>
      </c>
      <c r="L611" s="47">
        <f t="shared" si="289"/>
        <v>-103.24350000000004</v>
      </c>
      <c r="M611" s="47">
        <f t="shared" si="290"/>
        <v>12871.022999999997</v>
      </c>
      <c r="N611" s="47"/>
      <c r="O611" s="47">
        <f t="shared" si="291"/>
        <v>16321.8</v>
      </c>
      <c r="P611" s="47" t="e">
        <f>IF(B611&lt;&gt;0,VLOOKUP(B611,#REF!,2,FALSE),"")</f>
        <v>#REF!</v>
      </c>
      <c r="Q611" s="34">
        <v>6</v>
      </c>
      <c r="R611" s="34">
        <f t="shared" si="273"/>
        <v>-16</v>
      </c>
      <c r="AD611" s="577"/>
      <c r="AE611" s="502"/>
      <c r="AF611" s="502"/>
      <c r="AG611" s="502"/>
      <c r="AH611" s="502"/>
      <c r="AI611" s="872">
        <f>AL611</f>
        <v>651.75</v>
      </c>
      <c r="AJ611" s="473">
        <f>ROUND(AI611*(1+$J$13),2)</f>
        <v>826.48</v>
      </c>
      <c r="AK611" s="473">
        <f>ROUND(AJ611*F611,2)</f>
        <v>18182.560000000001</v>
      </c>
      <c r="AL611" s="788">
        <f>ROUND(G611*AM11,2)</f>
        <v>651.75</v>
      </c>
    </row>
    <row r="612" spans="1:38" s="62" customFormat="1" ht="45" customHeight="1">
      <c r="A612" s="25" t="s">
        <v>1217</v>
      </c>
      <c r="B612" s="24">
        <v>97608</v>
      </c>
      <c r="C612" s="23" t="s">
        <v>2578</v>
      </c>
      <c r="D612" s="25" t="s">
        <v>12</v>
      </c>
      <c r="E612" s="25" t="s">
        <v>17</v>
      </c>
      <c r="F612" s="26">
        <v>6</v>
      </c>
      <c r="G612" s="26">
        <f t="shared" si="287"/>
        <v>63.537500000000001</v>
      </c>
      <c r="H612" s="26">
        <f t="shared" si="296"/>
        <v>80.569999999999993</v>
      </c>
      <c r="I612" s="26">
        <f t="shared" si="297"/>
        <v>483.42</v>
      </c>
      <c r="J612" s="64" t="e">
        <f>IF(B612&lt;&gt;0,VLOOKUP(B612,#REF!,4,FALSE),"")</f>
        <v>#REF!</v>
      </c>
      <c r="K612" s="362" t="s">
        <v>3259</v>
      </c>
      <c r="L612" s="65">
        <f t="shared" si="289"/>
        <v>-11.212499999999999</v>
      </c>
      <c r="M612" s="65">
        <f t="shared" si="290"/>
        <v>381.22500000000002</v>
      </c>
      <c r="N612" s="65"/>
      <c r="O612" s="65">
        <f t="shared" si="291"/>
        <v>483.41999999999996</v>
      </c>
      <c r="P612" s="65" t="e">
        <f>IF(B612&lt;&gt;0,VLOOKUP(B612,#REF!,2,FALSE),"")</f>
        <v>#REF!</v>
      </c>
      <c r="R612" s="62">
        <f t="shared" si="273"/>
        <v>-6</v>
      </c>
      <c r="AD612" s="221"/>
      <c r="AE612" s="481"/>
      <c r="AF612" s="481"/>
      <c r="AG612" s="481"/>
      <c r="AH612" s="481"/>
      <c r="AI612" s="873">
        <f t="shared" ref="AI612" si="304">ROUND(G612*$AM$11,2)</f>
        <v>70.78</v>
      </c>
      <c r="AJ612" s="26">
        <f t="shared" ref="AJ612:AJ644" si="305">ROUND(AI612*(1+$J$13),2)</f>
        <v>89.76</v>
      </c>
      <c r="AK612" s="26">
        <f t="shared" ref="AK612" si="306">ROUND(AJ612*F612,2)</f>
        <v>538.55999999999995</v>
      </c>
      <c r="AL612" s="224"/>
    </row>
    <row r="613" spans="1:38" s="62" customFormat="1">
      <c r="A613" s="77" t="s">
        <v>1218</v>
      </c>
      <c r="B613" s="139"/>
      <c r="C613" s="340" t="s">
        <v>193</v>
      </c>
      <c r="D613" s="341"/>
      <c r="E613" s="341"/>
      <c r="F613" s="341"/>
      <c r="G613" s="26"/>
      <c r="H613" s="341"/>
      <c r="I613" s="96"/>
      <c r="J613" s="64" t="str">
        <f>IF(B613&lt;&gt;0,VLOOKUP(B613,#REF!,4,FALSE),"")</f>
        <v/>
      </c>
      <c r="K613" s="362" t="s">
        <v>1892</v>
      </c>
      <c r="L613" s="65"/>
      <c r="M613" s="65">
        <f t="shared" si="290"/>
        <v>0</v>
      </c>
      <c r="N613" s="65"/>
      <c r="O613" s="65">
        <f t="shared" si="291"/>
        <v>0</v>
      </c>
      <c r="P613" s="65" t="str">
        <f>IF(B613&lt;&gt;0,VLOOKUP(B613,#REF!,2,FALSE),"")</f>
        <v/>
      </c>
      <c r="Q613" s="62">
        <v>628</v>
      </c>
      <c r="R613" s="62">
        <f t="shared" si="273"/>
        <v>628</v>
      </c>
      <c r="AD613" s="221"/>
      <c r="AE613" s="481"/>
      <c r="AF613" s="481"/>
      <c r="AG613" s="481"/>
      <c r="AH613" s="481"/>
      <c r="AI613" s="873"/>
      <c r="AJ613" s="26"/>
      <c r="AK613" s="26"/>
      <c r="AL613" s="224"/>
    </row>
    <row r="614" spans="1:38" ht="15" customHeight="1">
      <c r="A614" s="25" t="s">
        <v>1219</v>
      </c>
      <c r="B614" s="24">
        <v>91863</v>
      </c>
      <c r="C614" s="23" t="s">
        <v>1692</v>
      </c>
      <c r="D614" s="25" t="s">
        <v>12</v>
      </c>
      <c r="E614" s="25" t="s">
        <v>52</v>
      </c>
      <c r="F614" s="26">
        <v>628</v>
      </c>
      <c r="G614" s="26">
        <f t="shared" si="287"/>
        <v>6.8849999999999998</v>
      </c>
      <c r="H614" s="26">
        <f t="shared" ref="H614:H630" si="307">ROUND(G614*(1+$J$13),2)</f>
        <v>8.73</v>
      </c>
      <c r="I614" s="26">
        <f t="shared" ref="I614:I630" si="308">ROUND(H614*F614,2)</f>
        <v>5482.44</v>
      </c>
      <c r="J614" s="64" t="e">
        <f>IF(B614&lt;&gt;0,VLOOKUP(B614,#REF!,4,FALSE),"")</f>
        <v>#REF!</v>
      </c>
      <c r="K614" s="362" t="s">
        <v>1886</v>
      </c>
      <c r="L614" s="65">
        <f t="shared" si="289"/>
        <v>-1.2149999999999999</v>
      </c>
      <c r="M614" s="65">
        <f t="shared" si="290"/>
        <v>4323.78</v>
      </c>
      <c r="N614" s="65"/>
      <c r="O614" s="65">
        <f t="shared" si="291"/>
        <v>5482.4400000000005</v>
      </c>
      <c r="P614" s="65" t="e">
        <f>IF(B614&lt;&gt;0,VLOOKUP(B614,#REF!,2,FALSE),"")</f>
        <v>#REF!</v>
      </c>
      <c r="Q614" s="2">
        <v>100</v>
      </c>
      <c r="R614" s="62">
        <f t="shared" si="273"/>
        <v>-528</v>
      </c>
      <c r="AD614" s="21"/>
      <c r="AE614" s="481"/>
      <c r="AF614" s="481"/>
      <c r="AG614" s="481"/>
      <c r="AH614" s="481"/>
      <c r="AI614" s="873">
        <f t="shared" ref="AI614:AI644" si="309">ROUND(G614*$AM$11,2)</f>
        <v>7.67</v>
      </c>
      <c r="AJ614" s="26">
        <f t="shared" si="305"/>
        <v>9.73</v>
      </c>
      <c r="AK614" s="26">
        <f t="shared" ref="AK614:AK644" si="310">ROUND(AJ614*F614,2)</f>
        <v>6110.44</v>
      </c>
    </row>
    <row r="615" spans="1:38" ht="60">
      <c r="A615" s="25" t="s">
        <v>1220</v>
      </c>
      <c r="B615" s="24">
        <v>91890</v>
      </c>
      <c r="C615" s="23" t="s">
        <v>1693</v>
      </c>
      <c r="D615" s="25" t="s">
        <v>12</v>
      </c>
      <c r="E615" s="25" t="s">
        <v>17</v>
      </c>
      <c r="F615" s="26">
        <v>100</v>
      </c>
      <c r="G615" s="26">
        <f t="shared" si="287"/>
        <v>6.375</v>
      </c>
      <c r="H615" s="26">
        <f t="shared" si="307"/>
        <v>8.08</v>
      </c>
      <c r="I615" s="26">
        <f t="shared" si="308"/>
        <v>808</v>
      </c>
      <c r="J615" s="64" t="e">
        <f>IF(B615&lt;&gt;0,VLOOKUP(B615,#REF!,4,FALSE),"")</f>
        <v>#REF!</v>
      </c>
      <c r="K615" s="362" t="s">
        <v>3225</v>
      </c>
      <c r="L615" s="65">
        <f t="shared" si="289"/>
        <v>-1.125</v>
      </c>
      <c r="M615" s="65">
        <f t="shared" si="290"/>
        <v>637.5</v>
      </c>
      <c r="N615" s="65"/>
      <c r="O615" s="65">
        <f t="shared" si="291"/>
        <v>808</v>
      </c>
      <c r="P615" s="65" t="e">
        <f>IF(B615&lt;&gt;0,VLOOKUP(B615,#REF!,2,FALSE),"")</f>
        <v>#REF!</v>
      </c>
      <c r="Q615" s="2">
        <v>410</v>
      </c>
      <c r="R615" s="62">
        <f t="shared" si="273"/>
        <v>310</v>
      </c>
      <c r="AD615" s="21"/>
      <c r="AE615" s="481"/>
      <c r="AF615" s="481"/>
      <c r="AG615" s="481"/>
      <c r="AH615" s="481"/>
      <c r="AI615" s="873">
        <f t="shared" si="309"/>
        <v>7.1</v>
      </c>
      <c r="AJ615" s="26">
        <f t="shared" si="305"/>
        <v>9</v>
      </c>
      <c r="AK615" s="26">
        <f t="shared" si="310"/>
        <v>900</v>
      </c>
    </row>
    <row r="616" spans="1:38" ht="60">
      <c r="A616" s="25" t="s">
        <v>1221</v>
      </c>
      <c r="B616" s="24">
        <v>91875</v>
      </c>
      <c r="C616" s="23" t="s">
        <v>1694</v>
      </c>
      <c r="D616" s="25" t="s">
        <v>12</v>
      </c>
      <c r="E616" s="25" t="s">
        <v>17</v>
      </c>
      <c r="F616" s="26">
        <v>410</v>
      </c>
      <c r="G616" s="26">
        <f t="shared" si="287"/>
        <v>3.7654999999999998</v>
      </c>
      <c r="H616" s="26">
        <f t="shared" si="307"/>
        <v>4.78</v>
      </c>
      <c r="I616" s="26">
        <f t="shared" si="308"/>
        <v>1959.8</v>
      </c>
      <c r="J616" s="64" t="e">
        <f>IF(B616&lt;&gt;0,VLOOKUP(B616,#REF!,4,FALSE),"")</f>
        <v>#REF!</v>
      </c>
      <c r="K616" s="362" t="s">
        <v>1865</v>
      </c>
      <c r="L616" s="65">
        <f t="shared" si="289"/>
        <v>-0.66449999999999987</v>
      </c>
      <c r="M616" s="65">
        <f t="shared" si="290"/>
        <v>1543.855</v>
      </c>
      <c r="N616" s="65"/>
      <c r="O616" s="65">
        <f t="shared" si="291"/>
        <v>1959.8000000000002</v>
      </c>
      <c r="P616" s="65" t="e">
        <f>IF(B616&lt;&gt;0,VLOOKUP(B616,#REF!,2,FALSE),"")</f>
        <v>#REF!</v>
      </c>
      <c r="Q616" s="2">
        <v>325</v>
      </c>
      <c r="R616" s="62">
        <f t="shared" si="273"/>
        <v>-85</v>
      </c>
      <c r="AD616" s="21"/>
      <c r="AE616" s="481"/>
      <c r="AF616" s="481"/>
      <c r="AG616" s="481"/>
      <c r="AH616" s="481"/>
      <c r="AI616" s="873">
        <f t="shared" si="309"/>
        <v>4.1900000000000004</v>
      </c>
      <c r="AJ616" s="26">
        <f t="shared" si="305"/>
        <v>5.31</v>
      </c>
      <c r="AK616" s="26">
        <f t="shared" si="310"/>
        <v>2177.1</v>
      </c>
    </row>
    <row r="617" spans="1:38" s="62" customFormat="1" ht="45">
      <c r="A617" s="25" t="s">
        <v>1222</v>
      </c>
      <c r="B617" s="24">
        <v>91871</v>
      </c>
      <c r="C617" s="23" t="s">
        <v>1695</v>
      </c>
      <c r="D617" s="25" t="s">
        <v>12</v>
      </c>
      <c r="E617" s="25" t="s">
        <v>52</v>
      </c>
      <c r="F617" s="26">
        <v>325</v>
      </c>
      <c r="G617" s="26">
        <f t="shared" si="287"/>
        <v>7.3949999999999996</v>
      </c>
      <c r="H617" s="26">
        <f t="shared" si="307"/>
        <v>9.3800000000000008</v>
      </c>
      <c r="I617" s="26">
        <f t="shared" si="308"/>
        <v>3048.5</v>
      </c>
      <c r="J617" s="64" t="e">
        <f>IF(B617&lt;&gt;0,VLOOKUP(B617,#REF!,4,FALSE),"")</f>
        <v>#REF!</v>
      </c>
      <c r="K617" s="362" t="s">
        <v>2648</v>
      </c>
      <c r="L617" s="65">
        <f t="shared" si="289"/>
        <v>-1.3049999999999997</v>
      </c>
      <c r="M617" s="65">
        <f t="shared" si="290"/>
        <v>2403.375</v>
      </c>
      <c r="N617" s="65"/>
      <c r="O617" s="65">
        <f t="shared" si="291"/>
        <v>3048.5000000000005</v>
      </c>
      <c r="P617" s="65" t="e">
        <f>IF(B617&lt;&gt;0,VLOOKUP(B617,#REF!,2,FALSE),"")</f>
        <v>#REF!</v>
      </c>
      <c r="Q617" s="62">
        <v>79</v>
      </c>
      <c r="R617" s="62">
        <f t="shared" si="273"/>
        <v>-246</v>
      </c>
      <c r="AD617" s="221"/>
      <c r="AE617" s="481"/>
      <c r="AF617" s="481"/>
      <c r="AG617" s="481"/>
      <c r="AH617" s="481"/>
      <c r="AI617" s="873">
        <f t="shared" si="309"/>
        <v>8.24</v>
      </c>
      <c r="AJ617" s="26">
        <f t="shared" si="305"/>
        <v>10.45</v>
      </c>
      <c r="AK617" s="26">
        <f t="shared" si="310"/>
        <v>3396.25</v>
      </c>
      <c r="AL617" s="224"/>
    </row>
    <row r="618" spans="1:38" s="62" customFormat="1" ht="60">
      <c r="A618" s="25" t="s">
        <v>1223</v>
      </c>
      <c r="B618" s="24">
        <v>91914</v>
      </c>
      <c r="C618" s="23" t="s">
        <v>1696</v>
      </c>
      <c r="D618" s="25" t="s">
        <v>12</v>
      </c>
      <c r="E618" s="25" t="s">
        <v>17</v>
      </c>
      <c r="F618" s="26">
        <v>79</v>
      </c>
      <c r="G618" s="26">
        <f t="shared" si="287"/>
        <v>8.5084999999999997</v>
      </c>
      <c r="H618" s="26">
        <f t="shared" si="307"/>
        <v>10.79</v>
      </c>
      <c r="I618" s="26">
        <f t="shared" si="308"/>
        <v>852.41</v>
      </c>
      <c r="J618" s="64" t="e">
        <f>IF(B618&lt;&gt;0,VLOOKUP(B618,#REF!,4,FALSE),"")</f>
        <v>#REF!</v>
      </c>
      <c r="K618" s="362" t="s">
        <v>1908</v>
      </c>
      <c r="L618" s="65">
        <f t="shared" si="289"/>
        <v>-1.5015000000000001</v>
      </c>
      <c r="M618" s="65">
        <f t="shared" si="290"/>
        <v>672.17149999999992</v>
      </c>
      <c r="N618" s="65"/>
      <c r="O618" s="65">
        <f t="shared" si="291"/>
        <v>852.41</v>
      </c>
      <c r="P618" s="65" t="e">
        <f>IF(B618&lt;&gt;0,VLOOKUP(B618,#REF!,2,FALSE),"")</f>
        <v>#REF!</v>
      </c>
      <c r="Q618" s="62">
        <v>267</v>
      </c>
      <c r="R618" s="62">
        <f t="shared" si="273"/>
        <v>188</v>
      </c>
      <c r="AD618" s="221"/>
      <c r="AE618" s="481"/>
      <c r="AF618" s="481"/>
      <c r="AG618" s="481"/>
      <c r="AH618" s="481"/>
      <c r="AI618" s="873">
        <f t="shared" si="309"/>
        <v>9.48</v>
      </c>
      <c r="AJ618" s="26">
        <f t="shared" si="305"/>
        <v>12.02</v>
      </c>
      <c r="AK618" s="26">
        <f t="shared" si="310"/>
        <v>949.58</v>
      </c>
      <c r="AL618" s="224"/>
    </row>
    <row r="619" spans="1:38" s="62" customFormat="1" ht="60">
      <c r="A619" s="25" t="s">
        <v>1224</v>
      </c>
      <c r="B619" s="24">
        <v>91884</v>
      </c>
      <c r="C619" s="23" t="s">
        <v>1697</v>
      </c>
      <c r="D619" s="25" t="s">
        <v>12</v>
      </c>
      <c r="E619" s="25" t="s">
        <v>17</v>
      </c>
      <c r="F619" s="26">
        <v>267</v>
      </c>
      <c r="G619" s="26">
        <f t="shared" si="287"/>
        <v>5.1849999999999996</v>
      </c>
      <c r="H619" s="26">
        <f t="shared" si="307"/>
        <v>6.58</v>
      </c>
      <c r="I619" s="26">
        <f t="shared" si="308"/>
        <v>1756.86</v>
      </c>
      <c r="J619" s="64" t="e">
        <f>IF(B619&lt;&gt;0,VLOOKUP(B619,#REF!,4,FALSE),"")</f>
        <v>#REF!</v>
      </c>
      <c r="K619" s="362" t="s">
        <v>3141</v>
      </c>
      <c r="L619" s="65">
        <f t="shared" si="289"/>
        <v>-0.91500000000000004</v>
      </c>
      <c r="M619" s="65">
        <f t="shared" si="290"/>
        <v>1384.395</v>
      </c>
      <c r="N619" s="65"/>
      <c r="O619" s="65">
        <f t="shared" si="291"/>
        <v>1756.8600000000001</v>
      </c>
      <c r="P619" s="65" t="e">
        <f>IF(B619&lt;&gt;0,VLOOKUP(B619,#REF!,2,FALSE),"")</f>
        <v>#REF!</v>
      </c>
      <c r="Q619" s="62">
        <v>39</v>
      </c>
      <c r="R619" s="62">
        <f t="shared" si="273"/>
        <v>-228</v>
      </c>
      <c r="AD619" s="221"/>
      <c r="AE619" s="481"/>
      <c r="AF619" s="481"/>
      <c r="AG619" s="481"/>
      <c r="AH619" s="481"/>
      <c r="AI619" s="873">
        <f t="shared" si="309"/>
        <v>5.78</v>
      </c>
      <c r="AJ619" s="26">
        <f t="shared" si="305"/>
        <v>7.33</v>
      </c>
      <c r="AK619" s="26">
        <f t="shared" si="310"/>
        <v>1957.11</v>
      </c>
      <c r="AL619" s="224"/>
    </row>
    <row r="620" spans="1:38" s="62" customFormat="1" ht="30">
      <c r="A620" s="25" t="s">
        <v>1225</v>
      </c>
      <c r="B620" s="24">
        <v>723</v>
      </c>
      <c r="C620" s="23" t="s">
        <v>235</v>
      </c>
      <c r="D620" s="25" t="s">
        <v>44</v>
      </c>
      <c r="E620" s="25" t="s">
        <v>17</v>
      </c>
      <c r="F620" s="26">
        <v>39</v>
      </c>
      <c r="G620" s="26">
        <f t="shared" si="287"/>
        <v>3.4085000000000001</v>
      </c>
      <c r="H620" s="26">
        <f t="shared" si="307"/>
        <v>4.32</v>
      </c>
      <c r="I620" s="26">
        <f t="shared" si="308"/>
        <v>168.48</v>
      </c>
      <c r="J620" s="64">
        <f>'COMPOSIÇÃO DE CUSTOS'!G1307</f>
        <v>3.41</v>
      </c>
      <c r="K620" s="362">
        <v>4.01</v>
      </c>
      <c r="L620" s="65">
        <f t="shared" si="289"/>
        <v>-0.6014999999999997</v>
      </c>
      <c r="M620" s="65">
        <f t="shared" si="290"/>
        <v>132.9315</v>
      </c>
      <c r="N620" s="65"/>
      <c r="O620" s="65">
        <f t="shared" si="291"/>
        <v>168.48000000000002</v>
      </c>
      <c r="P620" s="65" t="e">
        <f>IF(B620&lt;&gt;0,VLOOKUP(B620,#REF!,2,FALSE),"")</f>
        <v>#REF!</v>
      </c>
      <c r="Q620" s="62">
        <v>104</v>
      </c>
      <c r="R620" s="62">
        <f t="shared" si="273"/>
        <v>65</v>
      </c>
      <c r="AD620" s="221"/>
      <c r="AE620" s="481"/>
      <c r="AF620" s="481"/>
      <c r="AG620" s="481"/>
      <c r="AH620" s="481"/>
      <c r="AI620" s="873">
        <f t="shared" si="309"/>
        <v>3.8</v>
      </c>
      <c r="AJ620" s="26">
        <f t="shared" si="305"/>
        <v>4.82</v>
      </c>
      <c r="AK620" s="26">
        <f t="shared" si="310"/>
        <v>187.98</v>
      </c>
      <c r="AL620" s="224"/>
    </row>
    <row r="621" spans="1:38" s="62" customFormat="1" ht="30">
      <c r="A621" s="25" t="s">
        <v>2830</v>
      </c>
      <c r="B621" s="24">
        <v>91864</v>
      </c>
      <c r="C621" s="23" t="s">
        <v>194</v>
      </c>
      <c r="D621" s="25" t="s">
        <v>44</v>
      </c>
      <c r="E621" s="25" t="s">
        <v>52</v>
      </c>
      <c r="F621" s="26">
        <v>104</v>
      </c>
      <c r="G621" s="26">
        <f t="shared" si="287"/>
        <v>9.1204999999999998</v>
      </c>
      <c r="H621" s="26">
        <f t="shared" si="307"/>
        <v>11.57</v>
      </c>
      <c r="I621" s="26">
        <f t="shared" si="308"/>
        <v>1203.28</v>
      </c>
      <c r="J621" s="64" t="e">
        <f>IF(B621&lt;&gt;0,VLOOKUP(B621,#REF!,4,FALSE),"")</f>
        <v>#REF!</v>
      </c>
      <c r="K621" s="362" t="s">
        <v>1837</v>
      </c>
      <c r="L621" s="65">
        <f t="shared" si="289"/>
        <v>-1.6095000000000006</v>
      </c>
      <c r="M621" s="65">
        <f t="shared" si="290"/>
        <v>948.53199999999993</v>
      </c>
      <c r="N621" s="65"/>
      <c r="O621" s="65">
        <f t="shared" si="291"/>
        <v>1203.28</v>
      </c>
      <c r="P621" s="65" t="e">
        <f>IF(B621&lt;&gt;0,VLOOKUP(B621,#REF!,2,FALSE),"")</f>
        <v>#REF!</v>
      </c>
      <c r="Q621" s="62">
        <v>6</v>
      </c>
      <c r="R621" s="62">
        <f t="shared" si="273"/>
        <v>-98</v>
      </c>
      <c r="AD621" s="221"/>
      <c r="AE621" s="481"/>
      <c r="AF621" s="481"/>
      <c r="AG621" s="481"/>
      <c r="AH621" s="481"/>
      <c r="AI621" s="873">
        <f t="shared" si="309"/>
        <v>10.16</v>
      </c>
      <c r="AJ621" s="26">
        <f t="shared" si="305"/>
        <v>12.88</v>
      </c>
      <c r="AK621" s="26">
        <f t="shared" si="310"/>
        <v>1339.52</v>
      </c>
      <c r="AL621" s="224"/>
    </row>
    <row r="622" spans="1:38" s="62" customFormat="1" ht="15" customHeight="1">
      <c r="A622" s="25" t="s">
        <v>2831</v>
      </c>
      <c r="B622" s="24">
        <v>91893</v>
      </c>
      <c r="C622" s="23" t="s">
        <v>226</v>
      </c>
      <c r="D622" s="25" t="s">
        <v>44</v>
      </c>
      <c r="E622" s="25" t="s">
        <v>17</v>
      </c>
      <c r="F622" s="26">
        <v>6</v>
      </c>
      <c r="G622" s="26">
        <f t="shared" si="287"/>
        <v>8.7379999999999995</v>
      </c>
      <c r="H622" s="26">
        <f t="shared" si="307"/>
        <v>11.08</v>
      </c>
      <c r="I622" s="26">
        <f t="shared" si="308"/>
        <v>66.48</v>
      </c>
      <c r="J622" s="64" t="e">
        <f>IF(B622&lt;&gt;0,VLOOKUP(B622,#REF!,4,FALSE),"")</f>
        <v>#REF!</v>
      </c>
      <c r="K622" s="362" t="s">
        <v>3159</v>
      </c>
      <c r="L622" s="65">
        <f t="shared" si="289"/>
        <v>-1.5419999999999998</v>
      </c>
      <c r="M622" s="65">
        <f t="shared" si="290"/>
        <v>52.427999999999997</v>
      </c>
      <c r="N622" s="65"/>
      <c r="O622" s="65">
        <f t="shared" si="291"/>
        <v>66.48</v>
      </c>
      <c r="P622" s="65" t="e">
        <f>IF(B622&lt;&gt;0,VLOOKUP(B622,#REF!,2,FALSE),"")</f>
        <v>#REF!</v>
      </c>
      <c r="Q622" s="62">
        <v>47</v>
      </c>
      <c r="R622" s="62">
        <f t="shared" si="273"/>
        <v>41</v>
      </c>
      <c r="AD622" s="221"/>
      <c r="AE622" s="481"/>
      <c r="AF622" s="481"/>
      <c r="AG622" s="481"/>
      <c r="AH622" s="481"/>
      <c r="AI622" s="873">
        <f t="shared" si="309"/>
        <v>9.73</v>
      </c>
      <c r="AJ622" s="26">
        <f t="shared" si="305"/>
        <v>12.34</v>
      </c>
      <c r="AK622" s="26">
        <f t="shared" si="310"/>
        <v>74.040000000000006</v>
      </c>
      <c r="AL622" s="224"/>
    </row>
    <row r="623" spans="1:38" s="62" customFormat="1" ht="30">
      <c r="A623" s="25" t="s">
        <v>2832</v>
      </c>
      <c r="B623" s="24">
        <v>91885</v>
      </c>
      <c r="C623" s="23" t="s">
        <v>195</v>
      </c>
      <c r="D623" s="25" t="s">
        <v>44</v>
      </c>
      <c r="E623" s="25" t="s">
        <v>17</v>
      </c>
      <c r="F623" s="26">
        <v>47</v>
      </c>
      <c r="G623" s="26">
        <f t="shared" si="287"/>
        <v>6.1624999999999996</v>
      </c>
      <c r="H623" s="26">
        <f t="shared" si="307"/>
        <v>7.81</v>
      </c>
      <c r="I623" s="26">
        <f t="shared" si="308"/>
        <v>367.07</v>
      </c>
      <c r="J623" s="64" t="e">
        <f>IF(B623&lt;&gt;0,VLOOKUP(B623,#REF!,4,FALSE),"")</f>
        <v>#REF!</v>
      </c>
      <c r="K623" s="362" t="s">
        <v>1871</v>
      </c>
      <c r="L623" s="65">
        <f t="shared" si="289"/>
        <v>-1.0875000000000004</v>
      </c>
      <c r="M623" s="65">
        <f t="shared" si="290"/>
        <v>289.63749999999999</v>
      </c>
      <c r="N623" s="65"/>
      <c r="O623" s="65">
        <f t="shared" si="291"/>
        <v>367.07</v>
      </c>
      <c r="P623" s="65" t="e">
        <f>IF(B623&lt;&gt;0,VLOOKUP(B623,#REF!,2,FALSE),"")</f>
        <v>#REF!</v>
      </c>
      <c r="Q623" s="62">
        <v>28</v>
      </c>
      <c r="R623" s="62">
        <f t="shared" si="273"/>
        <v>-19</v>
      </c>
      <c r="AD623" s="221"/>
      <c r="AE623" s="481"/>
      <c r="AF623" s="481"/>
      <c r="AG623" s="481"/>
      <c r="AH623" s="481"/>
      <c r="AI623" s="873">
        <f t="shared" si="309"/>
        <v>6.87</v>
      </c>
      <c r="AJ623" s="26">
        <f t="shared" si="305"/>
        <v>8.7100000000000009</v>
      </c>
      <c r="AK623" s="26">
        <f t="shared" si="310"/>
        <v>409.37</v>
      </c>
      <c r="AL623" s="224"/>
    </row>
    <row r="624" spans="1:38" ht="30">
      <c r="A624" s="25" t="s">
        <v>2833</v>
      </c>
      <c r="B624" s="24">
        <v>762</v>
      </c>
      <c r="C624" s="23" t="s">
        <v>2834</v>
      </c>
      <c r="D624" s="25" t="s">
        <v>44</v>
      </c>
      <c r="E624" s="25" t="s">
        <v>17</v>
      </c>
      <c r="F624" s="26">
        <v>28</v>
      </c>
      <c r="G624" s="26">
        <f t="shared" si="287"/>
        <v>57.230499999999999</v>
      </c>
      <c r="H624" s="26">
        <f t="shared" si="307"/>
        <v>72.569999999999993</v>
      </c>
      <c r="I624" s="26">
        <f t="shared" si="308"/>
        <v>2031.96</v>
      </c>
      <c r="J624" s="64">
        <f>'COMPOSIÇÃO DE CUSTOS'!G1265</f>
        <v>57.23</v>
      </c>
      <c r="K624" s="362">
        <v>67.33</v>
      </c>
      <c r="L624" s="65">
        <f t="shared" si="289"/>
        <v>-10.099499999999999</v>
      </c>
      <c r="M624" s="65">
        <f t="shared" si="290"/>
        <v>1602.454</v>
      </c>
      <c r="N624" s="65"/>
      <c r="O624" s="65">
        <f t="shared" si="291"/>
        <v>2031.9599999999998</v>
      </c>
      <c r="P624" s="65" t="e">
        <f>IF(B624&lt;&gt;0,VLOOKUP(B624,#REF!,2,FALSE),"")</f>
        <v>#REF!</v>
      </c>
      <c r="Q624" s="2">
        <v>1</v>
      </c>
      <c r="R624" s="62">
        <f t="shared" si="273"/>
        <v>-27</v>
      </c>
      <c r="AD624" s="21"/>
      <c r="AE624" s="481"/>
      <c r="AF624" s="481"/>
      <c r="AG624" s="481"/>
      <c r="AH624" s="481"/>
      <c r="AI624" s="873">
        <f t="shared" si="309"/>
        <v>63.76</v>
      </c>
      <c r="AJ624" s="26">
        <f t="shared" si="305"/>
        <v>80.849999999999994</v>
      </c>
      <c r="AK624" s="26">
        <f t="shared" si="310"/>
        <v>2263.8000000000002</v>
      </c>
    </row>
    <row r="625" spans="1:38" ht="30">
      <c r="A625" s="25" t="s">
        <v>2835</v>
      </c>
      <c r="B625" s="24">
        <v>8443</v>
      </c>
      <c r="C625" s="23" t="s">
        <v>1759</v>
      </c>
      <c r="D625" s="25" t="s">
        <v>44</v>
      </c>
      <c r="E625" s="25" t="s">
        <v>17</v>
      </c>
      <c r="F625" s="26">
        <v>1</v>
      </c>
      <c r="G625" s="26">
        <f t="shared" si="287"/>
        <v>57.179499999999997</v>
      </c>
      <c r="H625" s="26">
        <f t="shared" si="307"/>
        <v>72.510000000000005</v>
      </c>
      <c r="I625" s="26">
        <f t="shared" si="308"/>
        <v>72.510000000000005</v>
      </c>
      <c r="J625" s="64">
        <f>'COMPOSIÇÃO DE CUSTOS'!G1272</f>
        <v>57.18</v>
      </c>
      <c r="K625" s="362">
        <v>67.27</v>
      </c>
      <c r="L625" s="65">
        <f t="shared" si="289"/>
        <v>-10.090499999999999</v>
      </c>
      <c r="M625" s="65">
        <f t="shared" si="290"/>
        <v>57.179499999999997</v>
      </c>
      <c r="N625" s="65"/>
      <c r="O625" s="65">
        <f t="shared" si="291"/>
        <v>72.510000000000005</v>
      </c>
      <c r="P625" s="65" t="e">
        <f>IF(B625&lt;&gt;0,VLOOKUP(B625,#REF!,2,FALSE),"")</f>
        <v>#REF!</v>
      </c>
      <c r="Q625" s="2">
        <v>21</v>
      </c>
      <c r="R625" s="62">
        <f t="shared" si="273"/>
        <v>20</v>
      </c>
      <c r="AD625" s="21"/>
      <c r="AE625" s="481"/>
      <c r="AF625" s="481"/>
      <c r="AG625" s="481"/>
      <c r="AH625" s="481"/>
      <c r="AI625" s="873">
        <f t="shared" si="309"/>
        <v>63.7</v>
      </c>
      <c r="AJ625" s="26">
        <f t="shared" si="305"/>
        <v>80.78</v>
      </c>
      <c r="AK625" s="26">
        <f t="shared" si="310"/>
        <v>80.78</v>
      </c>
    </row>
    <row r="626" spans="1:38" s="27" customFormat="1" ht="42" customHeight="1">
      <c r="A626" s="25" t="s">
        <v>2836</v>
      </c>
      <c r="B626" s="24">
        <v>748</v>
      </c>
      <c r="C626" s="23" t="s">
        <v>201</v>
      </c>
      <c r="D626" s="25" t="s">
        <v>44</v>
      </c>
      <c r="E626" s="25" t="s">
        <v>17</v>
      </c>
      <c r="F626" s="26">
        <v>21</v>
      </c>
      <c r="G626" s="26">
        <f t="shared" si="287"/>
        <v>70.473500000000001</v>
      </c>
      <c r="H626" s="26">
        <f t="shared" si="307"/>
        <v>89.37</v>
      </c>
      <c r="I626" s="26">
        <f t="shared" si="308"/>
        <v>1876.77</v>
      </c>
      <c r="J626" s="64">
        <f>'COMPOSIÇÃO DE CUSTOS'!G1053</f>
        <v>70.47</v>
      </c>
      <c r="K626" s="362">
        <v>82.91</v>
      </c>
      <c r="L626" s="65">
        <f t="shared" si="289"/>
        <v>-12.436499999999995</v>
      </c>
      <c r="M626" s="65">
        <f t="shared" si="290"/>
        <v>1479.9435000000001</v>
      </c>
      <c r="N626" s="65"/>
      <c r="O626" s="65">
        <f t="shared" si="291"/>
        <v>1876.77</v>
      </c>
      <c r="P626" s="65" t="e">
        <f>IF(B626&lt;&gt;0,VLOOKUP(B626,#REF!,2,FALSE),"")</f>
        <v>#REF!</v>
      </c>
      <c r="Q626" s="27">
        <v>2</v>
      </c>
      <c r="R626" s="62">
        <f t="shared" si="273"/>
        <v>-19</v>
      </c>
      <c r="AD626" s="552"/>
      <c r="AE626" s="481"/>
      <c r="AF626" s="481"/>
      <c r="AG626" s="481"/>
      <c r="AH626" s="481"/>
      <c r="AI626" s="873">
        <f t="shared" si="309"/>
        <v>78.510000000000005</v>
      </c>
      <c r="AJ626" s="26">
        <f t="shared" si="305"/>
        <v>99.56</v>
      </c>
      <c r="AK626" s="26">
        <f t="shared" si="310"/>
        <v>2090.7600000000002</v>
      </c>
      <c r="AL626" s="790"/>
    </row>
    <row r="627" spans="1:38" s="45" customFormat="1" ht="36" customHeight="1">
      <c r="A627" s="25" t="s">
        <v>2837</v>
      </c>
      <c r="B627" s="24">
        <v>11290</v>
      </c>
      <c r="C627" s="23" t="s">
        <v>202</v>
      </c>
      <c r="D627" s="25" t="s">
        <v>44</v>
      </c>
      <c r="E627" s="25" t="s">
        <v>17</v>
      </c>
      <c r="F627" s="26">
        <v>2</v>
      </c>
      <c r="G627" s="26">
        <f t="shared" si="287"/>
        <v>49.835500000000003</v>
      </c>
      <c r="H627" s="26">
        <f t="shared" si="307"/>
        <v>63.2</v>
      </c>
      <c r="I627" s="26">
        <f t="shared" si="308"/>
        <v>126.4</v>
      </c>
      <c r="J627" s="64">
        <f>'COMPOSIÇÃO DE CUSTOS'!G1060</f>
        <v>49.83</v>
      </c>
      <c r="K627" s="362">
        <v>58.63</v>
      </c>
      <c r="L627" s="65">
        <f t="shared" si="289"/>
        <v>-8.7944999999999993</v>
      </c>
      <c r="M627" s="65">
        <f t="shared" si="290"/>
        <v>99.671000000000006</v>
      </c>
      <c r="N627" s="65"/>
      <c r="O627" s="65">
        <f t="shared" si="291"/>
        <v>126.4</v>
      </c>
      <c r="P627" s="65" t="e">
        <f>IF(B627&lt;&gt;0,VLOOKUP(B627,#REF!,2,FALSE),"")</f>
        <v>#REF!</v>
      </c>
      <c r="Q627" s="45">
        <v>2</v>
      </c>
      <c r="R627" s="62">
        <f t="shared" si="273"/>
        <v>0</v>
      </c>
      <c r="AD627" s="56"/>
      <c r="AE627" s="481"/>
      <c r="AF627" s="481"/>
      <c r="AG627" s="481"/>
      <c r="AH627" s="481"/>
      <c r="AI627" s="873">
        <f t="shared" si="309"/>
        <v>55.52</v>
      </c>
      <c r="AJ627" s="26">
        <f t="shared" si="305"/>
        <v>70.400000000000006</v>
      </c>
      <c r="AK627" s="26">
        <f t="shared" si="310"/>
        <v>140.80000000000001</v>
      </c>
      <c r="AL627" s="724"/>
    </row>
    <row r="628" spans="1:38" s="62" customFormat="1" ht="36.75" customHeight="1">
      <c r="A628" s="25" t="s">
        <v>2838</v>
      </c>
      <c r="B628" s="24" t="s">
        <v>2230</v>
      </c>
      <c r="C628" s="23" t="s">
        <v>1744</v>
      </c>
      <c r="D628" s="25" t="s">
        <v>1915</v>
      </c>
      <c r="E628" s="25" t="s">
        <v>17</v>
      </c>
      <c r="F628" s="26">
        <v>2</v>
      </c>
      <c r="G628" s="26">
        <f t="shared" si="287"/>
        <v>15.614500000000001</v>
      </c>
      <c r="H628" s="26">
        <f t="shared" si="307"/>
        <v>19.8</v>
      </c>
      <c r="I628" s="26">
        <f t="shared" si="308"/>
        <v>39.6</v>
      </c>
      <c r="J628" s="64">
        <f>'COMPOSIÇÃO DE CUSTOS'!G1081</f>
        <v>15.61</v>
      </c>
      <c r="K628" s="362">
        <v>18.37</v>
      </c>
      <c r="L628" s="65">
        <f t="shared" si="289"/>
        <v>-2.7554999999999996</v>
      </c>
      <c r="M628" s="65">
        <f t="shared" si="290"/>
        <v>31.229000000000003</v>
      </c>
      <c r="N628" s="65"/>
      <c r="O628" s="65">
        <f t="shared" si="291"/>
        <v>39.6</v>
      </c>
      <c r="P628" s="65" t="e">
        <f>IF(B628&lt;&gt;0,VLOOKUP(B628,#REF!,2,FALSE),"")</f>
        <v>#REF!</v>
      </c>
      <c r="Q628" s="62">
        <v>3</v>
      </c>
      <c r="R628" s="62">
        <f t="shared" si="273"/>
        <v>1</v>
      </c>
      <c r="AD628" s="221"/>
      <c r="AE628" s="481"/>
      <c r="AF628" s="481"/>
      <c r="AG628" s="481"/>
      <c r="AH628" s="481"/>
      <c r="AI628" s="873">
        <f t="shared" si="309"/>
        <v>17.39</v>
      </c>
      <c r="AJ628" s="26">
        <f t="shared" si="305"/>
        <v>22.05</v>
      </c>
      <c r="AK628" s="26">
        <f t="shared" si="310"/>
        <v>44.1</v>
      </c>
      <c r="AL628" s="224"/>
    </row>
    <row r="629" spans="1:38" s="62" customFormat="1" ht="30">
      <c r="A629" s="25" t="s">
        <v>2839</v>
      </c>
      <c r="B629" s="24">
        <v>11548</v>
      </c>
      <c r="C629" s="23" t="s">
        <v>1755</v>
      </c>
      <c r="D629" s="25" t="s">
        <v>44</v>
      </c>
      <c r="E629" s="25" t="s">
        <v>17</v>
      </c>
      <c r="F629" s="26">
        <v>3</v>
      </c>
      <c r="G629" s="26">
        <f t="shared" si="287"/>
        <v>39.967000000000006</v>
      </c>
      <c r="H629" s="26">
        <f t="shared" si="307"/>
        <v>50.68</v>
      </c>
      <c r="I629" s="26">
        <f t="shared" si="308"/>
        <v>152.04</v>
      </c>
      <c r="J629" s="64">
        <f>'COMPOSIÇÃO DE CUSTOS'!G1067</f>
        <v>39.96</v>
      </c>
      <c r="K629" s="362">
        <v>47.02</v>
      </c>
      <c r="L629" s="65">
        <f t="shared" si="289"/>
        <v>-7.0529999999999973</v>
      </c>
      <c r="M629" s="65">
        <f t="shared" si="290"/>
        <v>119.90100000000001</v>
      </c>
      <c r="N629" s="65"/>
      <c r="O629" s="65">
        <f t="shared" si="291"/>
        <v>152.04</v>
      </c>
      <c r="P629" s="65" t="e">
        <f>IF(B629&lt;&gt;0,VLOOKUP(B629,#REF!,2,FALSE),"")</f>
        <v>#REF!</v>
      </c>
      <c r="Q629" s="62">
        <v>26</v>
      </c>
      <c r="R629" s="62">
        <f t="shared" si="273"/>
        <v>23</v>
      </c>
      <c r="AD629" s="221"/>
      <c r="AE629" s="481"/>
      <c r="AF629" s="481"/>
      <c r="AG629" s="481"/>
      <c r="AH629" s="481"/>
      <c r="AI629" s="873">
        <f t="shared" si="309"/>
        <v>44.52</v>
      </c>
      <c r="AJ629" s="26">
        <f t="shared" si="305"/>
        <v>56.46</v>
      </c>
      <c r="AK629" s="26">
        <f t="shared" si="310"/>
        <v>169.38</v>
      </c>
      <c r="AL629" s="224"/>
    </row>
    <row r="630" spans="1:38" s="62" customFormat="1" ht="15" customHeight="1">
      <c r="A630" s="25" t="s">
        <v>2840</v>
      </c>
      <c r="B630" s="24" t="s">
        <v>2311</v>
      </c>
      <c r="C630" s="23" t="s">
        <v>244</v>
      </c>
      <c r="D630" s="25" t="s">
        <v>70</v>
      </c>
      <c r="E630" s="25" t="s">
        <v>52</v>
      </c>
      <c r="F630" s="26">
        <v>26</v>
      </c>
      <c r="G630" s="26">
        <f t="shared" si="287"/>
        <v>17.425000000000001</v>
      </c>
      <c r="H630" s="26">
        <f t="shared" si="307"/>
        <v>22.1</v>
      </c>
      <c r="I630" s="26">
        <f t="shared" si="308"/>
        <v>574.6</v>
      </c>
      <c r="J630" s="64">
        <f>'COMPOSIÇÃO DE CUSTOS'!G1357</f>
        <v>19.059999999999999</v>
      </c>
      <c r="K630" s="362">
        <v>20.5</v>
      </c>
      <c r="L630" s="65">
        <f t="shared" si="289"/>
        <v>-3.0749999999999993</v>
      </c>
      <c r="M630" s="65">
        <f t="shared" si="290"/>
        <v>453.05</v>
      </c>
      <c r="N630" s="65"/>
      <c r="O630" s="65">
        <f t="shared" si="291"/>
        <v>574.6</v>
      </c>
      <c r="P630" s="65" t="e">
        <f>IF(B630&lt;&gt;0,VLOOKUP(B630,#REF!,2,FALSE),"")</f>
        <v>#REF!</v>
      </c>
      <c r="R630" s="62">
        <f t="shared" si="273"/>
        <v>-26</v>
      </c>
      <c r="AD630" s="221"/>
      <c r="AE630" s="481"/>
      <c r="AF630" s="481"/>
      <c r="AG630" s="481"/>
      <c r="AH630" s="481"/>
      <c r="AI630" s="873">
        <f t="shared" si="309"/>
        <v>19.41</v>
      </c>
      <c r="AJ630" s="26">
        <f t="shared" si="305"/>
        <v>24.61</v>
      </c>
      <c r="AK630" s="26">
        <f t="shared" si="310"/>
        <v>639.86</v>
      </c>
      <c r="AL630" s="224"/>
    </row>
    <row r="631" spans="1:38" s="62" customFormat="1">
      <c r="A631" s="77" t="s">
        <v>1226</v>
      </c>
      <c r="B631" s="139"/>
      <c r="C631" s="340" t="s">
        <v>239</v>
      </c>
      <c r="D631" s="341"/>
      <c r="E631" s="341"/>
      <c r="F631" s="341"/>
      <c r="G631" s="26"/>
      <c r="H631" s="341"/>
      <c r="I631" s="96"/>
      <c r="J631" s="64" t="str">
        <f>IF(B631&lt;&gt;0,VLOOKUP(B631,#REF!,4,FALSE),"")</f>
        <v/>
      </c>
      <c r="K631" s="362" t="s">
        <v>1892</v>
      </c>
      <c r="L631" s="65"/>
      <c r="M631" s="65">
        <f t="shared" si="290"/>
        <v>0</v>
      </c>
      <c r="N631" s="65"/>
      <c r="O631" s="65">
        <f t="shared" si="291"/>
        <v>0</v>
      </c>
      <c r="P631" s="65" t="str">
        <f>IF(B631&lt;&gt;0,VLOOKUP(B631,#REF!,2,FALSE),"")</f>
        <v/>
      </c>
      <c r="Q631" s="62">
        <v>10</v>
      </c>
      <c r="R631" s="62">
        <f t="shared" si="273"/>
        <v>10</v>
      </c>
      <c r="AD631" s="221"/>
      <c r="AE631" s="481"/>
      <c r="AF631" s="481"/>
      <c r="AG631" s="481"/>
      <c r="AH631" s="481"/>
      <c r="AI631" s="873"/>
      <c r="AJ631" s="26"/>
      <c r="AK631" s="26"/>
      <c r="AL631" s="224"/>
    </row>
    <row r="632" spans="1:38" s="62" customFormat="1" ht="30">
      <c r="A632" s="25" t="s">
        <v>1227</v>
      </c>
      <c r="B632" s="24">
        <v>7384</v>
      </c>
      <c r="C632" s="23" t="s">
        <v>229</v>
      </c>
      <c r="D632" s="25" t="s">
        <v>44</v>
      </c>
      <c r="E632" s="25" t="s">
        <v>52</v>
      </c>
      <c r="F632" s="26">
        <v>10</v>
      </c>
      <c r="G632" s="26">
        <f t="shared" si="287"/>
        <v>19.244</v>
      </c>
      <c r="H632" s="26">
        <f>ROUND(G632*(1+$J$13),2)</f>
        <v>24.4</v>
      </c>
      <c r="I632" s="26">
        <f t="shared" ref="I632:I634" si="311">ROUND(H632*F632,2)</f>
        <v>244</v>
      </c>
      <c r="J632" s="64">
        <f>'COMPOSIÇÃO DE CUSTOS'!G1195</f>
        <v>19.25</v>
      </c>
      <c r="K632" s="362">
        <v>22.64</v>
      </c>
      <c r="L632" s="65">
        <f t="shared" si="289"/>
        <v>-3.3960000000000008</v>
      </c>
      <c r="M632" s="65">
        <f t="shared" si="290"/>
        <v>192.44</v>
      </c>
      <c r="N632" s="65"/>
      <c r="O632" s="65">
        <f t="shared" si="291"/>
        <v>244</v>
      </c>
      <c r="P632" s="65" t="e">
        <f>IF(B632&lt;&gt;0,VLOOKUP(B632,#REF!,2,FALSE),"")</f>
        <v>#REF!</v>
      </c>
      <c r="Q632" s="62">
        <v>19</v>
      </c>
      <c r="R632" s="62">
        <f t="shared" si="273"/>
        <v>9</v>
      </c>
      <c r="AD632" s="221"/>
      <c r="AE632" s="481"/>
      <c r="AF632" s="481"/>
      <c r="AG632" s="481"/>
      <c r="AH632" s="481"/>
      <c r="AI632" s="873">
        <f t="shared" si="309"/>
        <v>21.44</v>
      </c>
      <c r="AJ632" s="26">
        <f t="shared" si="305"/>
        <v>27.19</v>
      </c>
      <c r="AK632" s="26">
        <f t="shared" si="310"/>
        <v>271.89999999999998</v>
      </c>
      <c r="AL632" s="224"/>
    </row>
    <row r="633" spans="1:38" s="62" customFormat="1" ht="30">
      <c r="A633" s="25" t="s">
        <v>1228</v>
      </c>
      <c r="B633" s="24">
        <v>7879</v>
      </c>
      <c r="C633" s="23" t="s">
        <v>2841</v>
      </c>
      <c r="D633" s="25" t="s">
        <v>44</v>
      </c>
      <c r="E633" s="25" t="s">
        <v>17</v>
      </c>
      <c r="F633" s="26">
        <v>19</v>
      </c>
      <c r="G633" s="26">
        <f t="shared" si="287"/>
        <v>9.4945000000000004</v>
      </c>
      <c r="H633" s="26">
        <f>ROUND(G633*(1+$J$13),2)</f>
        <v>12.04</v>
      </c>
      <c r="I633" s="26">
        <f t="shared" si="311"/>
        <v>228.76</v>
      </c>
      <c r="J633" s="64">
        <f>'COMPOSIÇÃO DE CUSTOS'!G1258</f>
        <v>9.49</v>
      </c>
      <c r="K633" s="362">
        <v>11.17</v>
      </c>
      <c r="L633" s="65">
        <f t="shared" si="289"/>
        <v>-1.6754999999999995</v>
      </c>
      <c r="M633" s="65">
        <f t="shared" si="290"/>
        <v>180.3955</v>
      </c>
      <c r="N633" s="65"/>
      <c r="O633" s="65">
        <f t="shared" si="291"/>
        <v>228.76</v>
      </c>
      <c r="P633" s="65" t="e">
        <f>IF(B633&lt;&gt;0,VLOOKUP(B633,#REF!,2,FALSE),"")</f>
        <v>#REF!</v>
      </c>
      <c r="Q633" s="62">
        <v>41</v>
      </c>
      <c r="R633" s="62">
        <f t="shared" si="273"/>
        <v>22</v>
      </c>
      <c r="AD633" s="221"/>
      <c r="AE633" s="481"/>
      <c r="AF633" s="481"/>
      <c r="AG633" s="481"/>
      <c r="AH633" s="481"/>
      <c r="AI633" s="873">
        <f t="shared" si="309"/>
        <v>10.58</v>
      </c>
      <c r="AJ633" s="26">
        <f t="shared" si="305"/>
        <v>13.42</v>
      </c>
      <c r="AK633" s="26">
        <f t="shared" si="310"/>
        <v>254.98</v>
      </c>
      <c r="AL633" s="224"/>
    </row>
    <row r="634" spans="1:38" s="62" customFormat="1" ht="30">
      <c r="A634" s="25" t="s">
        <v>1229</v>
      </c>
      <c r="B634" s="24">
        <v>12573</v>
      </c>
      <c r="C634" s="23" t="s">
        <v>1760</v>
      </c>
      <c r="D634" s="25" t="s">
        <v>44</v>
      </c>
      <c r="E634" s="25" t="s">
        <v>17</v>
      </c>
      <c r="F634" s="26">
        <v>41</v>
      </c>
      <c r="G634" s="26">
        <f t="shared" si="287"/>
        <v>9.5794999999999995</v>
      </c>
      <c r="H634" s="26">
        <f>ROUND(G634*(1+$J$13),2)</f>
        <v>12.15</v>
      </c>
      <c r="I634" s="26">
        <f t="shared" si="311"/>
        <v>498.15</v>
      </c>
      <c r="J634" s="64">
        <f>'COMPOSIÇÃO DE CUSTOS'!G1209</f>
        <v>9.58</v>
      </c>
      <c r="K634" s="362">
        <v>11.27</v>
      </c>
      <c r="L634" s="65">
        <f t="shared" si="289"/>
        <v>-1.6905000000000001</v>
      </c>
      <c r="M634" s="65">
        <f t="shared" si="290"/>
        <v>392.7595</v>
      </c>
      <c r="N634" s="65"/>
      <c r="O634" s="65">
        <f t="shared" si="291"/>
        <v>498.15000000000003</v>
      </c>
      <c r="P634" s="65" t="e">
        <f>IF(B634&lt;&gt;0,VLOOKUP(B634,#REF!,2,FALSE),"")</f>
        <v>#REF!</v>
      </c>
      <c r="R634" s="62">
        <f t="shared" si="273"/>
        <v>-41</v>
      </c>
      <c r="AD634" s="221"/>
      <c r="AE634" s="481"/>
      <c r="AF634" s="481"/>
      <c r="AG634" s="481"/>
      <c r="AH634" s="481"/>
      <c r="AI634" s="873">
        <f t="shared" si="309"/>
        <v>10.67</v>
      </c>
      <c r="AJ634" s="26">
        <f t="shared" si="305"/>
        <v>13.53</v>
      </c>
      <c r="AK634" s="26">
        <f t="shared" si="310"/>
        <v>554.73</v>
      </c>
      <c r="AL634" s="224"/>
    </row>
    <row r="635" spans="1:38" s="62" customFormat="1">
      <c r="A635" s="77" t="s">
        <v>1233</v>
      </c>
      <c r="B635" s="139"/>
      <c r="C635" s="340" t="s">
        <v>240</v>
      </c>
      <c r="D635" s="341"/>
      <c r="E635" s="341"/>
      <c r="F635" s="341"/>
      <c r="G635" s="26"/>
      <c r="H635" s="341"/>
      <c r="I635" s="96"/>
      <c r="J635" s="64" t="str">
        <f>IF(B635&lt;&gt;0,VLOOKUP(B635,#REF!,4,FALSE),"")</f>
        <v/>
      </c>
      <c r="K635" s="362" t="s">
        <v>1892</v>
      </c>
      <c r="L635" s="65"/>
      <c r="M635" s="65">
        <f t="shared" si="290"/>
        <v>0</v>
      </c>
      <c r="N635" s="65"/>
      <c r="O635" s="65">
        <f t="shared" si="291"/>
        <v>0</v>
      </c>
      <c r="P635" s="65" t="str">
        <f>IF(B635&lt;&gt;0,VLOOKUP(B635,#REF!,2,FALSE),"")</f>
        <v/>
      </c>
      <c r="Q635" s="62">
        <v>82</v>
      </c>
      <c r="R635" s="62">
        <f t="shared" si="273"/>
        <v>82</v>
      </c>
      <c r="AD635" s="221"/>
      <c r="AE635" s="481"/>
      <c r="AF635" s="481"/>
      <c r="AG635" s="481"/>
      <c r="AH635" s="481"/>
      <c r="AI635" s="873"/>
      <c r="AJ635" s="26"/>
      <c r="AK635" s="26"/>
      <c r="AL635" s="224"/>
    </row>
    <row r="636" spans="1:38" s="62" customFormat="1" ht="45">
      <c r="A636" s="25" t="s">
        <v>1234</v>
      </c>
      <c r="B636" s="24">
        <v>92008</v>
      </c>
      <c r="C636" s="23" t="s">
        <v>1711</v>
      </c>
      <c r="D636" s="25" t="s">
        <v>12</v>
      </c>
      <c r="E636" s="25" t="s">
        <v>17</v>
      </c>
      <c r="F636" s="26">
        <v>82</v>
      </c>
      <c r="G636" s="26">
        <f t="shared" si="287"/>
        <v>29.6905</v>
      </c>
      <c r="H636" s="26">
        <f t="shared" ref="H636:H644" si="312">ROUND(G636*(1+$J$13),2)</f>
        <v>37.65</v>
      </c>
      <c r="I636" s="26">
        <f t="shared" ref="I636:I644" si="313">ROUND(H636*F636,2)</f>
        <v>3087.3</v>
      </c>
      <c r="J636" s="64" t="e">
        <f>IF(B636&lt;&gt;0,VLOOKUP(B636,#REF!,4,FALSE),"")</f>
        <v>#REF!</v>
      </c>
      <c r="K636" s="362" t="s">
        <v>3166</v>
      </c>
      <c r="L636" s="65">
        <f t="shared" si="289"/>
        <v>-5.2394999999999996</v>
      </c>
      <c r="M636" s="65">
        <f t="shared" si="290"/>
        <v>2434.6210000000001</v>
      </c>
      <c r="N636" s="65"/>
      <c r="O636" s="65">
        <f t="shared" si="291"/>
        <v>3087.2999999999997</v>
      </c>
      <c r="P636" s="65" t="e">
        <f>IF(B636&lt;&gt;0,VLOOKUP(B636,#REF!,2,FALSE),"")</f>
        <v>#REF!</v>
      </c>
      <c r="Q636" s="62">
        <v>31</v>
      </c>
      <c r="R636" s="62">
        <f t="shared" si="273"/>
        <v>-51</v>
      </c>
      <c r="AD636" s="221"/>
      <c r="AE636" s="481"/>
      <c r="AF636" s="481"/>
      <c r="AG636" s="481"/>
      <c r="AH636" s="481"/>
      <c r="AI636" s="873">
        <f t="shared" si="309"/>
        <v>33.08</v>
      </c>
      <c r="AJ636" s="26">
        <f t="shared" si="305"/>
        <v>41.95</v>
      </c>
      <c r="AK636" s="26">
        <f t="shared" si="310"/>
        <v>3439.9</v>
      </c>
      <c r="AL636" s="224"/>
    </row>
    <row r="637" spans="1:38" s="62" customFormat="1" ht="45">
      <c r="A637" s="25" t="s">
        <v>1235</v>
      </c>
      <c r="B637" s="24">
        <v>91996</v>
      </c>
      <c r="C637" s="23" t="s">
        <v>1719</v>
      </c>
      <c r="D637" s="25" t="s">
        <v>12</v>
      </c>
      <c r="E637" s="25" t="s">
        <v>17</v>
      </c>
      <c r="F637" s="26">
        <v>31</v>
      </c>
      <c r="G637" s="26">
        <f t="shared" si="287"/>
        <v>20.433999999999997</v>
      </c>
      <c r="H637" s="26">
        <f t="shared" si="312"/>
        <v>25.91</v>
      </c>
      <c r="I637" s="26">
        <f t="shared" si="313"/>
        <v>803.21</v>
      </c>
      <c r="J637" s="64" t="e">
        <f>IF(B637&lt;&gt;0,VLOOKUP(B637,#REF!,4,FALSE),"")</f>
        <v>#REF!</v>
      </c>
      <c r="K637" s="362" t="s">
        <v>3165</v>
      </c>
      <c r="L637" s="65">
        <f t="shared" si="289"/>
        <v>-3.6060000000000016</v>
      </c>
      <c r="M637" s="65">
        <f t="shared" si="290"/>
        <v>633.45399999999995</v>
      </c>
      <c r="N637" s="65"/>
      <c r="O637" s="65">
        <f t="shared" si="291"/>
        <v>803.21</v>
      </c>
      <c r="P637" s="65" t="e">
        <f>IF(B637&lt;&gt;0,VLOOKUP(B637,#REF!,2,FALSE),"")</f>
        <v>#REF!</v>
      </c>
      <c r="Q637" s="62">
        <v>3</v>
      </c>
      <c r="R637" s="62">
        <f t="shared" ref="R637:R700" si="314">Q637-F637</f>
        <v>-28</v>
      </c>
      <c r="AD637" s="221"/>
      <c r="AE637" s="481"/>
      <c r="AF637" s="481"/>
      <c r="AG637" s="481"/>
      <c r="AH637" s="481"/>
      <c r="AI637" s="873">
        <f t="shared" si="309"/>
        <v>22.76</v>
      </c>
      <c r="AJ637" s="26">
        <f t="shared" si="305"/>
        <v>28.86</v>
      </c>
      <c r="AK637" s="26">
        <f t="shared" si="310"/>
        <v>894.66</v>
      </c>
      <c r="AL637" s="224"/>
    </row>
    <row r="638" spans="1:38" s="62" customFormat="1" ht="45">
      <c r="A638" s="25" t="s">
        <v>1236</v>
      </c>
      <c r="B638" s="24">
        <v>92004</v>
      </c>
      <c r="C638" s="23" t="s">
        <v>1720</v>
      </c>
      <c r="D638" s="25" t="s">
        <v>12</v>
      </c>
      <c r="E638" s="25" t="s">
        <v>17</v>
      </c>
      <c r="F638" s="26">
        <v>3</v>
      </c>
      <c r="G638" s="26">
        <f t="shared" si="287"/>
        <v>33.651500000000006</v>
      </c>
      <c r="H638" s="26">
        <f t="shared" si="312"/>
        <v>42.67</v>
      </c>
      <c r="I638" s="26">
        <f t="shared" si="313"/>
        <v>128.01</v>
      </c>
      <c r="J638" s="64" t="e">
        <f>IF(B638&lt;&gt;0,VLOOKUP(B638,#REF!,4,FALSE),"")</f>
        <v>#REF!</v>
      </c>
      <c r="K638" s="362" t="s">
        <v>3108</v>
      </c>
      <c r="L638" s="65">
        <f t="shared" si="289"/>
        <v>-5.9384999999999977</v>
      </c>
      <c r="M638" s="65">
        <f t="shared" si="290"/>
        <v>100.95450000000002</v>
      </c>
      <c r="N638" s="65"/>
      <c r="O638" s="65">
        <f t="shared" si="291"/>
        <v>128.01</v>
      </c>
      <c r="P638" s="65" t="e">
        <f>IF(B638&lt;&gt;0,VLOOKUP(B638,#REF!,2,FALSE),"")</f>
        <v>#REF!</v>
      </c>
      <c r="Q638" s="62">
        <v>24</v>
      </c>
      <c r="R638" s="62">
        <f t="shared" si="314"/>
        <v>21</v>
      </c>
      <c r="AD638" s="221"/>
      <c r="AE638" s="481"/>
      <c r="AF638" s="481"/>
      <c r="AG638" s="481"/>
      <c r="AH638" s="481"/>
      <c r="AI638" s="873">
        <f t="shared" si="309"/>
        <v>37.49</v>
      </c>
      <c r="AJ638" s="26">
        <f t="shared" si="305"/>
        <v>47.54</v>
      </c>
      <c r="AK638" s="26">
        <f t="shared" si="310"/>
        <v>142.62</v>
      </c>
      <c r="AL638" s="224"/>
    </row>
    <row r="639" spans="1:38" s="62" customFormat="1" ht="45">
      <c r="A639" s="25" t="s">
        <v>1237</v>
      </c>
      <c r="B639" s="24">
        <v>91992</v>
      </c>
      <c r="C639" s="23" t="s">
        <v>1712</v>
      </c>
      <c r="D639" s="25" t="s">
        <v>12</v>
      </c>
      <c r="E639" s="25" t="s">
        <v>17</v>
      </c>
      <c r="F639" s="26">
        <v>24</v>
      </c>
      <c r="G639" s="26">
        <f t="shared" si="287"/>
        <v>25.533999999999999</v>
      </c>
      <c r="H639" s="26">
        <f t="shared" si="312"/>
        <v>32.380000000000003</v>
      </c>
      <c r="I639" s="26">
        <f t="shared" si="313"/>
        <v>777.12</v>
      </c>
      <c r="J639" s="64" t="e">
        <f>IF(B639&lt;&gt;0,VLOOKUP(B639,#REF!,4,FALSE),"")</f>
        <v>#REF!</v>
      </c>
      <c r="K639" s="362" t="s">
        <v>3164</v>
      </c>
      <c r="L639" s="65">
        <f t="shared" si="289"/>
        <v>-4.5060000000000002</v>
      </c>
      <c r="M639" s="65">
        <f t="shared" si="290"/>
        <v>612.81600000000003</v>
      </c>
      <c r="N639" s="65"/>
      <c r="O639" s="65">
        <f t="shared" si="291"/>
        <v>777.12000000000012</v>
      </c>
      <c r="P639" s="65" t="e">
        <f>IF(B639&lt;&gt;0,VLOOKUP(B639,#REF!,2,FALSE),"")</f>
        <v>#REF!</v>
      </c>
      <c r="Q639" s="62">
        <v>25</v>
      </c>
      <c r="R639" s="62">
        <f t="shared" si="314"/>
        <v>1</v>
      </c>
      <c r="AD639" s="221"/>
      <c r="AE639" s="481"/>
      <c r="AF639" s="481"/>
      <c r="AG639" s="481"/>
      <c r="AH639" s="481"/>
      <c r="AI639" s="873">
        <f t="shared" si="309"/>
        <v>28.45</v>
      </c>
      <c r="AJ639" s="26">
        <f t="shared" si="305"/>
        <v>36.08</v>
      </c>
      <c r="AK639" s="26">
        <f t="shared" si="310"/>
        <v>865.92</v>
      </c>
      <c r="AL639" s="224"/>
    </row>
    <row r="640" spans="1:38" s="62" customFormat="1" ht="15" customHeight="1">
      <c r="A640" s="25" t="s">
        <v>1238</v>
      </c>
      <c r="B640" s="24">
        <v>91953</v>
      </c>
      <c r="C640" s="23" t="s">
        <v>1721</v>
      </c>
      <c r="D640" s="25" t="s">
        <v>12</v>
      </c>
      <c r="E640" s="25" t="s">
        <v>17</v>
      </c>
      <c r="F640" s="26">
        <v>25</v>
      </c>
      <c r="G640" s="26">
        <f t="shared" si="287"/>
        <v>17.391000000000002</v>
      </c>
      <c r="H640" s="26">
        <f t="shared" si="312"/>
        <v>22.05</v>
      </c>
      <c r="I640" s="26">
        <f t="shared" si="313"/>
        <v>551.25</v>
      </c>
      <c r="J640" s="64" t="e">
        <f>IF(B640&lt;&gt;0,VLOOKUP(B640,#REF!,4,FALSE),"")</f>
        <v>#REF!</v>
      </c>
      <c r="K640" s="362" t="s">
        <v>1880</v>
      </c>
      <c r="L640" s="65">
        <f t="shared" si="289"/>
        <v>-3.0689999999999991</v>
      </c>
      <c r="M640" s="65">
        <f t="shared" si="290"/>
        <v>434.77500000000003</v>
      </c>
      <c r="N640" s="65"/>
      <c r="O640" s="65">
        <f t="shared" si="291"/>
        <v>551.25</v>
      </c>
      <c r="P640" s="65" t="e">
        <f>IF(B640&lt;&gt;0,VLOOKUP(B640,#REF!,2,FALSE),"")</f>
        <v>#REF!</v>
      </c>
      <c r="Q640" s="62">
        <v>5</v>
      </c>
      <c r="R640" s="62">
        <f t="shared" si="314"/>
        <v>-20</v>
      </c>
      <c r="AD640" s="221"/>
      <c r="AE640" s="481"/>
      <c r="AF640" s="481"/>
      <c r="AG640" s="481"/>
      <c r="AH640" s="481"/>
      <c r="AI640" s="873">
        <f t="shared" si="309"/>
        <v>19.37</v>
      </c>
      <c r="AJ640" s="26">
        <f t="shared" si="305"/>
        <v>24.56</v>
      </c>
      <c r="AK640" s="26">
        <f t="shared" si="310"/>
        <v>614</v>
      </c>
      <c r="AL640" s="224"/>
    </row>
    <row r="641" spans="1:38" s="62" customFormat="1" ht="45">
      <c r="A641" s="25" t="s">
        <v>1239</v>
      </c>
      <c r="B641" s="24">
        <v>91959</v>
      </c>
      <c r="C641" s="23" t="s">
        <v>1722</v>
      </c>
      <c r="D641" s="25" t="s">
        <v>12</v>
      </c>
      <c r="E641" s="25" t="s">
        <v>17</v>
      </c>
      <c r="F641" s="26">
        <v>5</v>
      </c>
      <c r="G641" s="26">
        <f t="shared" si="287"/>
        <v>27.591000000000001</v>
      </c>
      <c r="H641" s="26">
        <f t="shared" si="312"/>
        <v>34.99</v>
      </c>
      <c r="I641" s="26">
        <f t="shared" si="313"/>
        <v>174.95</v>
      </c>
      <c r="J641" s="64" t="e">
        <f>IF(B641&lt;&gt;0,VLOOKUP(B641,#REF!,4,FALSE),"")</f>
        <v>#REF!</v>
      </c>
      <c r="K641" s="362" t="s">
        <v>3160</v>
      </c>
      <c r="L641" s="65">
        <f t="shared" si="289"/>
        <v>-4.8689999999999998</v>
      </c>
      <c r="M641" s="65">
        <f t="shared" si="290"/>
        <v>137.95500000000001</v>
      </c>
      <c r="N641" s="65"/>
      <c r="O641" s="65">
        <f t="shared" si="291"/>
        <v>174.95000000000002</v>
      </c>
      <c r="P641" s="65" t="e">
        <f>IF(B641&lt;&gt;0,VLOOKUP(B641,#REF!,2,FALSE),"")</f>
        <v>#REF!</v>
      </c>
      <c r="Q641" s="62">
        <v>8</v>
      </c>
      <c r="R641" s="62">
        <f t="shared" si="314"/>
        <v>3</v>
      </c>
      <c r="AD641" s="221"/>
      <c r="AE641" s="481"/>
      <c r="AF641" s="481"/>
      <c r="AG641" s="481"/>
      <c r="AH641" s="481"/>
      <c r="AI641" s="873">
        <f t="shared" si="309"/>
        <v>30.74</v>
      </c>
      <c r="AJ641" s="26">
        <f t="shared" si="305"/>
        <v>38.979999999999997</v>
      </c>
      <c r="AK641" s="26">
        <f t="shared" si="310"/>
        <v>194.9</v>
      </c>
      <c r="AL641" s="224"/>
    </row>
    <row r="642" spans="1:38" s="62" customFormat="1" ht="45">
      <c r="A642" s="25" t="s">
        <v>1240</v>
      </c>
      <c r="B642" s="24">
        <v>91967</v>
      </c>
      <c r="C642" s="23" t="s">
        <v>1723</v>
      </c>
      <c r="D642" s="25" t="s">
        <v>12</v>
      </c>
      <c r="E642" s="25" t="s">
        <v>17</v>
      </c>
      <c r="F642" s="26">
        <v>8</v>
      </c>
      <c r="G642" s="26">
        <f t="shared" si="287"/>
        <v>37.791000000000004</v>
      </c>
      <c r="H642" s="26">
        <f t="shared" si="312"/>
        <v>47.92</v>
      </c>
      <c r="I642" s="26">
        <f t="shared" si="313"/>
        <v>383.36</v>
      </c>
      <c r="J642" s="64" t="e">
        <f>IF(B642&lt;&gt;0,VLOOKUP(B642,#REF!,4,FALSE),"")</f>
        <v>#REF!</v>
      </c>
      <c r="K642" s="362" t="s">
        <v>3162</v>
      </c>
      <c r="L642" s="65">
        <f t="shared" si="289"/>
        <v>-6.6689999999999969</v>
      </c>
      <c r="M642" s="65">
        <f t="shared" si="290"/>
        <v>302.32800000000003</v>
      </c>
      <c r="N642" s="65"/>
      <c r="O642" s="65">
        <f t="shared" si="291"/>
        <v>383.36</v>
      </c>
      <c r="P642" s="65" t="e">
        <f>IF(B642&lt;&gt;0,VLOOKUP(B642,#REF!,2,FALSE),"")</f>
        <v>#REF!</v>
      </c>
      <c r="Q642" s="62">
        <v>2</v>
      </c>
      <c r="R642" s="62">
        <f t="shared" si="314"/>
        <v>-6</v>
      </c>
      <c r="AD642" s="221"/>
      <c r="AE642" s="481"/>
      <c r="AF642" s="481"/>
      <c r="AG642" s="481"/>
      <c r="AH642" s="481"/>
      <c r="AI642" s="873">
        <f t="shared" si="309"/>
        <v>42.1</v>
      </c>
      <c r="AJ642" s="26">
        <f t="shared" si="305"/>
        <v>53.39</v>
      </c>
      <c r="AK642" s="26">
        <f t="shared" si="310"/>
        <v>427.12</v>
      </c>
      <c r="AL642" s="224"/>
    </row>
    <row r="643" spans="1:38" s="62" customFormat="1" ht="45">
      <c r="A643" s="25" t="s">
        <v>1241</v>
      </c>
      <c r="B643" s="24">
        <v>91955</v>
      </c>
      <c r="C643" s="23" t="s">
        <v>1724</v>
      </c>
      <c r="D643" s="25" t="s">
        <v>12</v>
      </c>
      <c r="E643" s="25" t="s">
        <v>17</v>
      </c>
      <c r="F643" s="26">
        <v>2</v>
      </c>
      <c r="G643" s="26">
        <f t="shared" si="287"/>
        <v>21.369</v>
      </c>
      <c r="H643" s="26">
        <f t="shared" si="312"/>
        <v>27.1</v>
      </c>
      <c r="I643" s="26">
        <f t="shared" si="313"/>
        <v>54.2</v>
      </c>
      <c r="J643" s="64" t="e">
        <f>IF(B643&lt;&gt;0,VLOOKUP(B643,#REF!,4,FALSE),"")</f>
        <v>#REF!</v>
      </c>
      <c r="K643" s="362" t="s">
        <v>1856</v>
      </c>
      <c r="L643" s="65">
        <f t="shared" si="289"/>
        <v>-3.7710000000000008</v>
      </c>
      <c r="M643" s="65">
        <f t="shared" si="290"/>
        <v>42.738</v>
      </c>
      <c r="N643" s="65"/>
      <c r="O643" s="65">
        <f t="shared" si="291"/>
        <v>54.2</v>
      </c>
      <c r="P643" s="65" t="e">
        <f>IF(B643&lt;&gt;0,VLOOKUP(B643,#REF!,2,FALSE),"")</f>
        <v>#REF!</v>
      </c>
      <c r="Q643" s="62">
        <v>1</v>
      </c>
      <c r="R643" s="62">
        <f t="shared" si="314"/>
        <v>-1</v>
      </c>
      <c r="AD643" s="221"/>
      <c r="AE643" s="481"/>
      <c r="AF643" s="481"/>
      <c r="AG643" s="481"/>
      <c r="AH643" s="481"/>
      <c r="AI643" s="873">
        <f t="shared" si="309"/>
        <v>23.81</v>
      </c>
      <c r="AJ643" s="26">
        <f t="shared" si="305"/>
        <v>30.19</v>
      </c>
      <c r="AK643" s="26">
        <f t="shared" si="310"/>
        <v>60.38</v>
      </c>
      <c r="AL643" s="224"/>
    </row>
    <row r="644" spans="1:38" s="62" customFormat="1" ht="45">
      <c r="A644" s="25" t="s">
        <v>1242</v>
      </c>
      <c r="B644" s="24">
        <v>92000</v>
      </c>
      <c r="C644" s="23" t="s">
        <v>1718</v>
      </c>
      <c r="D644" s="25" t="s">
        <v>12</v>
      </c>
      <c r="E644" s="25" t="s">
        <v>17</v>
      </c>
      <c r="F644" s="26">
        <v>1</v>
      </c>
      <c r="G644" s="26">
        <f t="shared" si="287"/>
        <v>18.453500000000002</v>
      </c>
      <c r="H644" s="26">
        <f t="shared" si="312"/>
        <v>23.4</v>
      </c>
      <c r="I644" s="26">
        <f t="shared" si="313"/>
        <v>23.4</v>
      </c>
      <c r="J644" s="64" t="e">
        <f>IF(B644&lt;&gt;0,VLOOKUP(B644,#REF!,4,FALSE),"")</f>
        <v>#REF!</v>
      </c>
      <c r="K644" s="362" t="s">
        <v>3119</v>
      </c>
      <c r="L644" s="65">
        <f t="shared" si="289"/>
        <v>-3.2564999999999991</v>
      </c>
      <c r="M644" s="65">
        <f t="shared" si="290"/>
        <v>18.453500000000002</v>
      </c>
      <c r="N644" s="65"/>
      <c r="O644" s="65">
        <f t="shared" si="291"/>
        <v>23.4</v>
      </c>
      <c r="P644" s="65" t="e">
        <f>IF(B644&lt;&gt;0,VLOOKUP(B644,#REF!,2,FALSE),"")</f>
        <v>#REF!</v>
      </c>
      <c r="R644" s="62">
        <f t="shared" si="314"/>
        <v>-1</v>
      </c>
      <c r="AD644" s="221"/>
      <c r="AE644" s="481"/>
      <c r="AF644" s="481"/>
      <c r="AG644" s="481"/>
      <c r="AH644" s="481"/>
      <c r="AI644" s="873">
        <f t="shared" si="309"/>
        <v>20.56</v>
      </c>
      <c r="AJ644" s="26">
        <f t="shared" si="305"/>
        <v>26.07</v>
      </c>
      <c r="AK644" s="26">
        <f t="shared" si="310"/>
        <v>26.07</v>
      </c>
      <c r="AL644" s="224"/>
    </row>
    <row r="645" spans="1:38" s="62" customFormat="1">
      <c r="A645" s="77" t="s">
        <v>1244</v>
      </c>
      <c r="B645" s="139"/>
      <c r="C645" s="340" t="s">
        <v>214</v>
      </c>
      <c r="D645" s="341"/>
      <c r="E645" s="341"/>
      <c r="F645" s="341"/>
      <c r="G645" s="26"/>
      <c r="H645" s="341"/>
      <c r="I645" s="96"/>
      <c r="J645" s="64" t="str">
        <f>IF(B645&lt;&gt;0,VLOOKUP(B645,#REF!,4,FALSE),"")</f>
        <v/>
      </c>
      <c r="K645" s="362" t="s">
        <v>1892</v>
      </c>
      <c r="L645" s="65"/>
      <c r="M645" s="65">
        <f t="shared" si="290"/>
        <v>0</v>
      </c>
      <c r="N645" s="65"/>
      <c r="O645" s="65">
        <f t="shared" si="291"/>
        <v>0</v>
      </c>
      <c r="P645" s="65" t="str">
        <f>IF(B645&lt;&gt;0,VLOOKUP(B645,#REF!,2,FALSE),"")</f>
        <v/>
      </c>
      <c r="Q645" s="62">
        <v>6487</v>
      </c>
      <c r="R645" s="62">
        <f t="shared" si="314"/>
        <v>6487</v>
      </c>
      <c r="AD645" s="221"/>
      <c r="AE645" s="481"/>
      <c r="AF645" s="481"/>
      <c r="AG645" s="481"/>
      <c r="AH645" s="481"/>
      <c r="AI645" s="552"/>
      <c r="AJ645" s="27"/>
      <c r="AK645" s="27"/>
      <c r="AL645" s="224"/>
    </row>
    <row r="646" spans="1:38" s="34" customFormat="1" ht="45">
      <c r="A646" s="472" t="s">
        <v>1245</v>
      </c>
      <c r="B646" s="475">
        <v>91926</v>
      </c>
      <c r="C646" s="471" t="s">
        <v>1713</v>
      </c>
      <c r="D646" s="472" t="s">
        <v>12</v>
      </c>
      <c r="E646" s="472" t="s">
        <v>52</v>
      </c>
      <c r="F646" s="473">
        <v>6487</v>
      </c>
      <c r="G646" s="473">
        <f t="shared" si="287"/>
        <v>3.0684999999999998</v>
      </c>
      <c r="H646" s="473">
        <f>ROUND(G646*(1+$J$13),2)</f>
        <v>3.89</v>
      </c>
      <c r="I646" s="473">
        <f t="shared" ref="I646" si="315">ROUND(H646*F646,2)</f>
        <v>25234.43</v>
      </c>
      <c r="J646" s="474" t="e">
        <f>IF(B646&lt;&gt;0,VLOOKUP(B646,#REF!,4,FALSE),"")</f>
        <v>#REF!</v>
      </c>
      <c r="K646" s="378" t="s">
        <v>3107</v>
      </c>
      <c r="L646" s="47">
        <f t="shared" si="289"/>
        <v>-0.54150000000000009</v>
      </c>
      <c r="M646" s="47">
        <f t="shared" si="290"/>
        <v>19905.359499999999</v>
      </c>
      <c r="N646" s="47"/>
      <c r="O646" s="47">
        <f t="shared" si="291"/>
        <v>25234.43</v>
      </c>
      <c r="P646" s="47" t="e">
        <f>IF(B646&lt;&gt;0,VLOOKUP(B646,#REF!,2,FALSE),"")</f>
        <v>#REF!</v>
      </c>
      <c r="R646" s="34">
        <f t="shared" si="314"/>
        <v>-6487</v>
      </c>
      <c r="AD646" s="577"/>
      <c r="AE646" s="502"/>
      <c r="AF646" s="502"/>
      <c r="AG646" s="502"/>
      <c r="AH646" s="502"/>
      <c r="AI646" s="872">
        <f>AL646</f>
        <v>4.33</v>
      </c>
      <c r="AJ646" s="473">
        <f>ROUND(AI646*(1+$J$13),2)</f>
        <v>5.49</v>
      </c>
      <c r="AK646" s="473">
        <f>ROUND(AJ646*F646,2)</f>
        <v>35613.629999999997</v>
      </c>
      <c r="AL646" s="788">
        <f>'PLANILHA ORÇA - CORREGEDORIA'!BG730</f>
        <v>4.33</v>
      </c>
    </row>
    <row r="647" spans="1:38" s="62" customFormat="1" ht="15" customHeight="1">
      <c r="A647" s="77" t="s">
        <v>1253</v>
      </c>
      <c r="B647" s="139"/>
      <c r="C647" s="340" t="s">
        <v>216</v>
      </c>
      <c r="D647" s="341"/>
      <c r="E647" s="341"/>
      <c r="F647" s="341"/>
      <c r="G647" s="26"/>
      <c r="H647" s="341"/>
      <c r="I647" s="96"/>
      <c r="J647" s="64" t="str">
        <f>IF(B647&lt;&gt;0,VLOOKUP(B647,#REF!,4,FALSE),"")</f>
        <v/>
      </c>
      <c r="K647" s="362" t="s">
        <v>1892</v>
      </c>
      <c r="L647" s="65"/>
      <c r="M647" s="65">
        <f t="shared" si="290"/>
        <v>0</v>
      </c>
      <c r="N647" s="65"/>
      <c r="O647" s="65">
        <f t="shared" si="291"/>
        <v>0</v>
      </c>
      <c r="P647" s="65" t="str">
        <f>IF(B647&lt;&gt;0,VLOOKUP(B647,#REF!,2,FALSE),"")</f>
        <v/>
      </c>
      <c r="Q647" s="62">
        <v>4</v>
      </c>
      <c r="R647" s="62">
        <f t="shared" si="314"/>
        <v>4</v>
      </c>
      <c r="AD647" s="221"/>
      <c r="AE647" s="481"/>
      <c r="AF647" s="481"/>
      <c r="AG647" s="481"/>
      <c r="AH647" s="481"/>
      <c r="AI647" s="552"/>
      <c r="AJ647" s="27"/>
      <c r="AK647" s="27"/>
      <c r="AL647" s="224"/>
    </row>
    <row r="648" spans="1:38" s="62" customFormat="1" ht="45">
      <c r="A648" s="25" t="s">
        <v>1254</v>
      </c>
      <c r="B648" s="24">
        <v>95779</v>
      </c>
      <c r="C648" s="23" t="s">
        <v>1710</v>
      </c>
      <c r="D648" s="25" t="s">
        <v>12</v>
      </c>
      <c r="E648" s="25" t="s">
        <v>17</v>
      </c>
      <c r="F648" s="26">
        <v>4</v>
      </c>
      <c r="G648" s="26">
        <f t="shared" si="287"/>
        <v>17.442</v>
      </c>
      <c r="H648" s="26">
        <f t="shared" ref="H648:H656" si="316">ROUND(G648*(1+$J$13),2)</f>
        <v>22.12</v>
      </c>
      <c r="I648" s="26">
        <f t="shared" ref="I648:I656" si="317">ROUND(H648*F648,2)</f>
        <v>88.48</v>
      </c>
      <c r="J648" s="64" t="e">
        <f>IF(B648&lt;&gt;0,VLOOKUP(B648,#REF!,4,FALSE),"")</f>
        <v>#REF!</v>
      </c>
      <c r="K648" s="362" t="s">
        <v>1900</v>
      </c>
      <c r="L648" s="65">
        <f t="shared" si="289"/>
        <v>-3.0779999999999994</v>
      </c>
      <c r="M648" s="65">
        <f t="shared" si="290"/>
        <v>69.768000000000001</v>
      </c>
      <c r="N648" s="65"/>
      <c r="O648" s="65">
        <f t="shared" si="291"/>
        <v>88.48</v>
      </c>
      <c r="P648" s="65" t="e">
        <f>IF(B648&lt;&gt;0,VLOOKUP(B648,#REF!,2,FALSE),"")</f>
        <v>#REF!</v>
      </c>
      <c r="Q648" s="62">
        <v>4</v>
      </c>
      <c r="R648" s="62">
        <f t="shared" si="314"/>
        <v>0</v>
      </c>
      <c r="AD648" s="221"/>
      <c r="AE648" s="481"/>
      <c r="AF648" s="481"/>
      <c r="AG648" s="481"/>
      <c r="AH648" s="481"/>
      <c r="AI648" s="873">
        <f t="shared" ref="AI648" si="318">ROUND(G648*$AM$11,2)</f>
        <v>19.43</v>
      </c>
      <c r="AJ648" s="26">
        <f t="shared" ref="AJ648:AJ658" si="319">ROUND(AI648*(1+$J$13),2)</f>
        <v>24.64</v>
      </c>
      <c r="AK648" s="26">
        <f t="shared" ref="AK648" si="320">ROUND(AJ648*F648,2)</f>
        <v>98.56</v>
      </c>
      <c r="AL648" s="224"/>
    </row>
    <row r="649" spans="1:38" s="62" customFormat="1" ht="45">
      <c r="A649" s="25" t="s">
        <v>1255</v>
      </c>
      <c r="B649" s="24">
        <v>95795</v>
      </c>
      <c r="C649" s="23" t="s">
        <v>1707</v>
      </c>
      <c r="D649" s="25" t="s">
        <v>12</v>
      </c>
      <c r="E649" s="25" t="s">
        <v>17</v>
      </c>
      <c r="F649" s="26">
        <v>4</v>
      </c>
      <c r="G649" s="26">
        <f t="shared" si="287"/>
        <v>21.488</v>
      </c>
      <c r="H649" s="26">
        <f t="shared" si="316"/>
        <v>27.25</v>
      </c>
      <c r="I649" s="26">
        <f t="shared" si="317"/>
        <v>109</v>
      </c>
      <c r="J649" s="64" t="e">
        <f>IF(B649&lt;&gt;0,VLOOKUP(B649,#REF!,4,FALSE),"")</f>
        <v>#REF!</v>
      </c>
      <c r="K649" s="362" t="s">
        <v>3238</v>
      </c>
      <c r="L649" s="65">
        <f t="shared" si="289"/>
        <v>-3.7920000000000016</v>
      </c>
      <c r="M649" s="65">
        <f t="shared" si="290"/>
        <v>85.951999999999998</v>
      </c>
      <c r="N649" s="65"/>
      <c r="O649" s="65">
        <f t="shared" si="291"/>
        <v>109</v>
      </c>
      <c r="P649" s="65" t="e">
        <f>IF(B649&lt;&gt;0,VLOOKUP(B649,#REF!,2,FALSE),"")</f>
        <v>#REF!</v>
      </c>
      <c r="Q649" s="62">
        <v>7</v>
      </c>
      <c r="R649" s="62">
        <f t="shared" si="314"/>
        <v>3</v>
      </c>
      <c r="AD649" s="221"/>
      <c r="AE649" s="481"/>
      <c r="AF649" s="481"/>
      <c r="AG649" s="481"/>
      <c r="AH649" s="481"/>
      <c r="AI649" s="873">
        <f t="shared" ref="AI649:AI658" si="321">ROUND(G649*$AM$11,2)</f>
        <v>23.94</v>
      </c>
      <c r="AJ649" s="26">
        <f t="shared" si="319"/>
        <v>30.36</v>
      </c>
      <c r="AK649" s="26">
        <f t="shared" ref="AK649:AK658" si="322">ROUND(AJ649*F649,2)</f>
        <v>121.44</v>
      </c>
      <c r="AL649" s="224"/>
    </row>
    <row r="650" spans="1:38" ht="53.25" customHeight="1">
      <c r="A650" s="25" t="s">
        <v>1256</v>
      </c>
      <c r="B650" s="24">
        <v>95778</v>
      </c>
      <c r="C650" s="23" t="s">
        <v>1709</v>
      </c>
      <c r="D650" s="25" t="s">
        <v>12</v>
      </c>
      <c r="E650" s="25" t="s">
        <v>17</v>
      </c>
      <c r="F650" s="26">
        <v>7</v>
      </c>
      <c r="G650" s="26">
        <f t="shared" si="287"/>
        <v>19.3035</v>
      </c>
      <c r="H650" s="26">
        <f t="shared" si="316"/>
        <v>24.48</v>
      </c>
      <c r="I650" s="26">
        <f t="shared" si="317"/>
        <v>171.36</v>
      </c>
      <c r="J650" s="64" t="e">
        <f>IF(B650&lt;&gt;0,VLOOKUP(B650,#REF!,4,FALSE),"")</f>
        <v>#REF!</v>
      </c>
      <c r="K650" s="362" t="s">
        <v>3137</v>
      </c>
      <c r="L650" s="65">
        <f t="shared" si="289"/>
        <v>-3.4065000000000012</v>
      </c>
      <c r="M650" s="65">
        <f t="shared" si="290"/>
        <v>135.12450000000001</v>
      </c>
      <c r="N650" s="65"/>
      <c r="O650" s="65">
        <f t="shared" si="291"/>
        <v>171.36</v>
      </c>
      <c r="P650" s="65" t="e">
        <f>IF(B650&lt;&gt;0,VLOOKUP(B650,#REF!,2,FALSE),"")</f>
        <v>#REF!</v>
      </c>
      <c r="Q650" s="2">
        <v>5</v>
      </c>
      <c r="R650" s="62">
        <f t="shared" si="314"/>
        <v>-2</v>
      </c>
      <c r="AD650" s="21"/>
      <c r="AE650" s="481"/>
      <c r="AF650" s="481"/>
      <c r="AG650" s="481"/>
      <c r="AH650" s="481"/>
      <c r="AI650" s="873">
        <f t="shared" si="321"/>
        <v>21.5</v>
      </c>
      <c r="AJ650" s="26">
        <f t="shared" si="319"/>
        <v>27.26</v>
      </c>
      <c r="AK650" s="26">
        <f t="shared" si="322"/>
        <v>190.82</v>
      </c>
    </row>
    <row r="651" spans="1:38" s="45" customFormat="1" ht="59.25" customHeight="1">
      <c r="A651" s="25" t="s">
        <v>1257</v>
      </c>
      <c r="B651" s="24">
        <v>95787</v>
      </c>
      <c r="C651" s="23" t="s">
        <v>1708</v>
      </c>
      <c r="D651" s="25" t="s">
        <v>12</v>
      </c>
      <c r="E651" s="25" t="s">
        <v>17</v>
      </c>
      <c r="F651" s="26">
        <v>5</v>
      </c>
      <c r="G651" s="26">
        <f t="shared" si="287"/>
        <v>18.614999999999998</v>
      </c>
      <c r="H651" s="26">
        <f t="shared" si="316"/>
        <v>23.61</v>
      </c>
      <c r="I651" s="26">
        <f t="shared" si="317"/>
        <v>118.05</v>
      </c>
      <c r="J651" s="64" t="e">
        <f>IF(B651&lt;&gt;0,VLOOKUP(B651,#REF!,4,FALSE),"")</f>
        <v>#REF!</v>
      </c>
      <c r="K651" s="362" t="s">
        <v>1888</v>
      </c>
      <c r="L651" s="65">
        <f t="shared" si="289"/>
        <v>-3.2850000000000001</v>
      </c>
      <c r="M651" s="65">
        <f t="shared" si="290"/>
        <v>93.074999999999989</v>
      </c>
      <c r="N651" s="65"/>
      <c r="O651" s="65">
        <f t="shared" si="291"/>
        <v>118.05</v>
      </c>
      <c r="P651" s="65" t="e">
        <f>IF(B651&lt;&gt;0,VLOOKUP(B651,#REF!,2,FALSE),"")</f>
        <v>#REF!</v>
      </c>
      <c r="Q651" s="45">
        <v>149</v>
      </c>
      <c r="R651" s="62">
        <f t="shared" si="314"/>
        <v>144</v>
      </c>
      <c r="AD651" s="56"/>
      <c r="AE651" s="481"/>
      <c r="AF651" s="481"/>
      <c r="AG651" s="481"/>
      <c r="AH651" s="481"/>
      <c r="AI651" s="873">
        <f t="shared" si="321"/>
        <v>20.74</v>
      </c>
      <c r="AJ651" s="26">
        <f t="shared" si="319"/>
        <v>26.3</v>
      </c>
      <c r="AK651" s="26">
        <f t="shared" si="322"/>
        <v>131.5</v>
      </c>
      <c r="AL651" s="724"/>
    </row>
    <row r="652" spans="1:38" s="62" customFormat="1" ht="48" customHeight="1">
      <c r="A652" s="25" t="s">
        <v>1258</v>
      </c>
      <c r="B652" s="24">
        <v>91936</v>
      </c>
      <c r="C652" s="23" t="s">
        <v>1726</v>
      </c>
      <c r="D652" s="25" t="s">
        <v>12</v>
      </c>
      <c r="E652" s="25" t="s">
        <v>17</v>
      </c>
      <c r="F652" s="26">
        <v>149</v>
      </c>
      <c r="G652" s="26">
        <f t="shared" si="287"/>
        <v>8.4065000000000012</v>
      </c>
      <c r="H652" s="26">
        <f t="shared" si="316"/>
        <v>10.66</v>
      </c>
      <c r="I652" s="26">
        <f t="shared" si="317"/>
        <v>1588.34</v>
      </c>
      <c r="J652" s="64" t="e">
        <f>IF(B652&lt;&gt;0,VLOOKUP(B652,#REF!,4,FALSE),"")</f>
        <v>#REF!</v>
      </c>
      <c r="K652" s="362" t="s">
        <v>1899</v>
      </c>
      <c r="L652" s="65">
        <f t="shared" si="289"/>
        <v>-1.4834999999999994</v>
      </c>
      <c r="M652" s="65">
        <f t="shared" si="290"/>
        <v>1252.5685000000001</v>
      </c>
      <c r="N652" s="65"/>
      <c r="O652" s="65">
        <f t="shared" si="291"/>
        <v>1588.34</v>
      </c>
      <c r="P652" s="65" t="e">
        <f>IF(B652&lt;&gt;0,VLOOKUP(B652,#REF!,2,FALSE),"")</f>
        <v>#REF!</v>
      </c>
      <c r="Q652" s="62">
        <v>83</v>
      </c>
      <c r="R652" s="62">
        <f t="shared" si="314"/>
        <v>-66</v>
      </c>
      <c r="AD652" s="221"/>
      <c r="AE652" s="481"/>
      <c r="AF652" s="481"/>
      <c r="AG652" s="481"/>
      <c r="AH652" s="481"/>
      <c r="AI652" s="873">
        <f t="shared" si="321"/>
        <v>9.36</v>
      </c>
      <c r="AJ652" s="26">
        <f t="shared" si="319"/>
        <v>11.87</v>
      </c>
      <c r="AK652" s="26">
        <f t="shared" si="322"/>
        <v>1768.63</v>
      </c>
      <c r="AL652" s="224"/>
    </row>
    <row r="653" spans="1:38" s="62" customFormat="1" ht="49.5" customHeight="1">
      <c r="A653" s="25" t="s">
        <v>1259</v>
      </c>
      <c r="B653" s="24">
        <v>91941</v>
      </c>
      <c r="C653" s="23" t="s">
        <v>1716</v>
      </c>
      <c r="D653" s="25" t="s">
        <v>12</v>
      </c>
      <c r="E653" s="25" t="s">
        <v>17</v>
      </c>
      <c r="F653" s="26">
        <v>83</v>
      </c>
      <c r="G653" s="26">
        <f t="shared" si="287"/>
        <v>6.0775000000000006</v>
      </c>
      <c r="H653" s="26">
        <f t="shared" si="316"/>
        <v>7.71</v>
      </c>
      <c r="I653" s="26">
        <f t="shared" si="317"/>
        <v>639.92999999999995</v>
      </c>
      <c r="J653" s="64" t="e">
        <f>IF(B653&lt;&gt;0,VLOOKUP(B653,#REF!,4,FALSE),"")</f>
        <v>#REF!</v>
      </c>
      <c r="K653" s="362" t="s">
        <v>3128</v>
      </c>
      <c r="L653" s="65">
        <f t="shared" si="289"/>
        <v>-1.0724999999999998</v>
      </c>
      <c r="M653" s="65">
        <f t="shared" si="290"/>
        <v>504.43250000000006</v>
      </c>
      <c r="N653" s="65"/>
      <c r="O653" s="65">
        <f t="shared" si="291"/>
        <v>639.92999999999995</v>
      </c>
      <c r="P653" s="65" t="e">
        <f>IF(B653&lt;&gt;0,VLOOKUP(B653,#REF!,2,FALSE),"")</f>
        <v>#REF!</v>
      </c>
      <c r="Q653" s="62">
        <v>74</v>
      </c>
      <c r="R653" s="62">
        <f t="shared" si="314"/>
        <v>-9</v>
      </c>
      <c r="AD653" s="221"/>
      <c r="AE653" s="481"/>
      <c r="AF653" s="481"/>
      <c r="AG653" s="481"/>
      <c r="AH653" s="481"/>
      <c r="AI653" s="873">
        <f t="shared" si="321"/>
        <v>6.77</v>
      </c>
      <c r="AJ653" s="26">
        <f t="shared" si="319"/>
        <v>8.59</v>
      </c>
      <c r="AK653" s="26">
        <f t="shared" si="322"/>
        <v>712.97</v>
      </c>
      <c r="AL653" s="224"/>
    </row>
    <row r="654" spans="1:38" s="62" customFormat="1" ht="45">
      <c r="A654" s="25" t="s">
        <v>1260</v>
      </c>
      <c r="B654" s="24">
        <v>91940</v>
      </c>
      <c r="C654" s="23" t="s">
        <v>1727</v>
      </c>
      <c r="D654" s="25" t="s">
        <v>12</v>
      </c>
      <c r="E654" s="25" t="s">
        <v>17</v>
      </c>
      <c r="F654" s="26">
        <v>74</v>
      </c>
      <c r="G654" s="26">
        <f t="shared" si="287"/>
        <v>8.8484999999999996</v>
      </c>
      <c r="H654" s="26">
        <f t="shared" si="316"/>
        <v>11.22</v>
      </c>
      <c r="I654" s="26">
        <f t="shared" si="317"/>
        <v>830.28</v>
      </c>
      <c r="J654" s="64" t="e">
        <f>IF(B654&lt;&gt;0,VLOOKUP(B654,#REF!,4,FALSE),"")</f>
        <v>#REF!</v>
      </c>
      <c r="K654" s="362" t="s">
        <v>3193</v>
      </c>
      <c r="L654" s="65">
        <f t="shared" si="289"/>
        <v>-1.5615000000000006</v>
      </c>
      <c r="M654" s="65">
        <f t="shared" si="290"/>
        <v>654.78899999999999</v>
      </c>
      <c r="N654" s="65"/>
      <c r="O654" s="65">
        <f t="shared" si="291"/>
        <v>830.28000000000009</v>
      </c>
      <c r="P654" s="65" t="e">
        <f>IF(B654&lt;&gt;0,VLOOKUP(B654,#REF!,2,FALSE),"")</f>
        <v>#REF!</v>
      </c>
      <c r="Q654" s="62">
        <v>24</v>
      </c>
      <c r="R654" s="62">
        <f t="shared" si="314"/>
        <v>-50</v>
      </c>
      <c r="AD654" s="221"/>
      <c r="AE654" s="481"/>
      <c r="AF654" s="481"/>
      <c r="AG654" s="481"/>
      <c r="AH654" s="481"/>
      <c r="AI654" s="873">
        <f t="shared" si="321"/>
        <v>9.86</v>
      </c>
      <c r="AJ654" s="26">
        <f t="shared" si="319"/>
        <v>12.5</v>
      </c>
      <c r="AK654" s="26">
        <f t="shared" si="322"/>
        <v>925</v>
      </c>
      <c r="AL654" s="224"/>
    </row>
    <row r="655" spans="1:38" s="62" customFormat="1" ht="45">
      <c r="A655" s="25" t="s">
        <v>1261</v>
      </c>
      <c r="B655" s="24">
        <v>91939</v>
      </c>
      <c r="C655" s="23" t="s">
        <v>1715</v>
      </c>
      <c r="D655" s="25" t="s">
        <v>12</v>
      </c>
      <c r="E655" s="25" t="s">
        <v>17</v>
      </c>
      <c r="F655" s="26">
        <v>24</v>
      </c>
      <c r="G655" s="26">
        <f t="shared" si="287"/>
        <v>16.234999999999999</v>
      </c>
      <c r="H655" s="26">
        <f t="shared" si="316"/>
        <v>20.59</v>
      </c>
      <c r="I655" s="26">
        <f t="shared" si="317"/>
        <v>494.16</v>
      </c>
      <c r="J655" s="64" t="e">
        <f>IF(B655&lt;&gt;0,VLOOKUP(B655,#REF!,4,FALSE),"")</f>
        <v>#REF!</v>
      </c>
      <c r="K655" s="362" t="s">
        <v>3236</v>
      </c>
      <c r="L655" s="65">
        <f t="shared" si="289"/>
        <v>-2.865000000000002</v>
      </c>
      <c r="M655" s="65">
        <f t="shared" si="290"/>
        <v>389.64</v>
      </c>
      <c r="N655" s="65"/>
      <c r="O655" s="65">
        <f t="shared" si="291"/>
        <v>494.15999999999997</v>
      </c>
      <c r="P655" s="65" t="e">
        <f>IF(B655&lt;&gt;0,VLOOKUP(B655,#REF!,2,FALSE),"")</f>
        <v>#REF!</v>
      </c>
      <c r="Q655" s="62">
        <v>7</v>
      </c>
      <c r="R655" s="62">
        <f t="shared" si="314"/>
        <v>-17</v>
      </c>
      <c r="AD655" s="221"/>
      <c r="AE655" s="481"/>
      <c r="AF655" s="481"/>
      <c r="AG655" s="481"/>
      <c r="AH655" s="481"/>
      <c r="AI655" s="873">
        <f t="shared" si="321"/>
        <v>18.09</v>
      </c>
      <c r="AJ655" s="26">
        <f t="shared" si="319"/>
        <v>22.94</v>
      </c>
      <c r="AK655" s="26">
        <f t="shared" si="322"/>
        <v>550.55999999999995</v>
      </c>
      <c r="AL655" s="224"/>
    </row>
    <row r="656" spans="1:38" s="62" customFormat="1" ht="45">
      <c r="A656" s="25" t="s">
        <v>1262</v>
      </c>
      <c r="B656" s="24">
        <v>91944</v>
      </c>
      <c r="C656" s="23" t="s">
        <v>1728</v>
      </c>
      <c r="D656" s="25" t="s">
        <v>12</v>
      </c>
      <c r="E656" s="25" t="s">
        <v>17</v>
      </c>
      <c r="F656" s="26">
        <v>7</v>
      </c>
      <c r="G656" s="26">
        <f t="shared" si="287"/>
        <v>8.5</v>
      </c>
      <c r="H656" s="26">
        <f t="shared" si="316"/>
        <v>10.78</v>
      </c>
      <c r="I656" s="26">
        <f t="shared" si="317"/>
        <v>75.459999999999994</v>
      </c>
      <c r="J656" s="64" t="e">
        <f>IF(B656&lt;&gt;0,VLOOKUP(B656,#REF!,4,FALSE),"")</f>
        <v>#REF!</v>
      </c>
      <c r="K656" s="362" t="s">
        <v>2644</v>
      </c>
      <c r="L656" s="65">
        <f t="shared" si="289"/>
        <v>-1.5</v>
      </c>
      <c r="M656" s="65">
        <f t="shared" si="290"/>
        <v>59.5</v>
      </c>
      <c r="N656" s="65"/>
      <c r="O656" s="65">
        <f t="shared" si="291"/>
        <v>75.459999999999994</v>
      </c>
      <c r="P656" s="65" t="e">
        <f>IF(B656&lt;&gt;0,VLOOKUP(B656,#REF!,2,FALSE),"")</f>
        <v>#REF!</v>
      </c>
      <c r="R656" s="62">
        <f t="shared" si="314"/>
        <v>-7</v>
      </c>
      <c r="AD656" s="221"/>
      <c r="AE656" s="481"/>
      <c r="AF656" s="481"/>
      <c r="AG656" s="481"/>
      <c r="AH656" s="481"/>
      <c r="AI656" s="873">
        <f t="shared" si="321"/>
        <v>9.4700000000000006</v>
      </c>
      <c r="AJ656" s="26">
        <f t="shared" si="319"/>
        <v>12.01</v>
      </c>
      <c r="AK656" s="26">
        <f t="shared" si="322"/>
        <v>84.07</v>
      </c>
      <c r="AL656" s="224"/>
    </row>
    <row r="657" spans="1:38" s="62" customFormat="1">
      <c r="A657" s="77" t="s">
        <v>1264</v>
      </c>
      <c r="B657" s="139"/>
      <c r="C657" s="340" t="s">
        <v>252</v>
      </c>
      <c r="D657" s="341"/>
      <c r="E657" s="341"/>
      <c r="F657" s="341"/>
      <c r="G657" s="26"/>
      <c r="H657" s="341"/>
      <c r="I657" s="96"/>
      <c r="J657" s="64" t="str">
        <f>IF(B657&lt;&gt;0,VLOOKUP(B657,#REF!,4,FALSE),"")</f>
        <v/>
      </c>
      <c r="K657" s="362" t="s">
        <v>1892</v>
      </c>
      <c r="L657" s="65"/>
      <c r="M657" s="65">
        <f t="shared" si="290"/>
        <v>0</v>
      </c>
      <c r="N657" s="65"/>
      <c r="O657" s="65">
        <f t="shared" si="291"/>
        <v>0</v>
      </c>
      <c r="P657" s="65" t="str">
        <f>IF(B657&lt;&gt;0,VLOOKUP(B657,#REF!,2,FALSE),"")</f>
        <v/>
      </c>
      <c r="Q657" s="62">
        <v>9</v>
      </c>
      <c r="R657" s="62">
        <f t="shared" si="314"/>
        <v>9</v>
      </c>
      <c r="AD657" s="221"/>
      <c r="AE657" s="481"/>
      <c r="AF657" s="481"/>
      <c r="AG657" s="481"/>
      <c r="AH657" s="481"/>
      <c r="AI657" s="873"/>
      <c r="AJ657" s="26"/>
      <c r="AK657" s="26"/>
      <c r="AL657" s="224"/>
    </row>
    <row r="658" spans="1:38" s="62" customFormat="1" ht="30.75" customHeight="1">
      <c r="A658" s="25" t="s">
        <v>1265</v>
      </c>
      <c r="B658" s="24">
        <v>97597</v>
      </c>
      <c r="C658" s="23" t="s">
        <v>253</v>
      </c>
      <c r="D658" s="25" t="s">
        <v>12</v>
      </c>
      <c r="E658" s="25" t="s">
        <v>17</v>
      </c>
      <c r="F658" s="26">
        <v>9</v>
      </c>
      <c r="G658" s="26">
        <f t="shared" si="287"/>
        <v>36.244</v>
      </c>
      <c r="H658" s="26">
        <f>ROUND(G658*(1+$J$13),2)</f>
        <v>45.96</v>
      </c>
      <c r="I658" s="26">
        <f t="shared" ref="I658" si="323">ROUND(H658*F658,2)</f>
        <v>413.64</v>
      </c>
      <c r="J658" s="64" t="e">
        <f>IF(B658&lt;&gt;0,VLOOKUP(B658,#REF!,4,FALSE),"")</f>
        <v>#REF!</v>
      </c>
      <c r="K658" s="362" t="s">
        <v>3146</v>
      </c>
      <c r="L658" s="65">
        <f t="shared" si="289"/>
        <v>-6.3960000000000008</v>
      </c>
      <c r="M658" s="65">
        <f t="shared" si="290"/>
        <v>326.19600000000003</v>
      </c>
      <c r="N658" s="65"/>
      <c r="O658" s="65">
        <f t="shared" si="291"/>
        <v>413.64</v>
      </c>
      <c r="P658" s="65" t="e">
        <f>IF(B658&lt;&gt;0,VLOOKUP(B658,#REF!,2,FALSE),"")</f>
        <v>#REF!</v>
      </c>
      <c r="R658" s="62">
        <f t="shared" si="314"/>
        <v>-9</v>
      </c>
      <c r="AD658" s="221"/>
      <c r="AE658" s="481"/>
      <c r="AF658" s="481"/>
      <c r="AG658" s="481"/>
      <c r="AH658" s="481"/>
      <c r="AI658" s="873">
        <f t="shared" si="321"/>
        <v>40.380000000000003</v>
      </c>
      <c r="AJ658" s="26">
        <f t="shared" si="319"/>
        <v>51.21</v>
      </c>
      <c r="AK658" s="26">
        <f t="shared" si="322"/>
        <v>460.89</v>
      </c>
      <c r="AL658" s="224"/>
    </row>
    <row r="659" spans="1:38" s="62" customFormat="1">
      <c r="A659" s="25"/>
      <c r="B659" s="24"/>
      <c r="C659" s="23"/>
      <c r="D659" s="25"/>
      <c r="E659" s="25"/>
      <c r="F659" s="26"/>
      <c r="G659" s="26"/>
      <c r="H659" s="26"/>
      <c r="I659" s="26"/>
      <c r="J659" s="64" t="str">
        <f>IF(B659&lt;&gt;0,VLOOKUP(B659,#REF!,4,FALSE),"")</f>
        <v/>
      </c>
      <c r="K659" s="362" t="s">
        <v>1892</v>
      </c>
      <c r="L659" s="65"/>
      <c r="M659" s="65">
        <f t="shared" si="290"/>
        <v>0</v>
      </c>
      <c r="N659" s="65"/>
      <c r="O659" s="65">
        <f t="shared" si="291"/>
        <v>0</v>
      </c>
      <c r="P659" s="65" t="str">
        <f>IF(B659&lt;&gt;0,VLOOKUP(B659,#REF!,2,FALSE),"")</f>
        <v/>
      </c>
      <c r="R659" s="62">
        <f t="shared" si="314"/>
        <v>0</v>
      </c>
      <c r="AD659" s="221"/>
      <c r="AE659" s="481"/>
      <c r="AF659" s="481"/>
      <c r="AG659" s="481"/>
      <c r="AH659" s="481"/>
      <c r="AI659" s="552"/>
      <c r="AJ659" s="27"/>
      <c r="AK659" s="27"/>
      <c r="AL659" s="224"/>
    </row>
    <row r="660" spans="1:38" s="62" customFormat="1" ht="15" customHeight="1">
      <c r="A660" s="77" t="s">
        <v>1346</v>
      </c>
      <c r="B660" s="139"/>
      <c r="C660" s="139" t="s">
        <v>254</v>
      </c>
      <c r="D660" s="341"/>
      <c r="E660" s="341"/>
      <c r="F660" s="341"/>
      <c r="G660" s="26"/>
      <c r="H660" s="341"/>
      <c r="I660" s="96">
        <f>SUM(I662:I815)</f>
        <v>30547.760000000002</v>
      </c>
      <c r="J660" s="64" t="str">
        <f>IF(B660&lt;&gt;0,VLOOKUP(B660,#REF!,4,FALSE),"")</f>
        <v/>
      </c>
      <c r="K660" s="362" t="s">
        <v>1892</v>
      </c>
      <c r="L660" s="65"/>
      <c r="M660" s="65">
        <f t="shared" si="290"/>
        <v>0</v>
      </c>
      <c r="N660" s="65"/>
      <c r="O660" s="65">
        <f t="shared" si="291"/>
        <v>0</v>
      </c>
      <c r="P660" s="65" t="str">
        <f>IF(B660&lt;&gt;0,VLOOKUP(B660,#REF!,2,FALSE),"")</f>
        <v/>
      </c>
      <c r="R660" s="62">
        <f t="shared" si="314"/>
        <v>0</v>
      </c>
      <c r="AD660" s="221"/>
      <c r="AE660" s="481"/>
      <c r="AF660" s="481"/>
      <c r="AG660" s="481"/>
      <c r="AH660" s="481"/>
      <c r="AI660" s="855"/>
      <c r="AJ660" s="481"/>
      <c r="AK660" s="548">
        <f>SUM(AK662:AK815)</f>
        <v>34032.480000000032</v>
      </c>
      <c r="AL660" s="224"/>
    </row>
    <row r="661" spans="1:38" s="62" customFormat="1">
      <c r="A661" s="77" t="s">
        <v>1347</v>
      </c>
      <c r="B661" s="139"/>
      <c r="C661" s="139" t="s">
        <v>2842</v>
      </c>
      <c r="D661" s="341"/>
      <c r="E661" s="341"/>
      <c r="F661" s="341"/>
      <c r="G661" s="26"/>
      <c r="H661" s="341"/>
      <c r="I661" s="96"/>
      <c r="J661" s="64" t="str">
        <f>IF(B661&lt;&gt;0,VLOOKUP(B661,#REF!,4,FALSE),"")</f>
        <v/>
      </c>
      <c r="K661" s="362" t="s">
        <v>1892</v>
      </c>
      <c r="L661" s="65"/>
      <c r="M661" s="65">
        <f t="shared" si="290"/>
        <v>0</v>
      </c>
      <c r="N661" s="65"/>
      <c r="O661" s="65">
        <f t="shared" si="291"/>
        <v>0</v>
      </c>
      <c r="P661" s="65" t="str">
        <f>IF(B661&lt;&gt;0,VLOOKUP(B661,#REF!,2,FALSE),"")</f>
        <v/>
      </c>
      <c r="Q661" s="62">
        <v>1</v>
      </c>
      <c r="R661" s="62">
        <f t="shared" si="314"/>
        <v>1</v>
      </c>
      <c r="AD661" s="221"/>
      <c r="AE661" s="481"/>
      <c r="AF661" s="481"/>
      <c r="AG661" s="481"/>
      <c r="AH661" s="481"/>
      <c r="AI661" s="855"/>
      <c r="AJ661" s="481"/>
      <c r="AK661" s="481"/>
      <c r="AL661" s="224"/>
    </row>
    <row r="662" spans="1:38" s="62" customFormat="1" ht="60">
      <c r="A662" s="25" t="s">
        <v>1348</v>
      </c>
      <c r="B662" s="24">
        <v>101879</v>
      </c>
      <c r="C662" s="23" t="s">
        <v>2843</v>
      </c>
      <c r="D662" s="25" t="s">
        <v>12</v>
      </c>
      <c r="E662" s="25" t="s">
        <v>17</v>
      </c>
      <c r="F662" s="26">
        <v>1</v>
      </c>
      <c r="G662" s="26">
        <f t="shared" ref="G662:G724" si="324">K662-(K662*$L$14)</f>
        <v>460.73399999999998</v>
      </c>
      <c r="H662" s="26">
        <f t="shared" ref="H662:H672" si="325">ROUND(G662*(1+$J$13),2)</f>
        <v>584.26</v>
      </c>
      <c r="I662" s="26">
        <f t="shared" ref="I662:I672" si="326">ROUND(H662*F662,2)</f>
        <v>584.26</v>
      </c>
      <c r="J662" s="65" t="e">
        <f>IF(B662&lt;&gt;0,VLOOKUP(B662,#REF!,4,FALSE),"")</f>
        <v>#REF!</v>
      </c>
      <c r="K662" s="362" t="s">
        <v>3250</v>
      </c>
      <c r="L662" s="65">
        <f t="shared" ref="L662:L724" si="327">G662-K662</f>
        <v>-81.305999999999983</v>
      </c>
      <c r="M662" s="65">
        <f t="shared" ref="M662:M725" si="328">F662*G662</f>
        <v>460.73399999999998</v>
      </c>
      <c r="N662" s="65"/>
      <c r="O662" s="65">
        <f t="shared" ref="O662:O725" si="329">F662*H662</f>
        <v>584.26</v>
      </c>
      <c r="P662" s="65" t="e">
        <f>IF(B662&lt;&gt;0,VLOOKUP(B662,#REF!,2,FALSE),"")</f>
        <v>#REF!</v>
      </c>
      <c r="Q662" s="62">
        <v>4</v>
      </c>
      <c r="R662" s="62">
        <f t="shared" si="314"/>
        <v>3</v>
      </c>
      <c r="AD662" s="221"/>
      <c r="AE662" s="481"/>
      <c r="AF662" s="481"/>
      <c r="AG662" s="481"/>
      <c r="AH662" s="481"/>
      <c r="AI662" s="871">
        <f t="shared" ref="AI662" si="330">ROUND(G662*$AM$11,2)</f>
        <v>513.26</v>
      </c>
      <c r="AJ662" s="158">
        <f t="shared" ref="AJ662:AJ724" si="331">ROUND(AI662*(1+$J$13),2)</f>
        <v>650.87</v>
      </c>
      <c r="AK662" s="158">
        <f t="shared" ref="AK662" si="332">ROUND(AJ662*F662,2)</f>
        <v>650.87</v>
      </c>
      <c r="AL662" s="224"/>
    </row>
    <row r="663" spans="1:38" s="62" customFormat="1" ht="30">
      <c r="A663" s="25" t="s">
        <v>1349</v>
      </c>
      <c r="B663" s="24">
        <v>9041</v>
      </c>
      <c r="C663" s="23" t="s">
        <v>1927</v>
      </c>
      <c r="D663" s="25" t="s">
        <v>44</v>
      </c>
      <c r="E663" s="25" t="s">
        <v>17</v>
      </c>
      <c r="F663" s="26">
        <v>4</v>
      </c>
      <c r="G663" s="26">
        <f t="shared" si="324"/>
        <v>97.393000000000001</v>
      </c>
      <c r="H663" s="26">
        <f t="shared" si="325"/>
        <v>123.5</v>
      </c>
      <c r="I663" s="26">
        <f t="shared" si="326"/>
        <v>494</v>
      </c>
      <c r="J663" s="64">
        <f>'COMPOSIÇÃO DE CUSTOS'!G1869</f>
        <v>97.39</v>
      </c>
      <c r="K663" s="362">
        <v>114.58</v>
      </c>
      <c r="L663" s="65">
        <f t="shared" si="327"/>
        <v>-17.186999999999998</v>
      </c>
      <c r="M663" s="65">
        <f t="shared" si="328"/>
        <v>389.572</v>
      </c>
      <c r="N663" s="65"/>
      <c r="O663" s="65">
        <f t="shared" si="329"/>
        <v>494</v>
      </c>
      <c r="P663" s="65" t="e">
        <f>IF(B663&lt;&gt;0,VLOOKUP(B663,#REF!,2,FALSE),"")</f>
        <v>#REF!</v>
      </c>
      <c r="Q663" s="62">
        <v>4</v>
      </c>
      <c r="R663" s="62">
        <f t="shared" si="314"/>
        <v>0</v>
      </c>
      <c r="AD663" s="221"/>
      <c r="AE663" s="481"/>
      <c r="AF663" s="481"/>
      <c r="AG663" s="481"/>
      <c r="AH663" s="481"/>
      <c r="AI663" s="878">
        <f t="shared" ref="AI663:AI726" si="333">ROUND(G663*$AM$11,2)</f>
        <v>108.5</v>
      </c>
      <c r="AJ663" s="159">
        <f t="shared" si="331"/>
        <v>137.59</v>
      </c>
      <c r="AK663" s="159">
        <f t="shared" ref="AK663:AK726" si="334">ROUND(AJ663*F663,2)</f>
        <v>550.36</v>
      </c>
      <c r="AL663" s="224"/>
    </row>
    <row r="664" spans="1:38" s="62" customFormat="1" ht="30">
      <c r="A664" s="25" t="s">
        <v>1350</v>
      </c>
      <c r="B664" s="24">
        <v>7996</v>
      </c>
      <c r="C664" s="23" t="s">
        <v>2844</v>
      </c>
      <c r="D664" s="25" t="s">
        <v>44</v>
      </c>
      <c r="E664" s="25" t="s">
        <v>17</v>
      </c>
      <c r="F664" s="26">
        <v>4</v>
      </c>
      <c r="G664" s="26">
        <f t="shared" si="324"/>
        <v>127.449</v>
      </c>
      <c r="H664" s="26">
        <f t="shared" si="325"/>
        <v>161.62</v>
      </c>
      <c r="I664" s="26">
        <f t="shared" si="326"/>
        <v>646.48</v>
      </c>
      <c r="J664" s="64">
        <f>'COMPOSIÇÃO DE CUSTOS'!G1877</f>
        <v>127.45</v>
      </c>
      <c r="K664" s="362">
        <v>149.94</v>
      </c>
      <c r="L664" s="65">
        <f t="shared" si="327"/>
        <v>-22.491</v>
      </c>
      <c r="M664" s="65">
        <f t="shared" si="328"/>
        <v>509.79599999999999</v>
      </c>
      <c r="N664" s="65"/>
      <c r="O664" s="65">
        <f t="shared" si="329"/>
        <v>646.48</v>
      </c>
      <c r="P664" s="65" t="e">
        <f>IF(B664&lt;&gt;0,VLOOKUP(B664,#REF!,2,FALSE),"")</f>
        <v>#REF!</v>
      </c>
      <c r="Q664" s="62">
        <v>3</v>
      </c>
      <c r="R664" s="62">
        <f t="shared" si="314"/>
        <v>-1</v>
      </c>
      <c r="AD664" s="221"/>
      <c r="AE664" s="481"/>
      <c r="AF664" s="481"/>
      <c r="AG664" s="481"/>
      <c r="AH664" s="481"/>
      <c r="AI664" s="873">
        <f t="shared" si="333"/>
        <v>141.97999999999999</v>
      </c>
      <c r="AJ664" s="26">
        <f t="shared" si="331"/>
        <v>180.04</v>
      </c>
      <c r="AK664" s="26">
        <f t="shared" si="334"/>
        <v>720.16</v>
      </c>
      <c r="AL664" s="224"/>
    </row>
    <row r="665" spans="1:38" s="62" customFormat="1" ht="45">
      <c r="A665" s="25" t="s">
        <v>1351</v>
      </c>
      <c r="B665" s="24">
        <v>93653</v>
      </c>
      <c r="C665" s="23" t="s">
        <v>1729</v>
      </c>
      <c r="D665" s="25" t="s">
        <v>12</v>
      </c>
      <c r="E665" s="25" t="s">
        <v>17</v>
      </c>
      <c r="F665" s="26">
        <v>3</v>
      </c>
      <c r="G665" s="26">
        <f t="shared" si="324"/>
        <v>9.2735000000000003</v>
      </c>
      <c r="H665" s="26">
        <f t="shared" si="325"/>
        <v>11.76</v>
      </c>
      <c r="I665" s="26">
        <f t="shared" si="326"/>
        <v>35.28</v>
      </c>
      <c r="J665" s="65" t="e">
        <f>IF(B665&lt;&gt;0,VLOOKUP(B665,#REF!,4,FALSE),"")</f>
        <v>#REF!</v>
      </c>
      <c r="K665" s="362" t="s">
        <v>3229</v>
      </c>
      <c r="L665" s="65">
        <f t="shared" si="327"/>
        <v>-1.6364999999999998</v>
      </c>
      <c r="M665" s="65">
        <f t="shared" si="328"/>
        <v>27.820500000000003</v>
      </c>
      <c r="N665" s="65"/>
      <c r="O665" s="65">
        <f t="shared" si="329"/>
        <v>35.28</v>
      </c>
      <c r="P665" s="65" t="e">
        <f>IF(B665&lt;&gt;0,VLOOKUP(B665,#REF!,2,FALSE),"")</f>
        <v>#REF!</v>
      </c>
      <c r="Q665" s="62">
        <v>9</v>
      </c>
      <c r="R665" s="62">
        <f t="shared" si="314"/>
        <v>6</v>
      </c>
      <c r="AD665" s="221"/>
      <c r="AE665" s="481"/>
      <c r="AF665" s="481"/>
      <c r="AG665" s="481"/>
      <c r="AH665" s="481"/>
      <c r="AI665" s="873">
        <f t="shared" si="333"/>
        <v>10.33</v>
      </c>
      <c r="AJ665" s="26">
        <f t="shared" si="331"/>
        <v>13.1</v>
      </c>
      <c r="AK665" s="26">
        <f t="shared" si="334"/>
        <v>39.299999999999997</v>
      </c>
      <c r="AL665" s="224"/>
    </row>
    <row r="666" spans="1:38" s="62" customFormat="1" ht="45">
      <c r="A666" s="25" t="s">
        <v>1352</v>
      </c>
      <c r="B666" s="24">
        <v>93654</v>
      </c>
      <c r="C666" s="23" t="s">
        <v>1730</v>
      </c>
      <c r="D666" s="25" t="s">
        <v>12</v>
      </c>
      <c r="E666" s="25" t="s">
        <v>17</v>
      </c>
      <c r="F666" s="26">
        <v>9</v>
      </c>
      <c r="G666" s="26">
        <f t="shared" si="324"/>
        <v>9.6050000000000004</v>
      </c>
      <c r="H666" s="26">
        <f t="shared" si="325"/>
        <v>12.18</v>
      </c>
      <c r="I666" s="26">
        <f t="shared" si="326"/>
        <v>109.62</v>
      </c>
      <c r="J666" s="65" t="e">
        <f>IF(B666&lt;&gt;0,VLOOKUP(B666,#REF!,4,FALSE),"")</f>
        <v>#REF!</v>
      </c>
      <c r="K666" s="362" t="s">
        <v>3243</v>
      </c>
      <c r="L666" s="65">
        <f t="shared" si="327"/>
        <v>-1.6950000000000003</v>
      </c>
      <c r="M666" s="65">
        <f t="shared" si="328"/>
        <v>86.445000000000007</v>
      </c>
      <c r="N666" s="65"/>
      <c r="O666" s="65">
        <f t="shared" si="329"/>
        <v>109.62</v>
      </c>
      <c r="P666" s="65" t="e">
        <f>IF(B666&lt;&gt;0,VLOOKUP(B666,#REF!,2,FALSE),"")</f>
        <v>#REF!</v>
      </c>
      <c r="Q666" s="62">
        <v>1</v>
      </c>
      <c r="R666" s="62">
        <f t="shared" si="314"/>
        <v>-8</v>
      </c>
      <c r="AD666" s="221"/>
      <c r="AE666" s="481"/>
      <c r="AF666" s="481"/>
      <c r="AG666" s="481"/>
      <c r="AH666" s="481"/>
      <c r="AI666" s="873">
        <f t="shared" si="333"/>
        <v>10.7</v>
      </c>
      <c r="AJ666" s="26">
        <f t="shared" si="331"/>
        <v>13.57</v>
      </c>
      <c r="AK666" s="26">
        <f t="shared" si="334"/>
        <v>122.13</v>
      </c>
      <c r="AL666" s="224"/>
    </row>
    <row r="667" spans="1:38" s="62" customFormat="1" ht="45">
      <c r="A667" s="250" t="s">
        <v>3561</v>
      </c>
      <c r="B667" s="24">
        <v>93673</v>
      </c>
      <c r="C667" s="470" t="s">
        <v>3776</v>
      </c>
      <c r="D667" s="25" t="s">
        <v>12</v>
      </c>
      <c r="E667" s="25" t="s">
        <v>17</v>
      </c>
      <c r="F667" s="26">
        <v>1</v>
      </c>
      <c r="G667" s="26">
        <f t="shared" si="324"/>
        <v>73.057500000000005</v>
      </c>
      <c r="H667" s="26">
        <f t="shared" si="325"/>
        <v>92.64</v>
      </c>
      <c r="I667" s="26">
        <f t="shared" si="326"/>
        <v>92.64</v>
      </c>
      <c r="J667" s="65" t="e">
        <f>IF(B667&lt;&gt;0,VLOOKUP(B667,#REF!,4,FALSE),"")</f>
        <v>#REF!</v>
      </c>
      <c r="K667" s="362" t="s">
        <v>3247</v>
      </c>
      <c r="L667" s="65">
        <f t="shared" si="327"/>
        <v>-12.892499999999998</v>
      </c>
      <c r="M667" s="65">
        <f t="shared" si="328"/>
        <v>73.057500000000005</v>
      </c>
      <c r="N667" s="65"/>
      <c r="O667" s="65">
        <f t="shared" si="329"/>
        <v>92.64</v>
      </c>
      <c r="P667" s="65" t="e">
        <f>IF(B667&lt;&gt;0,VLOOKUP(B667,#REF!,2,FALSE),"")</f>
        <v>#REF!</v>
      </c>
      <c r="Q667" s="62">
        <v>48</v>
      </c>
      <c r="R667" s="62">
        <f t="shared" si="314"/>
        <v>47</v>
      </c>
      <c r="AD667" s="221"/>
      <c r="AE667" s="481"/>
      <c r="AF667" s="481"/>
      <c r="AG667" s="481"/>
      <c r="AH667" s="481"/>
      <c r="AI667" s="873">
        <f t="shared" si="333"/>
        <v>81.39</v>
      </c>
      <c r="AJ667" s="26">
        <f t="shared" si="331"/>
        <v>103.21</v>
      </c>
      <c r="AK667" s="26">
        <f t="shared" si="334"/>
        <v>103.21</v>
      </c>
      <c r="AL667" s="224"/>
    </row>
    <row r="668" spans="1:38" s="62" customFormat="1" ht="45">
      <c r="A668" s="250" t="s">
        <v>3562</v>
      </c>
      <c r="B668" s="24">
        <v>1570</v>
      </c>
      <c r="C668" s="470" t="s">
        <v>3757</v>
      </c>
      <c r="D668" s="25" t="s">
        <v>12</v>
      </c>
      <c r="E668" s="25" t="s">
        <v>17</v>
      </c>
      <c r="F668" s="26">
        <v>48</v>
      </c>
      <c r="G668" s="26">
        <f t="shared" si="324"/>
        <v>0.77350000000000008</v>
      </c>
      <c r="H668" s="26">
        <f t="shared" si="325"/>
        <v>0.98</v>
      </c>
      <c r="I668" s="26">
        <f t="shared" si="326"/>
        <v>47.04</v>
      </c>
      <c r="J668" s="64" t="e">
        <f>IF(B668&lt;&gt;0,VLOOKUP(B668,#REF!,4,FALSE),"")</f>
        <v>#REF!</v>
      </c>
      <c r="K668" s="362" t="s">
        <v>1859</v>
      </c>
      <c r="L668" s="65">
        <f t="shared" si="327"/>
        <v>-0.13649999999999995</v>
      </c>
      <c r="M668" s="65">
        <f t="shared" si="328"/>
        <v>37.128</v>
      </c>
      <c r="N668" s="65"/>
      <c r="O668" s="65">
        <f t="shared" si="329"/>
        <v>47.04</v>
      </c>
      <c r="P668" s="65" t="e">
        <f>IF(B668&lt;&gt;0,VLOOKUP(B668,#REF!,2,FALSE),"")</f>
        <v>#REF!</v>
      </c>
      <c r="Q668" s="62">
        <v>22</v>
      </c>
      <c r="R668" s="62">
        <f t="shared" si="314"/>
        <v>-26</v>
      </c>
      <c r="AD668" s="221"/>
      <c r="AE668" s="481"/>
      <c r="AF668" s="481"/>
      <c r="AG668" s="481"/>
      <c r="AH668" s="481"/>
      <c r="AI668" s="873">
        <f t="shared" si="333"/>
        <v>0.86</v>
      </c>
      <c r="AJ668" s="26">
        <f t="shared" si="331"/>
        <v>1.0900000000000001</v>
      </c>
      <c r="AK668" s="26">
        <f t="shared" si="334"/>
        <v>52.32</v>
      </c>
      <c r="AL668" s="224"/>
    </row>
    <row r="669" spans="1:38" s="62" customFormat="1" ht="45">
      <c r="A669" s="250" t="s">
        <v>3564</v>
      </c>
      <c r="B669" s="24">
        <v>1573</v>
      </c>
      <c r="C669" s="470" t="s">
        <v>3758</v>
      </c>
      <c r="D669" s="25" t="s">
        <v>12</v>
      </c>
      <c r="E669" s="25" t="s">
        <v>221</v>
      </c>
      <c r="F669" s="26">
        <v>22</v>
      </c>
      <c r="G669" s="26">
        <f t="shared" si="324"/>
        <v>1.1984999999999999</v>
      </c>
      <c r="H669" s="26">
        <f t="shared" si="325"/>
        <v>1.52</v>
      </c>
      <c r="I669" s="26">
        <f t="shared" si="326"/>
        <v>33.44</v>
      </c>
      <c r="J669" s="65" t="e">
        <f>IF(B669&lt;&gt;0,VLOOKUP(B669,#REF!,4,FALSE),"")</f>
        <v>#REF!</v>
      </c>
      <c r="K669" s="362" t="s">
        <v>3191</v>
      </c>
      <c r="L669" s="65">
        <f t="shared" si="327"/>
        <v>-0.21150000000000002</v>
      </c>
      <c r="M669" s="65">
        <f t="shared" si="328"/>
        <v>26.366999999999997</v>
      </c>
      <c r="N669" s="65"/>
      <c r="O669" s="65">
        <f t="shared" si="329"/>
        <v>33.44</v>
      </c>
      <c r="P669" s="65" t="e">
        <f>IF(B669&lt;&gt;0,VLOOKUP(B669,#REF!,2,FALSE),"")</f>
        <v>#REF!</v>
      </c>
      <c r="Q669" s="62">
        <v>1</v>
      </c>
      <c r="R669" s="62">
        <f t="shared" si="314"/>
        <v>-21</v>
      </c>
      <c r="AD669" s="221"/>
      <c r="AE669" s="481"/>
      <c r="AF669" s="481"/>
      <c r="AG669" s="481"/>
      <c r="AH669" s="481"/>
      <c r="AI669" s="873">
        <f t="shared" si="333"/>
        <v>1.34</v>
      </c>
      <c r="AJ669" s="26">
        <f t="shared" si="331"/>
        <v>1.7</v>
      </c>
      <c r="AK669" s="26">
        <f t="shared" si="334"/>
        <v>37.4</v>
      </c>
      <c r="AL669" s="224"/>
    </row>
    <row r="670" spans="1:38" s="62" customFormat="1" ht="45">
      <c r="A670" s="250" t="s">
        <v>3565</v>
      </c>
      <c r="B670" s="24">
        <v>1576</v>
      </c>
      <c r="C670" s="470" t="s">
        <v>3766</v>
      </c>
      <c r="D670" s="25" t="s">
        <v>12</v>
      </c>
      <c r="E670" s="25" t="s">
        <v>17</v>
      </c>
      <c r="F670" s="26">
        <v>1</v>
      </c>
      <c r="G670" s="26">
        <f t="shared" si="324"/>
        <v>2.1334999999999997</v>
      </c>
      <c r="H670" s="26">
        <f t="shared" si="325"/>
        <v>2.71</v>
      </c>
      <c r="I670" s="26">
        <f t="shared" si="326"/>
        <v>2.71</v>
      </c>
      <c r="J670" s="65" t="e">
        <f>IF(B670&lt;&gt;0,VLOOKUP(B670,#REF!,4,FALSE),"")</f>
        <v>#REF!</v>
      </c>
      <c r="K670" s="362" t="s">
        <v>3142</v>
      </c>
      <c r="L670" s="65">
        <f t="shared" si="327"/>
        <v>-0.37650000000000006</v>
      </c>
      <c r="M670" s="65">
        <f t="shared" si="328"/>
        <v>2.1334999999999997</v>
      </c>
      <c r="N670" s="65"/>
      <c r="O670" s="65">
        <f t="shared" si="329"/>
        <v>2.71</v>
      </c>
      <c r="P670" s="65" t="e">
        <f>IF(B670&lt;&gt;0,VLOOKUP(B670,#REF!,2,FALSE),"")</f>
        <v>#REF!</v>
      </c>
      <c r="Q670" s="62">
        <v>10</v>
      </c>
      <c r="R670" s="62">
        <f t="shared" si="314"/>
        <v>9</v>
      </c>
      <c r="AD670" s="221"/>
      <c r="AE670" s="481"/>
      <c r="AF670" s="481"/>
      <c r="AG670" s="481"/>
      <c r="AH670" s="481"/>
      <c r="AI670" s="873">
        <f t="shared" si="333"/>
        <v>2.38</v>
      </c>
      <c r="AJ670" s="26">
        <f t="shared" si="331"/>
        <v>3.02</v>
      </c>
      <c r="AK670" s="26">
        <f t="shared" si="334"/>
        <v>3.02</v>
      </c>
      <c r="AL670" s="224"/>
    </row>
    <row r="671" spans="1:38" s="62" customFormat="1" ht="45">
      <c r="A671" s="250" t="s">
        <v>3567</v>
      </c>
      <c r="B671" s="24">
        <v>1578</v>
      </c>
      <c r="C671" s="470" t="s">
        <v>3752</v>
      </c>
      <c r="D671" s="25" t="s">
        <v>12</v>
      </c>
      <c r="E671" s="25" t="s">
        <v>17</v>
      </c>
      <c r="F671" s="26">
        <v>10</v>
      </c>
      <c r="G671" s="26">
        <f t="shared" si="324"/>
        <v>4.1820000000000004</v>
      </c>
      <c r="H671" s="26">
        <f t="shared" si="325"/>
        <v>5.3</v>
      </c>
      <c r="I671" s="26">
        <f t="shared" si="326"/>
        <v>53</v>
      </c>
      <c r="J671" s="65" t="e">
        <f>IF(B671&lt;&gt;0,VLOOKUP(B671,#REF!,4,FALSE),"")</f>
        <v>#REF!</v>
      </c>
      <c r="K671" s="362" t="s">
        <v>3144</v>
      </c>
      <c r="L671" s="65">
        <f t="shared" si="327"/>
        <v>-0.73799999999999955</v>
      </c>
      <c r="M671" s="65">
        <f t="shared" si="328"/>
        <v>41.820000000000007</v>
      </c>
      <c r="N671" s="65"/>
      <c r="O671" s="65">
        <f t="shared" si="329"/>
        <v>53</v>
      </c>
      <c r="P671" s="65" t="e">
        <f>IF(B671&lt;&gt;0,VLOOKUP(B671,#REF!,2,FALSE),"")</f>
        <v>#REF!</v>
      </c>
      <c r="Q671" s="62">
        <v>2</v>
      </c>
      <c r="R671" s="62">
        <f t="shared" si="314"/>
        <v>-8</v>
      </c>
      <c r="AD671" s="221"/>
      <c r="AE671" s="481"/>
      <c r="AF671" s="481"/>
      <c r="AG671" s="481"/>
      <c r="AH671" s="481"/>
      <c r="AI671" s="873">
        <f t="shared" si="333"/>
        <v>4.66</v>
      </c>
      <c r="AJ671" s="26">
        <f t="shared" si="331"/>
        <v>5.91</v>
      </c>
      <c r="AK671" s="26">
        <f t="shared" si="334"/>
        <v>59.1</v>
      </c>
      <c r="AL671" s="224"/>
    </row>
    <row r="672" spans="1:38" s="62" customFormat="1" ht="45">
      <c r="A672" s="25" t="s">
        <v>2845</v>
      </c>
      <c r="B672" s="24">
        <v>91930</v>
      </c>
      <c r="C672" s="23" t="s">
        <v>1731</v>
      </c>
      <c r="D672" s="25" t="s">
        <v>12</v>
      </c>
      <c r="E672" s="25" t="s">
        <v>52</v>
      </c>
      <c r="F672" s="26">
        <v>2</v>
      </c>
      <c r="G672" s="26">
        <f t="shared" si="324"/>
        <v>7.0379999999999994</v>
      </c>
      <c r="H672" s="26">
        <f t="shared" si="325"/>
        <v>8.92</v>
      </c>
      <c r="I672" s="26">
        <f t="shared" si="326"/>
        <v>17.84</v>
      </c>
      <c r="J672" s="65" t="e">
        <f>IF(B672&lt;&gt;0,VLOOKUP(B672,#REF!,4,FALSE),"")</f>
        <v>#REF!</v>
      </c>
      <c r="K672" s="362" t="s">
        <v>3113</v>
      </c>
      <c r="L672" s="65">
        <f t="shared" si="327"/>
        <v>-1.242</v>
      </c>
      <c r="M672" s="65">
        <f t="shared" si="328"/>
        <v>14.075999999999999</v>
      </c>
      <c r="N672" s="65"/>
      <c r="O672" s="65">
        <f t="shared" si="329"/>
        <v>17.84</v>
      </c>
      <c r="P672" s="65" t="e">
        <f>IF(B672&lt;&gt;0,VLOOKUP(B672,#REF!,2,FALSE),"")</f>
        <v>#REF!</v>
      </c>
      <c r="R672" s="62">
        <f t="shared" si="314"/>
        <v>-2</v>
      </c>
      <c r="AD672" s="221"/>
      <c r="AE672" s="481"/>
      <c r="AF672" s="481"/>
      <c r="AG672" s="481"/>
      <c r="AH672" s="481"/>
      <c r="AI672" s="873">
        <f t="shared" si="333"/>
        <v>7.84</v>
      </c>
      <c r="AJ672" s="26">
        <f t="shared" si="331"/>
        <v>9.94</v>
      </c>
      <c r="AK672" s="26">
        <f t="shared" si="334"/>
        <v>19.88</v>
      </c>
      <c r="AL672" s="224"/>
    </row>
    <row r="673" spans="1:38" s="62" customFormat="1">
      <c r="A673" s="77" t="s">
        <v>1356</v>
      </c>
      <c r="B673" s="139"/>
      <c r="C673" s="139" t="s">
        <v>2846</v>
      </c>
      <c r="D673" s="341"/>
      <c r="E673" s="341"/>
      <c r="F673" s="341"/>
      <c r="G673" s="26"/>
      <c r="H673" s="341"/>
      <c r="I673" s="96"/>
      <c r="J673" s="65" t="str">
        <f>IF(B673&lt;&gt;0,VLOOKUP(B673,#REF!,4,FALSE),"")</f>
        <v/>
      </c>
      <c r="K673" s="362" t="s">
        <v>1892</v>
      </c>
      <c r="L673" s="65"/>
      <c r="M673" s="65">
        <f t="shared" si="328"/>
        <v>0</v>
      </c>
      <c r="N673" s="65"/>
      <c r="O673" s="65">
        <f t="shared" si="329"/>
        <v>0</v>
      </c>
      <c r="P673" s="65" t="str">
        <f>IF(B673&lt;&gt;0,VLOOKUP(B673,#REF!,2,FALSE),"")</f>
        <v/>
      </c>
      <c r="Q673" s="62">
        <v>1</v>
      </c>
      <c r="R673" s="62">
        <f t="shared" si="314"/>
        <v>1</v>
      </c>
      <c r="AD673" s="221"/>
      <c r="AE673" s="481"/>
      <c r="AF673" s="481"/>
      <c r="AG673" s="481"/>
      <c r="AH673" s="481"/>
      <c r="AI673" s="873">
        <f t="shared" si="333"/>
        <v>0</v>
      </c>
      <c r="AJ673" s="26">
        <f t="shared" si="331"/>
        <v>0</v>
      </c>
      <c r="AK673" s="26">
        <f t="shared" si="334"/>
        <v>0</v>
      </c>
      <c r="AL673" s="224"/>
    </row>
    <row r="674" spans="1:38" s="62" customFormat="1" ht="60">
      <c r="A674" s="25" t="s">
        <v>1357</v>
      </c>
      <c r="B674" s="24">
        <v>101879</v>
      </c>
      <c r="C674" s="23" t="s">
        <v>2843</v>
      </c>
      <c r="D674" s="25" t="s">
        <v>12</v>
      </c>
      <c r="E674" s="25" t="s">
        <v>17</v>
      </c>
      <c r="F674" s="26">
        <v>1</v>
      </c>
      <c r="G674" s="26">
        <f t="shared" si="324"/>
        <v>460.73399999999998</v>
      </c>
      <c r="H674" s="26">
        <f t="shared" ref="H674:H684" si="335">ROUND(G674*(1+$J$13),2)</f>
        <v>584.26</v>
      </c>
      <c r="I674" s="26">
        <f t="shared" ref="I674:I684" si="336">ROUND(H674*F674,2)</f>
        <v>584.26</v>
      </c>
      <c r="J674" s="65" t="e">
        <f>IF(B674&lt;&gt;0,VLOOKUP(B674,#REF!,4,FALSE),"")</f>
        <v>#REF!</v>
      </c>
      <c r="K674" s="362" t="s">
        <v>3250</v>
      </c>
      <c r="L674" s="65">
        <f t="shared" si="327"/>
        <v>-81.305999999999983</v>
      </c>
      <c r="M674" s="65">
        <f t="shared" si="328"/>
        <v>460.73399999999998</v>
      </c>
      <c r="N674" s="65"/>
      <c r="O674" s="65">
        <f t="shared" si="329"/>
        <v>584.26</v>
      </c>
      <c r="P674" s="65" t="e">
        <f>IF(B674&lt;&gt;0,VLOOKUP(B674,#REF!,2,FALSE),"")</f>
        <v>#REF!</v>
      </c>
      <c r="Q674" s="62">
        <v>4</v>
      </c>
      <c r="R674" s="62">
        <f t="shared" si="314"/>
        <v>3</v>
      </c>
      <c r="AD674" s="221"/>
      <c r="AE674" s="481"/>
      <c r="AF674" s="481"/>
      <c r="AG674" s="481"/>
      <c r="AH674" s="481"/>
      <c r="AI674" s="873">
        <f t="shared" si="333"/>
        <v>513.26</v>
      </c>
      <c r="AJ674" s="26">
        <f t="shared" si="331"/>
        <v>650.87</v>
      </c>
      <c r="AK674" s="26">
        <f t="shared" si="334"/>
        <v>650.87</v>
      </c>
      <c r="AL674" s="224"/>
    </row>
    <row r="675" spans="1:38" s="62" customFormat="1" ht="30">
      <c r="A675" s="25" t="s">
        <v>1358</v>
      </c>
      <c r="B675" s="24">
        <v>9041</v>
      </c>
      <c r="C675" s="23" t="s">
        <v>1927</v>
      </c>
      <c r="D675" s="25" t="s">
        <v>44</v>
      </c>
      <c r="E675" s="25" t="s">
        <v>17</v>
      </c>
      <c r="F675" s="26">
        <v>4</v>
      </c>
      <c r="G675" s="26">
        <f t="shared" si="324"/>
        <v>97.393000000000001</v>
      </c>
      <c r="H675" s="26">
        <f t="shared" si="335"/>
        <v>123.5</v>
      </c>
      <c r="I675" s="26">
        <f t="shared" si="336"/>
        <v>494</v>
      </c>
      <c r="J675" s="65">
        <f>'COMPOSIÇÃO DE CUSTOS'!G1869</f>
        <v>97.39</v>
      </c>
      <c r="K675" s="362">
        <v>114.58</v>
      </c>
      <c r="L675" s="65">
        <f t="shared" si="327"/>
        <v>-17.186999999999998</v>
      </c>
      <c r="M675" s="65">
        <f t="shared" si="328"/>
        <v>389.572</v>
      </c>
      <c r="N675" s="65"/>
      <c r="O675" s="65">
        <f t="shared" si="329"/>
        <v>494</v>
      </c>
      <c r="P675" s="65" t="e">
        <f>IF(B675&lt;&gt;0,VLOOKUP(B675,#REF!,2,FALSE),"")</f>
        <v>#REF!</v>
      </c>
      <c r="Q675" s="62">
        <v>4</v>
      </c>
      <c r="R675" s="62">
        <f t="shared" si="314"/>
        <v>0</v>
      </c>
      <c r="AD675" s="221"/>
      <c r="AE675" s="481"/>
      <c r="AF675" s="481"/>
      <c r="AG675" s="481"/>
      <c r="AH675" s="481"/>
      <c r="AI675" s="873">
        <f t="shared" si="333"/>
        <v>108.5</v>
      </c>
      <c r="AJ675" s="26">
        <f t="shared" si="331"/>
        <v>137.59</v>
      </c>
      <c r="AK675" s="26">
        <f t="shared" si="334"/>
        <v>550.36</v>
      </c>
      <c r="AL675" s="224"/>
    </row>
    <row r="676" spans="1:38" s="62" customFormat="1" ht="30">
      <c r="A676" s="25" t="s">
        <v>2847</v>
      </c>
      <c r="B676" s="24">
        <v>7996</v>
      </c>
      <c r="C676" s="23" t="s">
        <v>2844</v>
      </c>
      <c r="D676" s="25" t="s">
        <v>44</v>
      </c>
      <c r="E676" s="25" t="s">
        <v>17</v>
      </c>
      <c r="F676" s="26">
        <v>4</v>
      </c>
      <c r="G676" s="26">
        <f t="shared" si="324"/>
        <v>127.449</v>
      </c>
      <c r="H676" s="26">
        <f t="shared" si="335"/>
        <v>161.62</v>
      </c>
      <c r="I676" s="26">
        <f t="shared" si="336"/>
        <v>646.48</v>
      </c>
      <c r="J676" s="65">
        <f>'COMPOSIÇÃO DE CUSTOS'!G1877</f>
        <v>127.45</v>
      </c>
      <c r="K676" s="362">
        <v>149.94</v>
      </c>
      <c r="L676" s="65">
        <f t="shared" si="327"/>
        <v>-22.491</v>
      </c>
      <c r="M676" s="65">
        <f t="shared" si="328"/>
        <v>509.79599999999999</v>
      </c>
      <c r="N676" s="65"/>
      <c r="O676" s="65">
        <f t="shared" si="329"/>
        <v>646.48</v>
      </c>
      <c r="P676" s="65" t="e">
        <f>IF(B676&lt;&gt;0,VLOOKUP(B676,#REF!,2,FALSE),"")</f>
        <v>#REF!</v>
      </c>
      <c r="Q676" s="62">
        <v>4</v>
      </c>
      <c r="R676" s="62">
        <f t="shared" si="314"/>
        <v>0</v>
      </c>
      <c r="AD676" s="221"/>
      <c r="AE676" s="481"/>
      <c r="AF676" s="481"/>
      <c r="AG676" s="481"/>
      <c r="AH676" s="481"/>
      <c r="AI676" s="873">
        <f t="shared" si="333"/>
        <v>141.97999999999999</v>
      </c>
      <c r="AJ676" s="26">
        <f t="shared" si="331"/>
        <v>180.04</v>
      </c>
      <c r="AK676" s="26">
        <f t="shared" si="334"/>
        <v>720.16</v>
      </c>
      <c r="AL676" s="224"/>
    </row>
    <row r="677" spans="1:38" s="62" customFormat="1" ht="45">
      <c r="A677" s="25" t="s">
        <v>2848</v>
      </c>
      <c r="B677" s="24">
        <v>93653</v>
      </c>
      <c r="C677" s="23" t="s">
        <v>1729</v>
      </c>
      <c r="D677" s="25" t="s">
        <v>12</v>
      </c>
      <c r="E677" s="25" t="s">
        <v>17</v>
      </c>
      <c r="F677" s="26">
        <v>4</v>
      </c>
      <c r="G677" s="26">
        <f t="shared" si="324"/>
        <v>9.2735000000000003</v>
      </c>
      <c r="H677" s="26">
        <f t="shared" si="335"/>
        <v>11.76</v>
      </c>
      <c r="I677" s="26">
        <f t="shared" si="336"/>
        <v>47.04</v>
      </c>
      <c r="J677" s="65" t="e">
        <f>IF(B677&lt;&gt;0,VLOOKUP(B677,#REF!,4,FALSE),"")</f>
        <v>#REF!</v>
      </c>
      <c r="K677" s="362" t="s">
        <v>3229</v>
      </c>
      <c r="L677" s="65">
        <f t="shared" si="327"/>
        <v>-1.6364999999999998</v>
      </c>
      <c r="M677" s="65">
        <f t="shared" si="328"/>
        <v>37.094000000000001</v>
      </c>
      <c r="N677" s="65"/>
      <c r="O677" s="65">
        <f t="shared" si="329"/>
        <v>47.04</v>
      </c>
      <c r="P677" s="65" t="e">
        <f>IF(B677&lt;&gt;0,VLOOKUP(B677,#REF!,2,FALSE),"")</f>
        <v>#REF!</v>
      </c>
      <c r="Q677" s="62">
        <v>8</v>
      </c>
      <c r="R677" s="62">
        <f t="shared" si="314"/>
        <v>4</v>
      </c>
      <c r="AD677" s="221"/>
      <c r="AE677" s="481"/>
      <c r="AF677" s="481"/>
      <c r="AG677" s="481"/>
      <c r="AH677" s="481"/>
      <c r="AI677" s="873">
        <f t="shared" si="333"/>
        <v>10.33</v>
      </c>
      <c r="AJ677" s="26">
        <f t="shared" si="331"/>
        <v>13.1</v>
      </c>
      <c r="AK677" s="26">
        <f t="shared" si="334"/>
        <v>52.4</v>
      </c>
      <c r="AL677" s="224"/>
    </row>
    <row r="678" spans="1:38" s="62" customFormat="1" ht="45">
      <c r="A678" s="25" t="s">
        <v>2849</v>
      </c>
      <c r="B678" s="24">
        <v>93654</v>
      </c>
      <c r="C678" s="23" t="s">
        <v>1730</v>
      </c>
      <c r="D678" s="25" t="s">
        <v>12</v>
      </c>
      <c r="E678" s="25" t="s">
        <v>17</v>
      </c>
      <c r="F678" s="26">
        <v>8</v>
      </c>
      <c r="G678" s="26">
        <f t="shared" si="324"/>
        <v>9.6050000000000004</v>
      </c>
      <c r="H678" s="26">
        <f t="shared" si="335"/>
        <v>12.18</v>
      </c>
      <c r="I678" s="26">
        <f t="shared" si="336"/>
        <v>97.44</v>
      </c>
      <c r="J678" s="65" t="e">
        <f>IF(B678&lt;&gt;0,VLOOKUP(B678,#REF!,4,FALSE),"")</f>
        <v>#REF!</v>
      </c>
      <c r="K678" s="362" t="s">
        <v>3243</v>
      </c>
      <c r="L678" s="65">
        <f t="shared" si="327"/>
        <v>-1.6950000000000003</v>
      </c>
      <c r="M678" s="65">
        <f t="shared" si="328"/>
        <v>76.84</v>
      </c>
      <c r="N678" s="65"/>
      <c r="O678" s="65">
        <f t="shared" si="329"/>
        <v>97.44</v>
      </c>
      <c r="P678" s="65" t="e">
        <f>IF(B678&lt;&gt;0,VLOOKUP(B678,#REF!,2,FALSE),"")</f>
        <v>#REF!</v>
      </c>
      <c r="Q678" s="62">
        <v>1</v>
      </c>
      <c r="R678" s="62">
        <f t="shared" si="314"/>
        <v>-7</v>
      </c>
      <c r="AD678" s="221"/>
      <c r="AE678" s="481"/>
      <c r="AF678" s="481"/>
      <c r="AG678" s="481"/>
      <c r="AH678" s="481"/>
      <c r="AI678" s="873">
        <f t="shared" si="333"/>
        <v>10.7</v>
      </c>
      <c r="AJ678" s="26">
        <f t="shared" si="331"/>
        <v>13.57</v>
      </c>
      <c r="AK678" s="26">
        <f t="shared" si="334"/>
        <v>108.56</v>
      </c>
      <c r="AL678" s="224"/>
    </row>
    <row r="679" spans="1:38" ht="45">
      <c r="A679" s="250" t="s">
        <v>3569</v>
      </c>
      <c r="B679" s="24">
        <v>93673</v>
      </c>
      <c r="C679" s="470" t="s">
        <v>3776</v>
      </c>
      <c r="D679" s="25" t="s">
        <v>12</v>
      </c>
      <c r="E679" s="25" t="s">
        <v>17</v>
      </c>
      <c r="F679" s="26">
        <v>1</v>
      </c>
      <c r="G679" s="26">
        <f t="shared" si="324"/>
        <v>73.057500000000005</v>
      </c>
      <c r="H679" s="26">
        <f t="shared" si="335"/>
        <v>92.64</v>
      </c>
      <c r="I679" s="26">
        <f t="shared" si="336"/>
        <v>92.64</v>
      </c>
      <c r="J679" s="65" t="e">
        <f>IF(B679&lt;&gt;0,VLOOKUP(B679,#REF!,4,FALSE),"")</f>
        <v>#REF!</v>
      </c>
      <c r="K679" s="362" t="s">
        <v>3247</v>
      </c>
      <c r="L679" s="65">
        <f t="shared" si="327"/>
        <v>-12.892499999999998</v>
      </c>
      <c r="M679" s="65">
        <f t="shared" si="328"/>
        <v>73.057500000000005</v>
      </c>
      <c r="N679" s="65"/>
      <c r="O679" s="65">
        <f t="shared" si="329"/>
        <v>92.64</v>
      </c>
      <c r="P679" s="65" t="e">
        <f>IF(B679&lt;&gt;0,VLOOKUP(B679,#REF!,2,FALSE),"")</f>
        <v>#REF!</v>
      </c>
      <c r="Q679" s="2">
        <v>48</v>
      </c>
      <c r="R679" s="62">
        <f t="shared" si="314"/>
        <v>47</v>
      </c>
      <c r="AD679" s="21"/>
      <c r="AE679" s="481"/>
      <c r="AF679" s="481"/>
      <c r="AG679" s="481"/>
      <c r="AH679" s="481"/>
      <c r="AI679" s="873">
        <f t="shared" si="333"/>
        <v>81.39</v>
      </c>
      <c r="AJ679" s="26">
        <f t="shared" si="331"/>
        <v>103.21</v>
      </c>
      <c r="AK679" s="26">
        <f t="shared" si="334"/>
        <v>103.21</v>
      </c>
    </row>
    <row r="680" spans="1:38" s="62" customFormat="1" ht="45">
      <c r="A680" s="250" t="s">
        <v>3570</v>
      </c>
      <c r="B680" s="24">
        <v>1570</v>
      </c>
      <c r="C680" s="470" t="s">
        <v>3757</v>
      </c>
      <c r="D680" s="25" t="s">
        <v>12</v>
      </c>
      <c r="E680" s="25" t="s">
        <v>17</v>
      </c>
      <c r="F680" s="26">
        <v>48</v>
      </c>
      <c r="G680" s="26">
        <f t="shared" si="324"/>
        <v>0.77350000000000008</v>
      </c>
      <c r="H680" s="26">
        <f t="shared" si="335"/>
        <v>0.98</v>
      </c>
      <c r="I680" s="26">
        <f t="shared" si="336"/>
        <v>47.04</v>
      </c>
      <c r="J680" s="64" t="e">
        <f>IF(B680&lt;&gt;0,VLOOKUP(B680,#REF!,4,FALSE),"")</f>
        <v>#REF!</v>
      </c>
      <c r="K680" s="362" t="s">
        <v>1859</v>
      </c>
      <c r="L680" s="65">
        <f t="shared" si="327"/>
        <v>-0.13649999999999995</v>
      </c>
      <c r="M680" s="65">
        <f t="shared" si="328"/>
        <v>37.128</v>
      </c>
      <c r="N680" s="65"/>
      <c r="O680" s="65">
        <f t="shared" si="329"/>
        <v>47.04</v>
      </c>
      <c r="P680" s="65" t="e">
        <f>IF(B680&lt;&gt;0,VLOOKUP(B680,#REF!,2,FALSE),"")</f>
        <v>#REF!</v>
      </c>
      <c r="Q680" s="62">
        <v>22</v>
      </c>
      <c r="R680" s="62">
        <f t="shared" si="314"/>
        <v>-26</v>
      </c>
      <c r="AD680" s="221"/>
      <c r="AE680" s="481"/>
      <c r="AF680" s="481"/>
      <c r="AG680" s="481"/>
      <c r="AH680" s="481"/>
      <c r="AI680" s="873">
        <f t="shared" si="333"/>
        <v>0.86</v>
      </c>
      <c r="AJ680" s="26">
        <f t="shared" si="331"/>
        <v>1.0900000000000001</v>
      </c>
      <c r="AK680" s="26">
        <f t="shared" si="334"/>
        <v>52.32</v>
      </c>
      <c r="AL680" s="224"/>
    </row>
    <row r="681" spans="1:38" s="62" customFormat="1" ht="45">
      <c r="A681" s="250" t="s">
        <v>3571</v>
      </c>
      <c r="B681" s="24">
        <v>1573</v>
      </c>
      <c r="C681" s="470" t="s">
        <v>3758</v>
      </c>
      <c r="D681" s="25" t="s">
        <v>12</v>
      </c>
      <c r="E681" s="25" t="s">
        <v>221</v>
      </c>
      <c r="F681" s="26">
        <v>22</v>
      </c>
      <c r="G681" s="26">
        <f t="shared" si="324"/>
        <v>1.1984999999999999</v>
      </c>
      <c r="H681" s="26">
        <f t="shared" si="335"/>
        <v>1.52</v>
      </c>
      <c r="I681" s="26">
        <f t="shared" si="336"/>
        <v>33.44</v>
      </c>
      <c r="J681" s="64" t="e">
        <f>IF(B681&lt;&gt;0,VLOOKUP(B681,#REF!,4,FALSE),"")</f>
        <v>#REF!</v>
      </c>
      <c r="K681" s="362" t="s">
        <v>3191</v>
      </c>
      <c r="L681" s="65">
        <f t="shared" si="327"/>
        <v>-0.21150000000000002</v>
      </c>
      <c r="M681" s="65">
        <f t="shared" si="328"/>
        <v>26.366999999999997</v>
      </c>
      <c r="N681" s="65"/>
      <c r="O681" s="65">
        <f t="shared" si="329"/>
        <v>33.44</v>
      </c>
      <c r="P681" s="65" t="e">
        <f>IF(B681&lt;&gt;0,VLOOKUP(B681,#REF!,2,FALSE),"")</f>
        <v>#REF!</v>
      </c>
      <c r="Q681" s="62">
        <v>1</v>
      </c>
      <c r="R681" s="62">
        <f t="shared" si="314"/>
        <v>-21</v>
      </c>
      <c r="AD681" s="221"/>
      <c r="AE681" s="481"/>
      <c r="AF681" s="481"/>
      <c r="AG681" s="481"/>
      <c r="AH681" s="481"/>
      <c r="AI681" s="873">
        <f t="shared" si="333"/>
        <v>1.34</v>
      </c>
      <c r="AJ681" s="26">
        <f t="shared" si="331"/>
        <v>1.7</v>
      </c>
      <c r="AK681" s="26">
        <f t="shared" si="334"/>
        <v>37.4</v>
      </c>
      <c r="AL681" s="224"/>
    </row>
    <row r="682" spans="1:38" s="62" customFormat="1" ht="45">
      <c r="A682" s="250" t="s">
        <v>3572</v>
      </c>
      <c r="B682" s="24">
        <v>1576</v>
      </c>
      <c r="C682" s="470" t="s">
        <v>3766</v>
      </c>
      <c r="D682" s="25" t="s">
        <v>12</v>
      </c>
      <c r="E682" s="25" t="s">
        <v>17</v>
      </c>
      <c r="F682" s="26">
        <v>1</v>
      </c>
      <c r="G682" s="26">
        <f t="shared" si="324"/>
        <v>2.1334999999999997</v>
      </c>
      <c r="H682" s="26">
        <f t="shared" si="335"/>
        <v>2.71</v>
      </c>
      <c r="I682" s="26">
        <f t="shared" si="336"/>
        <v>2.71</v>
      </c>
      <c r="J682" s="64" t="e">
        <f>IF(B682&lt;&gt;0,VLOOKUP(B682,#REF!,4,FALSE),"")</f>
        <v>#REF!</v>
      </c>
      <c r="K682" s="362" t="s">
        <v>3142</v>
      </c>
      <c r="L682" s="65">
        <f t="shared" si="327"/>
        <v>-0.37650000000000006</v>
      </c>
      <c r="M682" s="65">
        <f t="shared" si="328"/>
        <v>2.1334999999999997</v>
      </c>
      <c r="N682" s="65"/>
      <c r="O682" s="65">
        <f t="shared" si="329"/>
        <v>2.71</v>
      </c>
      <c r="P682" s="65" t="e">
        <f>IF(B682&lt;&gt;0,VLOOKUP(B682,#REF!,2,FALSE),"")</f>
        <v>#REF!</v>
      </c>
      <c r="Q682" s="62">
        <v>10</v>
      </c>
      <c r="R682" s="62">
        <f t="shared" si="314"/>
        <v>9</v>
      </c>
      <c r="AD682" s="221"/>
      <c r="AE682" s="481"/>
      <c r="AF682" s="481"/>
      <c r="AG682" s="481"/>
      <c r="AH682" s="481"/>
      <c r="AI682" s="873">
        <f t="shared" si="333"/>
        <v>2.38</v>
      </c>
      <c r="AJ682" s="26">
        <f t="shared" si="331"/>
        <v>3.02</v>
      </c>
      <c r="AK682" s="26">
        <f t="shared" si="334"/>
        <v>3.02</v>
      </c>
      <c r="AL682" s="224"/>
    </row>
    <row r="683" spans="1:38" s="62" customFormat="1" ht="45">
      <c r="A683" s="250" t="s">
        <v>3573</v>
      </c>
      <c r="B683" s="24">
        <v>1578</v>
      </c>
      <c r="C683" s="470" t="s">
        <v>3752</v>
      </c>
      <c r="D683" s="25" t="s">
        <v>12</v>
      </c>
      <c r="E683" s="25" t="s">
        <v>17</v>
      </c>
      <c r="F683" s="26">
        <v>10</v>
      </c>
      <c r="G683" s="26">
        <f t="shared" si="324"/>
        <v>4.1820000000000004</v>
      </c>
      <c r="H683" s="26">
        <f t="shared" si="335"/>
        <v>5.3</v>
      </c>
      <c r="I683" s="26">
        <f t="shared" si="336"/>
        <v>53</v>
      </c>
      <c r="J683" s="64" t="e">
        <f>IF(B683&lt;&gt;0,VLOOKUP(B683,#REF!,4,FALSE),"")</f>
        <v>#REF!</v>
      </c>
      <c r="K683" s="362" t="s">
        <v>3144</v>
      </c>
      <c r="L683" s="65">
        <f t="shared" si="327"/>
        <v>-0.73799999999999955</v>
      </c>
      <c r="M683" s="65">
        <f t="shared" si="328"/>
        <v>41.820000000000007</v>
      </c>
      <c r="N683" s="65"/>
      <c r="O683" s="65">
        <f t="shared" si="329"/>
        <v>53</v>
      </c>
      <c r="P683" s="65" t="e">
        <f>IF(B683&lt;&gt;0,VLOOKUP(B683,#REF!,2,FALSE),"")</f>
        <v>#REF!</v>
      </c>
      <c r="Q683" s="62">
        <v>2</v>
      </c>
      <c r="R683" s="62">
        <f t="shared" si="314"/>
        <v>-8</v>
      </c>
      <c r="AD683" s="221"/>
      <c r="AE683" s="481"/>
      <c r="AF683" s="481"/>
      <c r="AG683" s="481"/>
      <c r="AH683" s="481"/>
      <c r="AI683" s="873">
        <f t="shared" si="333"/>
        <v>4.66</v>
      </c>
      <c r="AJ683" s="26">
        <f t="shared" si="331"/>
        <v>5.91</v>
      </c>
      <c r="AK683" s="26">
        <f t="shared" si="334"/>
        <v>59.1</v>
      </c>
      <c r="AL683" s="224"/>
    </row>
    <row r="684" spans="1:38" s="62" customFormat="1" ht="15" customHeight="1">
      <c r="A684" s="25" t="s">
        <v>2850</v>
      </c>
      <c r="B684" s="24">
        <v>91930</v>
      </c>
      <c r="C684" s="23" t="s">
        <v>1731</v>
      </c>
      <c r="D684" s="25" t="s">
        <v>12</v>
      </c>
      <c r="E684" s="25" t="s">
        <v>52</v>
      </c>
      <c r="F684" s="26">
        <v>2</v>
      </c>
      <c r="G684" s="26">
        <f t="shared" si="324"/>
        <v>7.0379999999999994</v>
      </c>
      <c r="H684" s="26">
        <f t="shared" si="335"/>
        <v>8.92</v>
      </c>
      <c r="I684" s="26">
        <f t="shared" si="336"/>
        <v>17.84</v>
      </c>
      <c r="J684" s="65" t="e">
        <f>IF(B684&lt;&gt;0,VLOOKUP(B684,#REF!,4,FALSE),"")</f>
        <v>#REF!</v>
      </c>
      <c r="K684" s="362" t="s">
        <v>3113</v>
      </c>
      <c r="L684" s="65">
        <f t="shared" si="327"/>
        <v>-1.242</v>
      </c>
      <c r="M684" s="65">
        <f t="shared" si="328"/>
        <v>14.075999999999999</v>
      </c>
      <c r="N684" s="65"/>
      <c r="O684" s="65">
        <f t="shared" si="329"/>
        <v>17.84</v>
      </c>
      <c r="P684" s="65" t="e">
        <f>IF(B684&lt;&gt;0,VLOOKUP(B684,#REF!,2,FALSE),"")</f>
        <v>#REF!</v>
      </c>
      <c r="R684" s="62">
        <f t="shared" si="314"/>
        <v>-2</v>
      </c>
      <c r="AD684" s="221"/>
      <c r="AE684" s="481"/>
      <c r="AF684" s="481"/>
      <c r="AG684" s="481"/>
      <c r="AH684" s="481"/>
      <c r="AI684" s="873">
        <f t="shared" si="333"/>
        <v>7.84</v>
      </c>
      <c r="AJ684" s="26">
        <f t="shared" si="331"/>
        <v>9.94</v>
      </c>
      <c r="AK684" s="26">
        <f t="shared" si="334"/>
        <v>19.88</v>
      </c>
      <c r="AL684" s="224"/>
    </row>
    <row r="685" spans="1:38" s="62" customFormat="1">
      <c r="A685" s="77" t="s">
        <v>1359</v>
      </c>
      <c r="B685" s="139"/>
      <c r="C685" s="139" t="s">
        <v>2851</v>
      </c>
      <c r="D685" s="341"/>
      <c r="E685" s="341"/>
      <c r="F685" s="341"/>
      <c r="G685" s="26"/>
      <c r="H685" s="341"/>
      <c r="I685" s="96"/>
      <c r="J685" s="65" t="str">
        <f>IF(B685&lt;&gt;0,VLOOKUP(B685,#REF!,4,FALSE),"")</f>
        <v/>
      </c>
      <c r="K685" s="362" t="s">
        <v>1892</v>
      </c>
      <c r="L685" s="65"/>
      <c r="M685" s="65">
        <f t="shared" si="328"/>
        <v>0</v>
      </c>
      <c r="N685" s="65"/>
      <c r="O685" s="65">
        <f t="shared" si="329"/>
        <v>0</v>
      </c>
      <c r="P685" s="65" t="str">
        <f>IF(B685&lt;&gt;0,VLOOKUP(B685,#REF!,2,FALSE),"")</f>
        <v/>
      </c>
      <c r="Q685" s="62">
        <v>1</v>
      </c>
      <c r="R685" s="62">
        <f t="shared" si="314"/>
        <v>1</v>
      </c>
      <c r="AD685" s="221"/>
      <c r="AE685" s="481"/>
      <c r="AF685" s="481"/>
      <c r="AG685" s="481"/>
      <c r="AH685" s="481"/>
      <c r="AI685" s="873">
        <f t="shared" si="333"/>
        <v>0</v>
      </c>
      <c r="AJ685" s="26">
        <f t="shared" si="331"/>
        <v>0</v>
      </c>
      <c r="AK685" s="26">
        <f t="shared" si="334"/>
        <v>0</v>
      </c>
      <c r="AL685" s="224"/>
    </row>
    <row r="686" spans="1:38" s="62" customFormat="1" ht="60">
      <c r="A686" s="25" t="s">
        <v>1360</v>
      </c>
      <c r="B686" s="24">
        <v>101879</v>
      </c>
      <c r="C686" s="23" t="s">
        <v>2843</v>
      </c>
      <c r="D686" s="25" t="s">
        <v>12</v>
      </c>
      <c r="E686" s="25" t="s">
        <v>17</v>
      </c>
      <c r="F686" s="26">
        <v>1</v>
      </c>
      <c r="G686" s="26">
        <f t="shared" si="324"/>
        <v>460.73399999999998</v>
      </c>
      <c r="H686" s="26">
        <f t="shared" ref="H686:H696" si="337">ROUND(G686*(1+$J$13),2)</f>
        <v>584.26</v>
      </c>
      <c r="I686" s="26">
        <f t="shared" ref="I686:I696" si="338">ROUND(H686*F686,2)</f>
        <v>584.26</v>
      </c>
      <c r="J686" s="65" t="e">
        <f>IF(B686&lt;&gt;0,VLOOKUP(B686,#REF!,4,FALSE),"")</f>
        <v>#REF!</v>
      </c>
      <c r="K686" s="362" t="s">
        <v>3250</v>
      </c>
      <c r="L686" s="65">
        <f t="shared" si="327"/>
        <v>-81.305999999999983</v>
      </c>
      <c r="M686" s="65">
        <f t="shared" si="328"/>
        <v>460.73399999999998</v>
      </c>
      <c r="N686" s="65"/>
      <c r="O686" s="65">
        <f t="shared" si="329"/>
        <v>584.26</v>
      </c>
      <c r="P686" s="65" t="e">
        <f>IF(B686&lt;&gt;0,VLOOKUP(B686,#REF!,2,FALSE),"")</f>
        <v>#REF!</v>
      </c>
      <c r="Q686" s="62">
        <v>4</v>
      </c>
      <c r="R686" s="62">
        <f t="shared" si="314"/>
        <v>3</v>
      </c>
      <c r="AD686" s="221"/>
      <c r="AE686" s="481"/>
      <c r="AF686" s="481"/>
      <c r="AG686" s="481"/>
      <c r="AH686" s="481"/>
      <c r="AI686" s="873">
        <f t="shared" si="333"/>
        <v>513.26</v>
      </c>
      <c r="AJ686" s="26">
        <f t="shared" si="331"/>
        <v>650.87</v>
      </c>
      <c r="AK686" s="26">
        <f t="shared" si="334"/>
        <v>650.87</v>
      </c>
      <c r="AL686" s="224"/>
    </row>
    <row r="687" spans="1:38" s="62" customFormat="1" ht="30">
      <c r="A687" s="25" t="s">
        <v>1361</v>
      </c>
      <c r="B687" s="24">
        <v>9041</v>
      </c>
      <c r="C687" s="23" t="s">
        <v>1927</v>
      </c>
      <c r="D687" s="25" t="s">
        <v>44</v>
      </c>
      <c r="E687" s="25" t="s">
        <v>17</v>
      </c>
      <c r="F687" s="26">
        <v>4</v>
      </c>
      <c r="G687" s="26">
        <f t="shared" si="324"/>
        <v>97.393000000000001</v>
      </c>
      <c r="H687" s="26">
        <f t="shared" si="337"/>
        <v>123.5</v>
      </c>
      <c r="I687" s="26">
        <f t="shared" si="338"/>
        <v>494</v>
      </c>
      <c r="J687" s="64">
        <f>'COMPOSIÇÃO DE CUSTOS'!G1869</f>
        <v>97.39</v>
      </c>
      <c r="K687" s="362">
        <v>114.58</v>
      </c>
      <c r="L687" s="65">
        <f t="shared" si="327"/>
        <v>-17.186999999999998</v>
      </c>
      <c r="M687" s="65">
        <f t="shared" si="328"/>
        <v>389.572</v>
      </c>
      <c r="N687" s="65"/>
      <c r="O687" s="65">
        <f t="shared" si="329"/>
        <v>494</v>
      </c>
      <c r="P687" s="65" t="e">
        <f>IF(B687&lt;&gt;0,VLOOKUP(B687,#REF!,2,FALSE),"")</f>
        <v>#REF!</v>
      </c>
      <c r="Q687" s="62">
        <v>8</v>
      </c>
      <c r="R687" s="62">
        <f t="shared" si="314"/>
        <v>4</v>
      </c>
      <c r="AD687" s="221"/>
      <c r="AE687" s="481"/>
      <c r="AF687" s="481"/>
      <c r="AG687" s="481"/>
      <c r="AH687" s="481"/>
      <c r="AI687" s="873">
        <f t="shared" si="333"/>
        <v>108.5</v>
      </c>
      <c r="AJ687" s="26">
        <f t="shared" si="331"/>
        <v>137.59</v>
      </c>
      <c r="AK687" s="26">
        <f t="shared" si="334"/>
        <v>550.36</v>
      </c>
      <c r="AL687" s="224"/>
    </row>
    <row r="688" spans="1:38" s="62" customFormat="1" ht="30">
      <c r="A688" s="25" t="s">
        <v>1362</v>
      </c>
      <c r="B688" s="24">
        <v>7996</v>
      </c>
      <c r="C688" s="23" t="s">
        <v>2844</v>
      </c>
      <c r="D688" s="25" t="s">
        <v>44</v>
      </c>
      <c r="E688" s="25" t="s">
        <v>17</v>
      </c>
      <c r="F688" s="26">
        <v>8</v>
      </c>
      <c r="G688" s="26">
        <f t="shared" si="324"/>
        <v>127.449</v>
      </c>
      <c r="H688" s="26">
        <f t="shared" si="337"/>
        <v>161.62</v>
      </c>
      <c r="I688" s="26">
        <f t="shared" si="338"/>
        <v>1292.96</v>
      </c>
      <c r="J688" s="64">
        <f>'COMPOSIÇÃO DE CUSTOS'!G1877</f>
        <v>127.45</v>
      </c>
      <c r="K688" s="362">
        <v>149.94</v>
      </c>
      <c r="L688" s="65">
        <f t="shared" si="327"/>
        <v>-22.491</v>
      </c>
      <c r="M688" s="65">
        <f t="shared" si="328"/>
        <v>1019.592</v>
      </c>
      <c r="N688" s="65"/>
      <c r="O688" s="65">
        <f t="shared" si="329"/>
        <v>1292.96</v>
      </c>
      <c r="P688" s="65" t="e">
        <f>IF(B688&lt;&gt;0,VLOOKUP(B688,#REF!,2,FALSE),"")</f>
        <v>#REF!</v>
      </c>
      <c r="Q688" s="62">
        <v>7</v>
      </c>
      <c r="R688" s="62">
        <f t="shared" si="314"/>
        <v>-1</v>
      </c>
      <c r="AD688" s="221"/>
      <c r="AE688" s="481"/>
      <c r="AF688" s="481"/>
      <c r="AG688" s="481"/>
      <c r="AH688" s="481"/>
      <c r="AI688" s="873">
        <f t="shared" si="333"/>
        <v>141.97999999999999</v>
      </c>
      <c r="AJ688" s="26">
        <f t="shared" si="331"/>
        <v>180.04</v>
      </c>
      <c r="AK688" s="26">
        <f t="shared" si="334"/>
        <v>1440.32</v>
      </c>
      <c r="AL688" s="224"/>
    </row>
    <row r="689" spans="1:38" s="62" customFormat="1" ht="30">
      <c r="A689" s="25" t="s">
        <v>1363</v>
      </c>
      <c r="B689" s="24">
        <v>93655</v>
      </c>
      <c r="C689" s="23" t="s">
        <v>2852</v>
      </c>
      <c r="D689" s="25" t="s">
        <v>12</v>
      </c>
      <c r="E689" s="25" t="s">
        <v>17</v>
      </c>
      <c r="F689" s="26">
        <v>7</v>
      </c>
      <c r="G689" s="26">
        <f t="shared" si="324"/>
        <v>10.3445</v>
      </c>
      <c r="H689" s="26">
        <f t="shared" si="337"/>
        <v>13.12</v>
      </c>
      <c r="I689" s="26">
        <f t="shared" si="338"/>
        <v>91.84</v>
      </c>
      <c r="J689" s="65" t="e">
        <f>IF(B689&lt;&gt;0,VLOOKUP(B689,#REF!,4,FALSE),"")</f>
        <v>#REF!</v>
      </c>
      <c r="K689" s="362" t="s">
        <v>1879</v>
      </c>
      <c r="L689" s="65">
        <f t="shared" si="327"/>
        <v>-1.8254999999999999</v>
      </c>
      <c r="M689" s="65">
        <f t="shared" si="328"/>
        <v>72.411500000000004</v>
      </c>
      <c r="N689" s="65"/>
      <c r="O689" s="65">
        <f t="shared" si="329"/>
        <v>91.839999999999989</v>
      </c>
      <c r="P689" s="65" t="e">
        <f>IF(B689&lt;&gt;0,VLOOKUP(B689,#REF!,2,FALSE),"")</f>
        <v>#REF!</v>
      </c>
      <c r="Q689" s="62">
        <v>1</v>
      </c>
      <c r="R689" s="62">
        <f t="shared" si="314"/>
        <v>-6</v>
      </c>
      <c r="AD689" s="221"/>
      <c r="AE689" s="481"/>
      <c r="AF689" s="481"/>
      <c r="AG689" s="481"/>
      <c r="AH689" s="481"/>
      <c r="AI689" s="873">
        <f t="shared" si="333"/>
        <v>11.52</v>
      </c>
      <c r="AJ689" s="26">
        <f t="shared" si="331"/>
        <v>14.61</v>
      </c>
      <c r="AK689" s="26">
        <f t="shared" si="334"/>
        <v>102.27</v>
      </c>
      <c r="AL689" s="224"/>
    </row>
    <row r="690" spans="1:38" s="62" customFormat="1">
      <c r="A690" s="25" t="s">
        <v>1364</v>
      </c>
      <c r="B690" s="24">
        <v>101894</v>
      </c>
      <c r="C690" s="23" t="s">
        <v>2853</v>
      </c>
      <c r="D690" s="25" t="s">
        <v>12</v>
      </c>
      <c r="E690" s="25" t="s">
        <v>17</v>
      </c>
      <c r="F690" s="26">
        <v>1</v>
      </c>
      <c r="G690" s="26">
        <f t="shared" si="324"/>
        <v>120.09649999999999</v>
      </c>
      <c r="H690" s="26">
        <f t="shared" si="337"/>
        <v>152.29</v>
      </c>
      <c r="I690" s="26">
        <f t="shared" si="338"/>
        <v>152.29</v>
      </c>
      <c r="J690" s="65" t="e">
        <f>IF(B690&lt;&gt;0,VLOOKUP(B690,#REF!,4,FALSE),"")</f>
        <v>#REF!</v>
      </c>
      <c r="K690" s="362" t="s">
        <v>3253</v>
      </c>
      <c r="L690" s="65">
        <f t="shared" si="327"/>
        <v>-21.1935</v>
      </c>
      <c r="M690" s="65">
        <f t="shared" si="328"/>
        <v>120.09649999999999</v>
      </c>
      <c r="N690" s="65"/>
      <c r="O690" s="65">
        <f t="shared" si="329"/>
        <v>152.29</v>
      </c>
      <c r="P690" s="65" t="e">
        <f>IF(B690&lt;&gt;0,VLOOKUP(B690,#REF!,2,FALSE),"")</f>
        <v>#REF!</v>
      </c>
      <c r="Q690" s="62">
        <v>20</v>
      </c>
      <c r="R690" s="62">
        <f t="shared" si="314"/>
        <v>19</v>
      </c>
      <c r="AD690" s="221"/>
      <c r="AE690" s="481"/>
      <c r="AF690" s="481"/>
      <c r="AG690" s="481"/>
      <c r="AH690" s="481"/>
      <c r="AI690" s="873">
        <f t="shared" si="333"/>
        <v>133.79</v>
      </c>
      <c r="AJ690" s="26">
        <f t="shared" si="331"/>
        <v>169.66</v>
      </c>
      <c r="AK690" s="26">
        <f t="shared" si="334"/>
        <v>169.66</v>
      </c>
      <c r="AL690" s="224"/>
    </row>
    <row r="691" spans="1:38" s="62" customFormat="1" ht="45">
      <c r="A691" s="250" t="s">
        <v>3574</v>
      </c>
      <c r="B691" s="24">
        <v>1570</v>
      </c>
      <c r="C691" s="470" t="s">
        <v>3757</v>
      </c>
      <c r="D691" s="25" t="s">
        <v>12</v>
      </c>
      <c r="E691" s="25" t="s">
        <v>17</v>
      </c>
      <c r="F691" s="26">
        <v>20</v>
      </c>
      <c r="G691" s="26">
        <f t="shared" si="324"/>
        <v>0.77350000000000008</v>
      </c>
      <c r="H691" s="26">
        <f t="shared" si="337"/>
        <v>0.98</v>
      </c>
      <c r="I691" s="26">
        <f t="shared" si="338"/>
        <v>19.600000000000001</v>
      </c>
      <c r="J691" s="64" t="e">
        <f>IF(B691&lt;&gt;0,VLOOKUP(B691,#REF!,4,FALSE),"")</f>
        <v>#REF!</v>
      </c>
      <c r="K691" s="362" t="s">
        <v>1859</v>
      </c>
      <c r="L691" s="65">
        <f t="shared" si="327"/>
        <v>-0.13649999999999995</v>
      </c>
      <c r="M691" s="65">
        <f t="shared" si="328"/>
        <v>15.470000000000002</v>
      </c>
      <c r="N691" s="65"/>
      <c r="O691" s="65">
        <f t="shared" si="329"/>
        <v>19.600000000000001</v>
      </c>
      <c r="P691" s="65" t="e">
        <f>IF(B691&lt;&gt;0,VLOOKUP(B691,#REF!,2,FALSE),"")</f>
        <v>#REF!</v>
      </c>
      <c r="Q691" s="62">
        <v>24</v>
      </c>
      <c r="R691" s="62">
        <f t="shared" si="314"/>
        <v>4</v>
      </c>
      <c r="AD691" s="221"/>
      <c r="AE691" s="481"/>
      <c r="AF691" s="481"/>
      <c r="AG691" s="481"/>
      <c r="AH691" s="481"/>
      <c r="AI691" s="873">
        <f t="shared" si="333"/>
        <v>0.86</v>
      </c>
      <c r="AJ691" s="26">
        <f t="shared" si="331"/>
        <v>1.0900000000000001</v>
      </c>
      <c r="AK691" s="26">
        <f t="shared" si="334"/>
        <v>21.8</v>
      </c>
      <c r="AL691" s="224"/>
    </row>
    <row r="692" spans="1:38" s="62" customFormat="1" ht="45">
      <c r="A692" s="250" t="s">
        <v>3575</v>
      </c>
      <c r="B692" s="24">
        <v>1571</v>
      </c>
      <c r="C692" s="470" t="s">
        <v>3760</v>
      </c>
      <c r="D692" s="25" t="s">
        <v>12</v>
      </c>
      <c r="E692" s="25" t="s">
        <v>17</v>
      </c>
      <c r="F692" s="26">
        <v>24</v>
      </c>
      <c r="G692" s="26">
        <f t="shared" si="324"/>
        <v>1.0114999999999998</v>
      </c>
      <c r="H692" s="26">
        <f t="shared" si="337"/>
        <v>1.28</v>
      </c>
      <c r="I692" s="26">
        <f t="shared" si="338"/>
        <v>30.72</v>
      </c>
      <c r="J692" s="64" t="e">
        <f>IF(B692&lt;&gt;0,VLOOKUP(B692,#REF!,4,FALSE),"")</f>
        <v>#REF!</v>
      </c>
      <c r="K692" s="362" t="s">
        <v>1844</v>
      </c>
      <c r="L692" s="65">
        <f t="shared" si="327"/>
        <v>-0.1785000000000001</v>
      </c>
      <c r="M692" s="65">
        <f t="shared" si="328"/>
        <v>24.275999999999996</v>
      </c>
      <c r="N692" s="65"/>
      <c r="O692" s="65">
        <f t="shared" si="329"/>
        <v>30.72</v>
      </c>
      <c r="P692" s="65" t="e">
        <f>IF(B692&lt;&gt;0,VLOOKUP(B692,#REF!,2,FALSE),"")</f>
        <v>#REF!</v>
      </c>
      <c r="Q692" s="62">
        <v>22</v>
      </c>
      <c r="R692" s="62">
        <f t="shared" si="314"/>
        <v>-2</v>
      </c>
      <c r="AD692" s="221"/>
      <c r="AE692" s="481"/>
      <c r="AF692" s="481"/>
      <c r="AG692" s="481"/>
      <c r="AH692" s="481"/>
      <c r="AI692" s="873">
        <f t="shared" si="333"/>
        <v>1.1299999999999999</v>
      </c>
      <c r="AJ692" s="26">
        <f t="shared" si="331"/>
        <v>1.43</v>
      </c>
      <c r="AK692" s="26">
        <f t="shared" si="334"/>
        <v>34.32</v>
      </c>
      <c r="AL692" s="224"/>
    </row>
    <row r="693" spans="1:38" s="62" customFormat="1" ht="45">
      <c r="A693" s="250" t="s">
        <v>3576</v>
      </c>
      <c r="B693" s="24">
        <v>1573</v>
      </c>
      <c r="C693" s="470" t="s">
        <v>3758</v>
      </c>
      <c r="D693" s="25" t="s">
        <v>12</v>
      </c>
      <c r="E693" s="25" t="s">
        <v>17</v>
      </c>
      <c r="F693" s="26">
        <v>22</v>
      </c>
      <c r="G693" s="26">
        <f t="shared" si="324"/>
        <v>1.1984999999999999</v>
      </c>
      <c r="H693" s="26">
        <f t="shared" si="337"/>
        <v>1.52</v>
      </c>
      <c r="I693" s="26">
        <f t="shared" si="338"/>
        <v>33.44</v>
      </c>
      <c r="J693" s="64" t="e">
        <f>IF(B693&lt;&gt;0,VLOOKUP(B693,#REF!,4,FALSE),"")</f>
        <v>#REF!</v>
      </c>
      <c r="K693" s="362" t="s">
        <v>3191</v>
      </c>
      <c r="L693" s="65">
        <f t="shared" si="327"/>
        <v>-0.21150000000000002</v>
      </c>
      <c r="M693" s="65">
        <f t="shared" si="328"/>
        <v>26.366999999999997</v>
      </c>
      <c r="N693" s="65"/>
      <c r="O693" s="65">
        <f t="shared" si="329"/>
        <v>33.44</v>
      </c>
      <c r="P693" s="65" t="e">
        <f>IF(B693&lt;&gt;0,VLOOKUP(B693,#REF!,2,FALSE),"")</f>
        <v>#REF!</v>
      </c>
      <c r="Q693" s="62">
        <v>1</v>
      </c>
      <c r="R693" s="62">
        <f t="shared" si="314"/>
        <v>-21</v>
      </c>
      <c r="AD693" s="221"/>
      <c r="AE693" s="481"/>
      <c r="AF693" s="481"/>
      <c r="AG693" s="481"/>
      <c r="AH693" s="481"/>
      <c r="AI693" s="873">
        <f t="shared" si="333"/>
        <v>1.34</v>
      </c>
      <c r="AJ693" s="26">
        <f t="shared" si="331"/>
        <v>1.7</v>
      </c>
      <c r="AK693" s="26">
        <f t="shared" si="334"/>
        <v>37.4</v>
      </c>
      <c r="AL693" s="224"/>
    </row>
    <row r="694" spans="1:38" s="62" customFormat="1" ht="45">
      <c r="A694" s="250" t="s">
        <v>3577</v>
      </c>
      <c r="B694" s="24">
        <v>1575</v>
      </c>
      <c r="C694" s="470" t="s">
        <v>3765</v>
      </c>
      <c r="D694" s="25" t="s">
        <v>12</v>
      </c>
      <c r="E694" s="25" t="s">
        <v>17</v>
      </c>
      <c r="F694" s="26">
        <v>1</v>
      </c>
      <c r="G694" s="26">
        <f t="shared" si="324"/>
        <v>1.5470000000000002</v>
      </c>
      <c r="H694" s="26">
        <f t="shared" si="337"/>
        <v>1.96</v>
      </c>
      <c r="I694" s="26">
        <f t="shared" si="338"/>
        <v>1.96</v>
      </c>
      <c r="J694" s="64" t="e">
        <f>IF(B694&lt;&gt;0,VLOOKUP(B694,#REF!,4,FALSE),"")</f>
        <v>#REF!</v>
      </c>
      <c r="K694" s="362" t="s">
        <v>1862</v>
      </c>
      <c r="L694" s="65">
        <f t="shared" si="327"/>
        <v>-0.27299999999999991</v>
      </c>
      <c r="M694" s="65">
        <f t="shared" si="328"/>
        <v>1.5470000000000002</v>
      </c>
      <c r="N694" s="65"/>
      <c r="O694" s="65">
        <f t="shared" si="329"/>
        <v>1.96</v>
      </c>
      <c r="P694" s="65" t="e">
        <f>IF(B694&lt;&gt;0,VLOOKUP(B694,#REF!,2,FALSE),"")</f>
        <v>#REF!</v>
      </c>
      <c r="Q694" s="62">
        <v>10</v>
      </c>
      <c r="R694" s="62">
        <f t="shared" si="314"/>
        <v>9</v>
      </c>
      <c r="AD694" s="221"/>
      <c r="AE694" s="481"/>
      <c r="AF694" s="481"/>
      <c r="AG694" s="481"/>
      <c r="AH694" s="481"/>
      <c r="AI694" s="873">
        <f t="shared" si="333"/>
        <v>1.72</v>
      </c>
      <c r="AJ694" s="26">
        <f t="shared" si="331"/>
        <v>2.1800000000000002</v>
      </c>
      <c r="AK694" s="26">
        <f t="shared" si="334"/>
        <v>2.1800000000000002</v>
      </c>
      <c r="AL694" s="224"/>
    </row>
    <row r="695" spans="1:38" s="62" customFormat="1" ht="45">
      <c r="A695" s="250" t="s">
        <v>3579</v>
      </c>
      <c r="B695" s="24">
        <v>1577</v>
      </c>
      <c r="C695" s="470" t="s">
        <v>3753</v>
      </c>
      <c r="D695" s="25" t="s">
        <v>12</v>
      </c>
      <c r="E695" s="25" t="s">
        <v>17</v>
      </c>
      <c r="F695" s="26">
        <v>10</v>
      </c>
      <c r="G695" s="26">
        <f t="shared" si="324"/>
        <v>2.4055</v>
      </c>
      <c r="H695" s="26">
        <f t="shared" si="337"/>
        <v>3.05</v>
      </c>
      <c r="I695" s="26">
        <f t="shared" si="338"/>
        <v>30.5</v>
      </c>
      <c r="J695" s="64" t="e">
        <f>IF(B695&lt;&gt;0,VLOOKUP(B695,#REF!,4,FALSE),"")</f>
        <v>#REF!</v>
      </c>
      <c r="K695" s="362" t="s">
        <v>1895</v>
      </c>
      <c r="L695" s="65">
        <f t="shared" si="327"/>
        <v>-0.4245000000000001</v>
      </c>
      <c r="M695" s="65">
        <f t="shared" si="328"/>
        <v>24.055</v>
      </c>
      <c r="N695" s="65"/>
      <c r="O695" s="65">
        <f t="shared" si="329"/>
        <v>30.5</v>
      </c>
      <c r="P695" s="65" t="e">
        <f>IF(B695&lt;&gt;0,VLOOKUP(B695,#REF!,2,FALSE),"")</f>
        <v>#REF!</v>
      </c>
      <c r="Q695" s="62">
        <v>2</v>
      </c>
      <c r="R695" s="62">
        <f t="shared" si="314"/>
        <v>-8</v>
      </c>
      <c r="AD695" s="221"/>
      <c r="AE695" s="481"/>
      <c r="AF695" s="481"/>
      <c r="AG695" s="481"/>
      <c r="AH695" s="481"/>
      <c r="AI695" s="873">
        <f t="shared" si="333"/>
        <v>2.68</v>
      </c>
      <c r="AJ695" s="26">
        <f t="shared" si="331"/>
        <v>3.4</v>
      </c>
      <c r="AK695" s="26">
        <f t="shared" si="334"/>
        <v>34</v>
      </c>
      <c r="AL695" s="224"/>
    </row>
    <row r="696" spans="1:38" s="62" customFormat="1" ht="45">
      <c r="A696" s="25" t="s">
        <v>2854</v>
      </c>
      <c r="B696" s="24">
        <v>91930</v>
      </c>
      <c r="C696" s="23" t="s">
        <v>1731</v>
      </c>
      <c r="D696" s="25" t="s">
        <v>12</v>
      </c>
      <c r="E696" s="25" t="s">
        <v>52</v>
      </c>
      <c r="F696" s="26">
        <v>2</v>
      </c>
      <c r="G696" s="26">
        <f t="shared" si="324"/>
        <v>7.0379999999999994</v>
      </c>
      <c r="H696" s="26">
        <f t="shared" si="337"/>
        <v>8.92</v>
      </c>
      <c r="I696" s="26">
        <f t="shared" si="338"/>
        <v>17.84</v>
      </c>
      <c r="J696" s="65" t="e">
        <f>IF(B696&lt;&gt;0,VLOOKUP(B696,#REF!,4,FALSE),"")</f>
        <v>#REF!</v>
      </c>
      <c r="K696" s="362" t="s">
        <v>3113</v>
      </c>
      <c r="L696" s="65">
        <f t="shared" si="327"/>
        <v>-1.242</v>
      </c>
      <c r="M696" s="65">
        <f t="shared" si="328"/>
        <v>14.075999999999999</v>
      </c>
      <c r="N696" s="65"/>
      <c r="O696" s="65">
        <f t="shared" si="329"/>
        <v>17.84</v>
      </c>
      <c r="P696" s="65" t="e">
        <f>IF(B696&lt;&gt;0,VLOOKUP(B696,#REF!,2,FALSE),"")</f>
        <v>#REF!</v>
      </c>
      <c r="R696" s="62">
        <f t="shared" si="314"/>
        <v>-2</v>
      </c>
      <c r="AD696" s="221"/>
      <c r="AE696" s="481"/>
      <c r="AF696" s="481"/>
      <c r="AG696" s="481"/>
      <c r="AH696" s="481"/>
      <c r="AI696" s="873">
        <f t="shared" si="333"/>
        <v>7.84</v>
      </c>
      <c r="AJ696" s="26">
        <f t="shared" si="331"/>
        <v>9.94</v>
      </c>
      <c r="AK696" s="26">
        <f t="shared" si="334"/>
        <v>19.88</v>
      </c>
      <c r="AL696" s="224"/>
    </row>
    <row r="697" spans="1:38" s="62" customFormat="1">
      <c r="A697" s="77" t="s">
        <v>1365</v>
      </c>
      <c r="B697" s="139"/>
      <c r="C697" s="139" t="s">
        <v>2855</v>
      </c>
      <c r="D697" s="341"/>
      <c r="E697" s="341"/>
      <c r="F697" s="341"/>
      <c r="G697" s="26"/>
      <c r="H697" s="341"/>
      <c r="I697" s="96"/>
      <c r="J697" s="65" t="str">
        <f>IF(B697&lt;&gt;0,VLOOKUP(B697,#REF!,4,FALSE),"")</f>
        <v/>
      </c>
      <c r="K697" s="362" t="s">
        <v>1892</v>
      </c>
      <c r="L697" s="65"/>
      <c r="M697" s="65">
        <f t="shared" si="328"/>
        <v>0</v>
      </c>
      <c r="N697" s="65"/>
      <c r="O697" s="65">
        <f t="shared" si="329"/>
        <v>0</v>
      </c>
      <c r="P697" s="65" t="str">
        <f>IF(B697&lt;&gt;0,VLOOKUP(B697,#REF!,2,FALSE),"")</f>
        <v/>
      </c>
      <c r="Q697" s="62">
        <v>1</v>
      </c>
      <c r="R697" s="62">
        <f t="shared" si="314"/>
        <v>1</v>
      </c>
      <c r="AD697" s="221"/>
      <c r="AE697" s="481"/>
      <c r="AF697" s="481"/>
      <c r="AG697" s="481"/>
      <c r="AH697" s="481"/>
      <c r="AI697" s="873"/>
      <c r="AJ697" s="26"/>
      <c r="AK697" s="26"/>
      <c r="AL697" s="224"/>
    </row>
    <row r="698" spans="1:38" s="62" customFormat="1" ht="77.25" customHeight="1">
      <c r="A698" s="25" t="s">
        <v>1366</v>
      </c>
      <c r="B698" s="24">
        <v>12233</v>
      </c>
      <c r="C698" s="23" t="s">
        <v>1934</v>
      </c>
      <c r="D698" s="25" t="s">
        <v>44</v>
      </c>
      <c r="E698" s="25" t="s">
        <v>17</v>
      </c>
      <c r="F698" s="26">
        <v>1</v>
      </c>
      <c r="G698" s="26">
        <f t="shared" si="324"/>
        <v>930.77549999999997</v>
      </c>
      <c r="H698" s="26">
        <f t="shared" ref="H698:H709" si="339">ROUND(G698*(1+$J$13),2)</f>
        <v>1180.32</v>
      </c>
      <c r="I698" s="26">
        <f t="shared" ref="I698:I709" si="340">ROUND(H698*F698,2)</f>
        <v>1180.32</v>
      </c>
      <c r="J698" s="64">
        <f>'COMPOSIÇÃO DE CUSTOS'!G1895</f>
        <v>930.78</v>
      </c>
      <c r="K698" s="362">
        <v>1095.03</v>
      </c>
      <c r="L698" s="65">
        <f t="shared" si="327"/>
        <v>-164.25450000000001</v>
      </c>
      <c r="M698" s="65">
        <f t="shared" si="328"/>
        <v>930.77549999999997</v>
      </c>
      <c r="N698" s="65"/>
      <c r="O698" s="65">
        <f t="shared" si="329"/>
        <v>1180.32</v>
      </c>
      <c r="P698" s="65" t="e">
        <f>IF(B698&lt;&gt;0,VLOOKUP(B698,#REF!,2,FALSE),"")</f>
        <v>#REF!</v>
      </c>
      <c r="Q698" s="62">
        <v>4</v>
      </c>
      <c r="R698" s="62">
        <f t="shared" si="314"/>
        <v>3</v>
      </c>
      <c r="AD698" s="221"/>
      <c r="AE698" s="481"/>
      <c r="AF698" s="481"/>
      <c r="AG698" s="481"/>
      <c r="AH698" s="481"/>
      <c r="AI698" s="873">
        <f t="shared" si="333"/>
        <v>1036.8900000000001</v>
      </c>
      <c r="AJ698" s="26">
        <f t="shared" si="331"/>
        <v>1314.88</v>
      </c>
      <c r="AK698" s="26">
        <f t="shared" si="334"/>
        <v>1314.88</v>
      </c>
      <c r="AL698" s="224"/>
    </row>
    <row r="699" spans="1:38" s="62" customFormat="1" ht="30">
      <c r="A699" s="25" t="s">
        <v>1367</v>
      </c>
      <c r="B699" s="24">
        <v>9041</v>
      </c>
      <c r="C699" s="23" t="s">
        <v>1927</v>
      </c>
      <c r="D699" s="25" t="s">
        <v>44</v>
      </c>
      <c r="E699" s="25" t="s">
        <v>17</v>
      </c>
      <c r="F699" s="26">
        <v>4</v>
      </c>
      <c r="G699" s="26">
        <f t="shared" si="324"/>
        <v>97.393000000000001</v>
      </c>
      <c r="H699" s="26">
        <f t="shared" si="339"/>
        <v>123.5</v>
      </c>
      <c r="I699" s="26">
        <f t="shared" si="340"/>
        <v>494</v>
      </c>
      <c r="J699" s="64">
        <f>'COMPOSIÇÃO DE CUSTOS'!G1869</f>
        <v>97.39</v>
      </c>
      <c r="K699" s="362">
        <v>114.58</v>
      </c>
      <c r="L699" s="65">
        <f t="shared" si="327"/>
        <v>-17.186999999999998</v>
      </c>
      <c r="M699" s="65">
        <f t="shared" si="328"/>
        <v>389.572</v>
      </c>
      <c r="N699" s="65"/>
      <c r="O699" s="65">
        <f t="shared" si="329"/>
        <v>494</v>
      </c>
      <c r="P699" s="65" t="e">
        <f>IF(B699&lt;&gt;0,VLOOKUP(B699,#REF!,2,FALSE),"")</f>
        <v>#REF!</v>
      </c>
      <c r="Q699" s="62">
        <v>1</v>
      </c>
      <c r="R699" s="62">
        <f t="shared" si="314"/>
        <v>-3</v>
      </c>
      <c r="AD699" s="221"/>
      <c r="AE699" s="481"/>
      <c r="AF699" s="481"/>
      <c r="AG699" s="481"/>
      <c r="AH699" s="481"/>
      <c r="AI699" s="873">
        <f t="shared" si="333"/>
        <v>108.5</v>
      </c>
      <c r="AJ699" s="26">
        <f t="shared" si="331"/>
        <v>137.59</v>
      </c>
      <c r="AK699" s="26">
        <f t="shared" si="334"/>
        <v>550.36</v>
      </c>
      <c r="AL699" s="224"/>
    </row>
    <row r="700" spans="1:38" s="62" customFormat="1" ht="45">
      <c r="A700" s="25" t="s">
        <v>1368</v>
      </c>
      <c r="B700" s="24">
        <v>93653</v>
      </c>
      <c r="C700" s="23" t="s">
        <v>1729</v>
      </c>
      <c r="D700" s="25" t="s">
        <v>12</v>
      </c>
      <c r="E700" s="25" t="s">
        <v>17</v>
      </c>
      <c r="F700" s="26">
        <v>1</v>
      </c>
      <c r="G700" s="26">
        <f t="shared" si="324"/>
        <v>9.2735000000000003</v>
      </c>
      <c r="H700" s="26">
        <f t="shared" si="339"/>
        <v>11.76</v>
      </c>
      <c r="I700" s="26">
        <f t="shared" si="340"/>
        <v>11.76</v>
      </c>
      <c r="J700" s="65" t="e">
        <f>IF(B700&lt;&gt;0,VLOOKUP(B700,#REF!,4,FALSE),"")</f>
        <v>#REF!</v>
      </c>
      <c r="K700" s="362" t="s">
        <v>3229</v>
      </c>
      <c r="L700" s="65">
        <f t="shared" si="327"/>
        <v>-1.6364999999999998</v>
      </c>
      <c r="M700" s="65">
        <f t="shared" si="328"/>
        <v>9.2735000000000003</v>
      </c>
      <c r="N700" s="65"/>
      <c r="O700" s="65">
        <f t="shared" si="329"/>
        <v>11.76</v>
      </c>
      <c r="P700" s="65" t="e">
        <f>IF(B700&lt;&gt;0,VLOOKUP(B700,#REF!,2,FALSE),"")</f>
        <v>#REF!</v>
      </c>
      <c r="Q700" s="62">
        <v>11</v>
      </c>
      <c r="R700" s="62">
        <f t="shared" si="314"/>
        <v>10</v>
      </c>
      <c r="AD700" s="221"/>
      <c r="AE700" s="481"/>
      <c r="AF700" s="481"/>
      <c r="AG700" s="481"/>
      <c r="AH700" s="481"/>
      <c r="AI700" s="873">
        <f t="shared" si="333"/>
        <v>10.33</v>
      </c>
      <c r="AJ700" s="26">
        <f t="shared" si="331"/>
        <v>13.1</v>
      </c>
      <c r="AK700" s="26">
        <f t="shared" si="334"/>
        <v>13.1</v>
      </c>
      <c r="AL700" s="224"/>
    </row>
    <row r="701" spans="1:38" s="62" customFormat="1" ht="45">
      <c r="A701" s="25" t="s">
        <v>1369</v>
      </c>
      <c r="B701" s="24">
        <v>93654</v>
      </c>
      <c r="C701" s="23" t="s">
        <v>1730</v>
      </c>
      <c r="D701" s="25" t="s">
        <v>12</v>
      </c>
      <c r="E701" s="25" t="s">
        <v>17</v>
      </c>
      <c r="F701" s="26">
        <v>11</v>
      </c>
      <c r="G701" s="26">
        <f t="shared" si="324"/>
        <v>9.6050000000000004</v>
      </c>
      <c r="H701" s="26">
        <f t="shared" si="339"/>
        <v>12.18</v>
      </c>
      <c r="I701" s="26">
        <f t="shared" si="340"/>
        <v>133.97999999999999</v>
      </c>
      <c r="J701" s="65" t="e">
        <f>IF(B701&lt;&gt;0,VLOOKUP(B701,#REF!,4,FALSE),"")</f>
        <v>#REF!</v>
      </c>
      <c r="K701" s="362" t="s">
        <v>3243</v>
      </c>
      <c r="L701" s="65">
        <f t="shared" si="327"/>
        <v>-1.6950000000000003</v>
      </c>
      <c r="M701" s="65">
        <f t="shared" si="328"/>
        <v>105.655</v>
      </c>
      <c r="N701" s="65"/>
      <c r="O701" s="65">
        <f t="shared" si="329"/>
        <v>133.97999999999999</v>
      </c>
      <c r="P701" s="65" t="e">
        <f>IF(B701&lt;&gt;0,VLOOKUP(B701,#REF!,2,FALSE),"")</f>
        <v>#REF!</v>
      </c>
      <c r="Q701" s="62">
        <v>10</v>
      </c>
      <c r="R701" s="62">
        <f t="shared" ref="R701:R764" si="341">Q701-F701</f>
        <v>-1</v>
      </c>
      <c r="AD701" s="221"/>
      <c r="AE701" s="481"/>
      <c r="AF701" s="481"/>
      <c r="AG701" s="481"/>
      <c r="AH701" s="481"/>
      <c r="AI701" s="873">
        <f t="shared" si="333"/>
        <v>10.7</v>
      </c>
      <c r="AJ701" s="26">
        <f t="shared" si="331"/>
        <v>13.57</v>
      </c>
      <c r="AK701" s="26">
        <f t="shared" si="334"/>
        <v>149.27000000000001</v>
      </c>
      <c r="AL701" s="224"/>
    </row>
    <row r="702" spans="1:38" s="62" customFormat="1" ht="45">
      <c r="A702" s="25" t="s">
        <v>1370</v>
      </c>
      <c r="B702" s="24">
        <v>93655</v>
      </c>
      <c r="C702" s="23" t="s">
        <v>2856</v>
      </c>
      <c r="D702" s="25" t="s">
        <v>12</v>
      </c>
      <c r="E702" s="25" t="s">
        <v>17</v>
      </c>
      <c r="F702" s="26">
        <v>10</v>
      </c>
      <c r="G702" s="26">
        <f t="shared" si="324"/>
        <v>10.3445</v>
      </c>
      <c r="H702" s="26">
        <f t="shared" si="339"/>
        <v>13.12</v>
      </c>
      <c r="I702" s="26">
        <f t="shared" si="340"/>
        <v>131.19999999999999</v>
      </c>
      <c r="J702" s="65" t="e">
        <f>IF(B702&lt;&gt;0,VLOOKUP(B702,#REF!,4,FALSE),"")</f>
        <v>#REF!</v>
      </c>
      <c r="K702" s="362" t="s">
        <v>1879</v>
      </c>
      <c r="L702" s="65">
        <f t="shared" si="327"/>
        <v>-1.8254999999999999</v>
      </c>
      <c r="M702" s="65">
        <f t="shared" si="328"/>
        <v>103.44499999999999</v>
      </c>
      <c r="N702" s="65"/>
      <c r="O702" s="65">
        <f t="shared" si="329"/>
        <v>131.19999999999999</v>
      </c>
      <c r="P702" s="65" t="e">
        <f>IF(B702&lt;&gt;0,VLOOKUP(B702,#REF!,2,FALSE),"")</f>
        <v>#REF!</v>
      </c>
      <c r="Q702" s="62">
        <v>1</v>
      </c>
      <c r="R702" s="62">
        <f t="shared" si="341"/>
        <v>-9</v>
      </c>
      <c r="AD702" s="221"/>
      <c r="AE702" s="481"/>
      <c r="AF702" s="481"/>
      <c r="AG702" s="481"/>
      <c r="AH702" s="481"/>
      <c r="AI702" s="873">
        <f t="shared" si="333"/>
        <v>11.52</v>
      </c>
      <c r="AJ702" s="26">
        <f t="shared" si="331"/>
        <v>14.61</v>
      </c>
      <c r="AK702" s="26">
        <f t="shared" si="334"/>
        <v>146.1</v>
      </c>
      <c r="AL702" s="224"/>
    </row>
    <row r="703" spans="1:38" s="62" customFormat="1">
      <c r="A703" s="25" t="s">
        <v>1371</v>
      </c>
      <c r="B703" s="24">
        <v>101894</v>
      </c>
      <c r="C703" s="23" t="s">
        <v>2488</v>
      </c>
      <c r="D703" s="25" t="s">
        <v>12</v>
      </c>
      <c r="E703" s="25" t="s">
        <v>17</v>
      </c>
      <c r="F703" s="26">
        <v>1</v>
      </c>
      <c r="G703" s="26">
        <f t="shared" si="324"/>
        <v>120.09649999999999</v>
      </c>
      <c r="H703" s="26">
        <f t="shared" si="339"/>
        <v>152.29</v>
      </c>
      <c r="I703" s="26">
        <f t="shared" si="340"/>
        <v>152.29</v>
      </c>
      <c r="J703" s="65" t="e">
        <f>IF(B703&lt;&gt;0,VLOOKUP(B703,#REF!,4,FALSE),"")</f>
        <v>#REF!</v>
      </c>
      <c r="K703" s="362" t="s">
        <v>3253</v>
      </c>
      <c r="L703" s="65">
        <f t="shared" si="327"/>
        <v>-21.1935</v>
      </c>
      <c r="M703" s="65">
        <f t="shared" si="328"/>
        <v>120.09649999999999</v>
      </c>
      <c r="N703" s="65"/>
      <c r="O703" s="65">
        <f t="shared" si="329"/>
        <v>152.29</v>
      </c>
      <c r="P703" s="65" t="e">
        <f>IF(B703&lt;&gt;0,VLOOKUP(B703,#REF!,2,FALSE),"")</f>
        <v>#REF!</v>
      </c>
      <c r="Q703" s="62">
        <v>8</v>
      </c>
      <c r="R703" s="62">
        <f t="shared" si="341"/>
        <v>7</v>
      </c>
      <c r="AD703" s="221"/>
      <c r="AE703" s="481"/>
      <c r="AF703" s="481"/>
      <c r="AG703" s="481"/>
      <c r="AH703" s="481"/>
      <c r="AI703" s="873">
        <f t="shared" si="333"/>
        <v>133.79</v>
      </c>
      <c r="AJ703" s="26">
        <f t="shared" si="331"/>
        <v>169.66</v>
      </c>
      <c r="AK703" s="26">
        <f t="shared" si="334"/>
        <v>169.66</v>
      </c>
      <c r="AL703" s="224"/>
    </row>
    <row r="704" spans="1:38" s="62" customFormat="1" ht="45">
      <c r="A704" s="250" t="s">
        <v>3580</v>
      </c>
      <c r="B704" s="24">
        <v>1570</v>
      </c>
      <c r="C704" s="470" t="s">
        <v>3757</v>
      </c>
      <c r="D704" s="25" t="s">
        <v>12</v>
      </c>
      <c r="E704" s="25" t="s">
        <v>17</v>
      </c>
      <c r="F704" s="26">
        <v>8</v>
      </c>
      <c r="G704" s="26">
        <f t="shared" si="324"/>
        <v>0.77350000000000008</v>
      </c>
      <c r="H704" s="26">
        <f t="shared" si="339"/>
        <v>0.98</v>
      </c>
      <c r="I704" s="26">
        <f t="shared" si="340"/>
        <v>7.84</v>
      </c>
      <c r="J704" s="64" t="e">
        <f>IF(B704&lt;&gt;0,VLOOKUP(B704,#REF!,4,FALSE),"")</f>
        <v>#REF!</v>
      </c>
      <c r="K704" s="362" t="s">
        <v>1859</v>
      </c>
      <c r="L704" s="65">
        <f t="shared" si="327"/>
        <v>-0.13649999999999995</v>
      </c>
      <c r="M704" s="65">
        <f t="shared" si="328"/>
        <v>6.1880000000000006</v>
      </c>
      <c r="N704" s="65"/>
      <c r="O704" s="65">
        <f t="shared" si="329"/>
        <v>7.84</v>
      </c>
      <c r="P704" s="65" t="e">
        <f>IF(B704&lt;&gt;0,VLOOKUP(B704,#REF!,2,FALSE),"")</f>
        <v>#REF!</v>
      </c>
      <c r="Q704" s="62">
        <v>64</v>
      </c>
      <c r="R704" s="62">
        <f t="shared" si="341"/>
        <v>56</v>
      </c>
      <c r="AD704" s="221"/>
      <c r="AE704" s="481"/>
      <c r="AF704" s="481"/>
      <c r="AG704" s="481"/>
      <c r="AH704" s="481"/>
      <c r="AI704" s="873">
        <f t="shared" si="333"/>
        <v>0.86</v>
      </c>
      <c r="AJ704" s="26">
        <f t="shared" si="331"/>
        <v>1.0900000000000001</v>
      </c>
      <c r="AK704" s="26">
        <f t="shared" si="334"/>
        <v>8.7200000000000006</v>
      </c>
      <c r="AL704" s="224"/>
    </row>
    <row r="705" spans="1:38" s="62" customFormat="1" ht="45">
      <c r="A705" s="250" t="s">
        <v>3581</v>
      </c>
      <c r="B705" s="24">
        <v>1571</v>
      </c>
      <c r="C705" s="470" t="s">
        <v>3760</v>
      </c>
      <c r="D705" s="25" t="s">
        <v>12</v>
      </c>
      <c r="E705" s="25" t="s">
        <v>17</v>
      </c>
      <c r="F705" s="26">
        <v>64</v>
      </c>
      <c r="G705" s="26">
        <f t="shared" si="324"/>
        <v>1.0114999999999998</v>
      </c>
      <c r="H705" s="26">
        <f t="shared" si="339"/>
        <v>1.28</v>
      </c>
      <c r="I705" s="26">
        <f t="shared" si="340"/>
        <v>81.92</v>
      </c>
      <c r="J705" s="64" t="e">
        <f>IF(B705&lt;&gt;0,VLOOKUP(B705,#REF!,4,FALSE),"")</f>
        <v>#REF!</v>
      </c>
      <c r="K705" s="362" t="s">
        <v>1844</v>
      </c>
      <c r="L705" s="65">
        <f t="shared" si="327"/>
        <v>-0.1785000000000001</v>
      </c>
      <c r="M705" s="65">
        <f t="shared" si="328"/>
        <v>64.73599999999999</v>
      </c>
      <c r="N705" s="65"/>
      <c r="O705" s="65">
        <f t="shared" si="329"/>
        <v>81.92</v>
      </c>
      <c r="P705" s="65" t="e">
        <f>IF(B705&lt;&gt;0,VLOOKUP(B705,#REF!,2,FALSE),"")</f>
        <v>#REF!</v>
      </c>
      <c r="Q705" s="62">
        <v>22</v>
      </c>
      <c r="R705" s="62">
        <f t="shared" si="341"/>
        <v>-42</v>
      </c>
      <c r="AD705" s="221"/>
      <c r="AE705" s="481"/>
      <c r="AF705" s="481"/>
      <c r="AG705" s="481"/>
      <c r="AH705" s="481"/>
      <c r="AI705" s="873">
        <f t="shared" si="333"/>
        <v>1.1299999999999999</v>
      </c>
      <c r="AJ705" s="26">
        <f t="shared" si="331"/>
        <v>1.43</v>
      </c>
      <c r="AK705" s="26">
        <f t="shared" si="334"/>
        <v>91.52</v>
      </c>
      <c r="AL705" s="224"/>
    </row>
    <row r="706" spans="1:38" s="62" customFormat="1" ht="45">
      <c r="A706" s="250" t="s">
        <v>3582</v>
      </c>
      <c r="B706" s="24">
        <v>1573</v>
      </c>
      <c r="C706" s="470" t="s">
        <v>3758</v>
      </c>
      <c r="D706" s="25" t="s">
        <v>12</v>
      </c>
      <c r="E706" s="25" t="s">
        <v>221</v>
      </c>
      <c r="F706" s="26">
        <v>22</v>
      </c>
      <c r="G706" s="26">
        <f t="shared" si="324"/>
        <v>1.1984999999999999</v>
      </c>
      <c r="H706" s="26">
        <f t="shared" si="339"/>
        <v>1.52</v>
      </c>
      <c r="I706" s="26">
        <f t="shared" si="340"/>
        <v>33.44</v>
      </c>
      <c r="J706" s="64" t="e">
        <f>IF(B706&lt;&gt;0,VLOOKUP(B706,#REF!,4,FALSE),"")</f>
        <v>#REF!</v>
      </c>
      <c r="K706" s="362" t="s">
        <v>3191</v>
      </c>
      <c r="L706" s="65">
        <f t="shared" si="327"/>
        <v>-0.21150000000000002</v>
      </c>
      <c r="M706" s="65">
        <f t="shared" si="328"/>
        <v>26.366999999999997</v>
      </c>
      <c r="N706" s="65"/>
      <c r="O706" s="65">
        <f t="shared" si="329"/>
        <v>33.44</v>
      </c>
      <c r="P706" s="65" t="e">
        <f>IF(B706&lt;&gt;0,VLOOKUP(B706,#REF!,2,FALSE),"")</f>
        <v>#REF!</v>
      </c>
      <c r="Q706" s="62">
        <v>1</v>
      </c>
      <c r="R706" s="62">
        <f t="shared" si="341"/>
        <v>-21</v>
      </c>
      <c r="AD706" s="221"/>
      <c r="AE706" s="481"/>
      <c r="AF706" s="481"/>
      <c r="AG706" s="481"/>
      <c r="AH706" s="481"/>
      <c r="AI706" s="873">
        <f t="shared" si="333"/>
        <v>1.34</v>
      </c>
      <c r="AJ706" s="26">
        <f t="shared" si="331"/>
        <v>1.7</v>
      </c>
      <c r="AK706" s="26">
        <f t="shared" si="334"/>
        <v>37.4</v>
      </c>
      <c r="AL706" s="224"/>
    </row>
    <row r="707" spans="1:38" s="62" customFormat="1" ht="45">
      <c r="A707" s="250" t="s">
        <v>3583</v>
      </c>
      <c r="B707" s="24">
        <v>1575</v>
      </c>
      <c r="C707" s="470" t="s">
        <v>3765</v>
      </c>
      <c r="D707" s="25" t="s">
        <v>12</v>
      </c>
      <c r="E707" s="25" t="s">
        <v>17</v>
      </c>
      <c r="F707" s="26">
        <v>1</v>
      </c>
      <c r="G707" s="26">
        <f t="shared" si="324"/>
        <v>1.5470000000000002</v>
      </c>
      <c r="H707" s="26">
        <f t="shared" si="339"/>
        <v>1.96</v>
      </c>
      <c r="I707" s="26">
        <f t="shared" si="340"/>
        <v>1.96</v>
      </c>
      <c r="J707" s="64" t="e">
        <f>IF(B707&lt;&gt;0,VLOOKUP(B707,#REF!,4,FALSE),"")</f>
        <v>#REF!</v>
      </c>
      <c r="K707" s="362" t="s">
        <v>1862</v>
      </c>
      <c r="L707" s="65">
        <f t="shared" si="327"/>
        <v>-0.27299999999999991</v>
      </c>
      <c r="M707" s="65">
        <f t="shared" si="328"/>
        <v>1.5470000000000002</v>
      </c>
      <c r="N707" s="65"/>
      <c r="O707" s="65">
        <f t="shared" si="329"/>
        <v>1.96</v>
      </c>
      <c r="P707" s="65" t="e">
        <f>IF(B707&lt;&gt;0,VLOOKUP(B707,#REF!,2,FALSE),"")</f>
        <v>#REF!</v>
      </c>
      <c r="Q707" s="62">
        <v>10</v>
      </c>
      <c r="R707" s="62">
        <f t="shared" si="341"/>
        <v>9</v>
      </c>
      <c r="AD707" s="221"/>
      <c r="AE707" s="481"/>
      <c r="AF707" s="481"/>
      <c r="AG707" s="481"/>
      <c r="AH707" s="481"/>
      <c r="AI707" s="873">
        <f t="shared" si="333"/>
        <v>1.72</v>
      </c>
      <c r="AJ707" s="26">
        <f t="shared" si="331"/>
        <v>2.1800000000000002</v>
      </c>
      <c r="AK707" s="26">
        <f t="shared" si="334"/>
        <v>2.1800000000000002</v>
      </c>
      <c r="AL707" s="224"/>
    </row>
    <row r="708" spans="1:38" s="62" customFormat="1" ht="45">
      <c r="A708" s="250" t="s">
        <v>3584</v>
      </c>
      <c r="B708" s="24">
        <v>1577</v>
      </c>
      <c r="C708" s="470" t="s">
        <v>3753</v>
      </c>
      <c r="D708" s="25" t="s">
        <v>12</v>
      </c>
      <c r="E708" s="25" t="s">
        <v>17</v>
      </c>
      <c r="F708" s="26">
        <v>10</v>
      </c>
      <c r="G708" s="26">
        <f t="shared" si="324"/>
        <v>2.4055</v>
      </c>
      <c r="H708" s="26">
        <f t="shared" si="339"/>
        <v>3.05</v>
      </c>
      <c r="I708" s="26">
        <f t="shared" si="340"/>
        <v>30.5</v>
      </c>
      <c r="J708" s="64" t="e">
        <f>IF(B708&lt;&gt;0,VLOOKUP(B708,#REF!,4,FALSE),"")</f>
        <v>#REF!</v>
      </c>
      <c r="K708" s="362" t="s">
        <v>1895</v>
      </c>
      <c r="L708" s="65">
        <f t="shared" si="327"/>
        <v>-0.4245000000000001</v>
      </c>
      <c r="M708" s="65">
        <f t="shared" si="328"/>
        <v>24.055</v>
      </c>
      <c r="N708" s="65"/>
      <c r="O708" s="65">
        <f t="shared" si="329"/>
        <v>30.5</v>
      </c>
      <c r="P708" s="65" t="e">
        <f>IF(B708&lt;&gt;0,VLOOKUP(B708,#REF!,2,FALSE),"")</f>
        <v>#REF!</v>
      </c>
      <c r="Q708" s="62">
        <v>2</v>
      </c>
      <c r="R708" s="62">
        <f t="shared" si="341"/>
        <v>-8</v>
      </c>
      <c r="AD708" s="221"/>
      <c r="AE708" s="481"/>
      <c r="AF708" s="481"/>
      <c r="AG708" s="481"/>
      <c r="AH708" s="481"/>
      <c r="AI708" s="873">
        <f t="shared" si="333"/>
        <v>2.68</v>
      </c>
      <c r="AJ708" s="26">
        <f t="shared" si="331"/>
        <v>3.4</v>
      </c>
      <c r="AK708" s="26">
        <f t="shared" si="334"/>
        <v>34</v>
      </c>
      <c r="AL708" s="224"/>
    </row>
    <row r="709" spans="1:38" s="62" customFormat="1" ht="45">
      <c r="A709" s="25" t="s">
        <v>1372</v>
      </c>
      <c r="B709" s="24">
        <v>91930</v>
      </c>
      <c r="C709" s="23" t="s">
        <v>1731</v>
      </c>
      <c r="D709" s="25" t="s">
        <v>12</v>
      </c>
      <c r="E709" s="25" t="s">
        <v>52</v>
      </c>
      <c r="F709" s="26">
        <v>2</v>
      </c>
      <c r="G709" s="26">
        <f t="shared" si="324"/>
        <v>7.0379999999999994</v>
      </c>
      <c r="H709" s="26">
        <f t="shared" si="339"/>
        <v>8.92</v>
      </c>
      <c r="I709" s="26">
        <f t="shared" si="340"/>
        <v>17.84</v>
      </c>
      <c r="J709" s="65" t="e">
        <f>IF(B709&lt;&gt;0,VLOOKUP(B709,#REF!,4,FALSE),"")</f>
        <v>#REF!</v>
      </c>
      <c r="K709" s="362" t="s">
        <v>3113</v>
      </c>
      <c r="L709" s="65">
        <f t="shared" si="327"/>
        <v>-1.242</v>
      </c>
      <c r="M709" s="65">
        <f t="shared" si="328"/>
        <v>14.075999999999999</v>
      </c>
      <c r="N709" s="65"/>
      <c r="O709" s="65">
        <f t="shared" si="329"/>
        <v>17.84</v>
      </c>
      <c r="P709" s="65" t="e">
        <f>IF(B709&lt;&gt;0,VLOOKUP(B709,#REF!,2,FALSE),"")</f>
        <v>#REF!</v>
      </c>
      <c r="R709" s="62">
        <f t="shared" si="341"/>
        <v>-2</v>
      </c>
      <c r="AD709" s="221"/>
      <c r="AE709" s="481"/>
      <c r="AF709" s="481"/>
      <c r="AG709" s="481"/>
      <c r="AH709" s="481"/>
      <c r="AI709" s="873">
        <f t="shared" si="333"/>
        <v>7.84</v>
      </c>
      <c r="AJ709" s="26">
        <f t="shared" si="331"/>
        <v>9.94</v>
      </c>
      <c r="AK709" s="26">
        <f t="shared" si="334"/>
        <v>19.88</v>
      </c>
      <c r="AL709" s="224"/>
    </row>
    <row r="710" spans="1:38" s="62" customFormat="1">
      <c r="A710" s="77" t="s">
        <v>2857</v>
      </c>
      <c r="B710" s="139"/>
      <c r="C710" s="139" t="s">
        <v>2858</v>
      </c>
      <c r="D710" s="341"/>
      <c r="E710" s="341"/>
      <c r="F710" s="341"/>
      <c r="G710" s="26"/>
      <c r="H710" s="341"/>
      <c r="I710" s="96"/>
      <c r="J710" s="65" t="str">
        <f>IF(B710&lt;&gt;0,VLOOKUP(B710,#REF!,4,FALSE),"")</f>
        <v/>
      </c>
      <c r="K710" s="362" t="s">
        <v>1892</v>
      </c>
      <c r="L710" s="65"/>
      <c r="M710" s="65">
        <f t="shared" si="328"/>
        <v>0</v>
      </c>
      <c r="N710" s="65"/>
      <c r="O710" s="65">
        <f t="shared" si="329"/>
        <v>0</v>
      </c>
      <c r="P710" s="65" t="str">
        <f>IF(B710&lt;&gt;0,VLOOKUP(B710,#REF!,2,FALSE),"")</f>
        <v/>
      </c>
      <c r="Q710" s="62">
        <v>1</v>
      </c>
      <c r="R710" s="62">
        <f t="shared" si="341"/>
        <v>1</v>
      </c>
      <c r="AD710" s="221"/>
      <c r="AE710" s="481"/>
      <c r="AF710" s="481"/>
      <c r="AG710" s="481"/>
      <c r="AH710" s="481"/>
      <c r="AI710" s="873"/>
      <c r="AJ710" s="26"/>
      <c r="AK710" s="26"/>
      <c r="AL710" s="224"/>
    </row>
    <row r="711" spans="1:38" s="27" customFormat="1" ht="75">
      <c r="A711" s="250" t="s">
        <v>3585</v>
      </c>
      <c r="B711" s="24">
        <v>101882</v>
      </c>
      <c r="C711" s="470" t="s">
        <v>3777</v>
      </c>
      <c r="D711" s="25" t="s">
        <v>12</v>
      </c>
      <c r="E711" s="25" t="s">
        <v>17</v>
      </c>
      <c r="F711" s="26">
        <v>1</v>
      </c>
      <c r="G711" s="26">
        <f t="shared" si="324"/>
        <v>1091.0345</v>
      </c>
      <c r="H711" s="26">
        <f t="shared" ref="H711:H724" si="342">ROUND(G711*(1+$J$13),2)</f>
        <v>1383.54</v>
      </c>
      <c r="I711" s="26">
        <f t="shared" ref="I711:I724" si="343">ROUND(H711*F711,2)</f>
        <v>1383.54</v>
      </c>
      <c r="J711" s="65" t="e">
        <f>IF(B711&lt;&gt;0,VLOOKUP(B711,#REF!,4,FALSE),"")</f>
        <v>#REF!</v>
      </c>
      <c r="K711" s="362" t="s">
        <v>3252</v>
      </c>
      <c r="L711" s="65">
        <f t="shared" si="327"/>
        <v>-192.53549999999996</v>
      </c>
      <c r="M711" s="65">
        <f t="shared" si="328"/>
        <v>1091.0345</v>
      </c>
      <c r="N711" s="65"/>
      <c r="O711" s="65">
        <f t="shared" si="329"/>
        <v>1383.54</v>
      </c>
      <c r="P711" s="65" t="e">
        <f>IF(B711&lt;&gt;0,VLOOKUP(B711,#REF!,2,FALSE),"")</f>
        <v>#REF!</v>
      </c>
      <c r="Q711" s="27">
        <v>4</v>
      </c>
      <c r="R711" s="62">
        <f t="shared" si="341"/>
        <v>3</v>
      </c>
      <c r="AD711" s="552"/>
      <c r="AE711" s="481"/>
      <c r="AF711" s="481"/>
      <c r="AG711" s="481"/>
      <c r="AH711" s="481"/>
      <c r="AI711" s="873">
        <f t="shared" si="333"/>
        <v>1215.42</v>
      </c>
      <c r="AJ711" s="26">
        <f t="shared" si="331"/>
        <v>1541.27</v>
      </c>
      <c r="AK711" s="26">
        <f t="shared" si="334"/>
        <v>1541.27</v>
      </c>
      <c r="AL711" s="790"/>
    </row>
    <row r="712" spans="1:38" ht="30">
      <c r="A712" s="25" t="s">
        <v>2859</v>
      </c>
      <c r="B712" s="24">
        <v>9041</v>
      </c>
      <c r="C712" s="23" t="s">
        <v>1927</v>
      </c>
      <c r="D712" s="25" t="s">
        <v>44</v>
      </c>
      <c r="E712" s="25" t="s">
        <v>17</v>
      </c>
      <c r="F712" s="26">
        <v>4</v>
      </c>
      <c r="G712" s="26">
        <f t="shared" si="324"/>
        <v>97.393000000000001</v>
      </c>
      <c r="H712" s="26">
        <f t="shared" si="342"/>
        <v>123.5</v>
      </c>
      <c r="I712" s="26">
        <f t="shared" si="343"/>
        <v>494</v>
      </c>
      <c r="J712" s="65">
        <f>'COMPOSIÇÃO DE CUSTOS'!G1869</f>
        <v>97.39</v>
      </c>
      <c r="K712" s="362">
        <v>114.58</v>
      </c>
      <c r="L712" s="65">
        <f t="shared" si="327"/>
        <v>-17.186999999999998</v>
      </c>
      <c r="M712" s="65">
        <f t="shared" si="328"/>
        <v>389.572</v>
      </c>
      <c r="N712" s="65"/>
      <c r="O712" s="65">
        <f t="shared" si="329"/>
        <v>494</v>
      </c>
      <c r="P712" s="65" t="e">
        <f>IF(B712&lt;&gt;0,VLOOKUP(B712,#REF!,2,FALSE),"")</f>
        <v>#REF!</v>
      </c>
      <c r="Q712" s="2">
        <v>4</v>
      </c>
      <c r="R712" s="62">
        <f t="shared" si="341"/>
        <v>0</v>
      </c>
      <c r="AD712" s="21"/>
      <c r="AE712" s="481"/>
      <c r="AF712" s="481"/>
      <c r="AG712" s="481"/>
      <c r="AH712" s="481"/>
      <c r="AI712" s="873">
        <f t="shared" si="333"/>
        <v>108.5</v>
      </c>
      <c r="AJ712" s="26">
        <f t="shared" si="331"/>
        <v>137.59</v>
      </c>
      <c r="AK712" s="26">
        <f t="shared" si="334"/>
        <v>550.36</v>
      </c>
    </row>
    <row r="713" spans="1:38" s="62" customFormat="1" ht="45">
      <c r="A713" s="25" t="s">
        <v>2860</v>
      </c>
      <c r="B713" s="24">
        <v>93655</v>
      </c>
      <c r="C713" s="23" t="s">
        <v>2856</v>
      </c>
      <c r="D713" s="25" t="s">
        <v>12</v>
      </c>
      <c r="E713" s="25" t="s">
        <v>17</v>
      </c>
      <c r="F713" s="26">
        <v>4</v>
      </c>
      <c r="G713" s="26">
        <f t="shared" si="324"/>
        <v>10.3445</v>
      </c>
      <c r="H713" s="26">
        <f t="shared" si="342"/>
        <v>13.12</v>
      </c>
      <c r="I713" s="26">
        <f t="shared" si="343"/>
        <v>52.48</v>
      </c>
      <c r="J713" s="65" t="e">
        <f>IF(B713&lt;&gt;0,VLOOKUP(B713,#REF!,4,FALSE),"")</f>
        <v>#REF!</v>
      </c>
      <c r="K713" s="362" t="s">
        <v>1879</v>
      </c>
      <c r="L713" s="65">
        <f t="shared" si="327"/>
        <v>-1.8254999999999999</v>
      </c>
      <c r="M713" s="65">
        <f t="shared" si="328"/>
        <v>41.378</v>
      </c>
      <c r="N713" s="65"/>
      <c r="O713" s="65">
        <f t="shared" si="329"/>
        <v>52.48</v>
      </c>
      <c r="P713" s="65" t="e">
        <f>IF(B713&lt;&gt;0,VLOOKUP(B713,#REF!,2,FALSE),"")</f>
        <v>#REF!</v>
      </c>
      <c r="Q713" s="62">
        <v>1</v>
      </c>
      <c r="R713" s="62">
        <f t="shared" si="341"/>
        <v>-3</v>
      </c>
      <c r="AD713" s="221"/>
      <c r="AE713" s="481"/>
      <c r="AF713" s="481"/>
      <c r="AG713" s="481"/>
      <c r="AH713" s="481"/>
      <c r="AI713" s="873">
        <f t="shared" si="333"/>
        <v>11.52</v>
      </c>
      <c r="AJ713" s="26">
        <f t="shared" si="331"/>
        <v>14.61</v>
      </c>
      <c r="AK713" s="26">
        <f t="shared" si="334"/>
        <v>58.44</v>
      </c>
      <c r="AL713" s="224"/>
    </row>
    <row r="714" spans="1:38" s="62" customFormat="1">
      <c r="A714" s="25" t="s">
        <v>2861</v>
      </c>
      <c r="B714" s="24">
        <v>101894</v>
      </c>
      <c r="C714" s="23" t="s">
        <v>266</v>
      </c>
      <c r="D714" s="25" t="s">
        <v>12</v>
      </c>
      <c r="E714" s="25" t="s">
        <v>17</v>
      </c>
      <c r="F714" s="26">
        <v>1</v>
      </c>
      <c r="G714" s="26">
        <f t="shared" si="324"/>
        <v>120.09649999999999</v>
      </c>
      <c r="H714" s="26">
        <f t="shared" si="342"/>
        <v>152.29</v>
      </c>
      <c r="I714" s="26">
        <f t="shared" si="343"/>
        <v>152.29</v>
      </c>
      <c r="J714" s="65" t="e">
        <f>IF(B714&lt;&gt;0,VLOOKUP(B714,#REF!,4,FALSE),"")</f>
        <v>#REF!</v>
      </c>
      <c r="K714" s="362" t="s">
        <v>3253</v>
      </c>
      <c r="L714" s="65">
        <f t="shared" si="327"/>
        <v>-21.1935</v>
      </c>
      <c r="M714" s="65">
        <f t="shared" si="328"/>
        <v>120.09649999999999</v>
      </c>
      <c r="N714" s="65"/>
      <c r="O714" s="65">
        <f t="shared" si="329"/>
        <v>152.29</v>
      </c>
      <c r="P714" s="65" t="e">
        <f>IF(B714&lt;&gt;0,VLOOKUP(B714,#REF!,2,FALSE),"")</f>
        <v>#REF!</v>
      </c>
      <c r="Q714" s="62">
        <v>1</v>
      </c>
      <c r="R714" s="62">
        <f t="shared" si="341"/>
        <v>0</v>
      </c>
      <c r="AD714" s="221"/>
      <c r="AE714" s="481"/>
      <c r="AF714" s="481"/>
      <c r="AG714" s="481"/>
      <c r="AH714" s="481"/>
      <c r="AI714" s="873">
        <f t="shared" si="333"/>
        <v>133.79</v>
      </c>
      <c r="AJ714" s="26">
        <f t="shared" si="331"/>
        <v>169.66</v>
      </c>
      <c r="AK714" s="26">
        <f t="shared" si="334"/>
        <v>169.66</v>
      </c>
      <c r="AL714" s="224"/>
    </row>
    <row r="715" spans="1:38" s="62" customFormat="1">
      <c r="A715" s="25" t="s">
        <v>2862</v>
      </c>
      <c r="B715" s="24">
        <v>101894</v>
      </c>
      <c r="C715" s="23" t="s">
        <v>2863</v>
      </c>
      <c r="D715" s="25" t="s">
        <v>12</v>
      </c>
      <c r="E715" s="25" t="s">
        <v>17</v>
      </c>
      <c r="F715" s="26">
        <v>1</v>
      </c>
      <c r="G715" s="26">
        <f t="shared" si="324"/>
        <v>120.09649999999999</v>
      </c>
      <c r="H715" s="26">
        <f t="shared" si="342"/>
        <v>152.29</v>
      </c>
      <c r="I715" s="26">
        <f t="shared" si="343"/>
        <v>152.29</v>
      </c>
      <c r="J715" s="65" t="e">
        <f>IF(B715&lt;&gt;0,VLOOKUP(B715,#REF!,4,FALSE),"")</f>
        <v>#REF!</v>
      </c>
      <c r="K715" s="362" t="s">
        <v>3253</v>
      </c>
      <c r="L715" s="65">
        <f t="shared" si="327"/>
        <v>-21.1935</v>
      </c>
      <c r="M715" s="65">
        <f t="shared" si="328"/>
        <v>120.09649999999999</v>
      </c>
      <c r="N715" s="65"/>
      <c r="O715" s="65">
        <f t="shared" si="329"/>
        <v>152.29</v>
      </c>
      <c r="P715" s="65" t="e">
        <f>IF(B715&lt;&gt;0,VLOOKUP(B715,#REF!,2,FALSE),"")</f>
        <v>#REF!</v>
      </c>
      <c r="Q715" s="62">
        <v>1</v>
      </c>
      <c r="R715" s="62">
        <f t="shared" si="341"/>
        <v>0</v>
      </c>
      <c r="AD715" s="221"/>
      <c r="AE715" s="481"/>
      <c r="AF715" s="481"/>
      <c r="AG715" s="481"/>
      <c r="AH715" s="481"/>
      <c r="AI715" s="873">
        <f t="shared" si="333"/>
        <v>133.79</v>
      </c>
      <c r="AJ715" s="26">
        <f t="shared" si="331"/>
        <v>169.66</v>
      </c>
      <c r="AK715" s="26">
        <f t="shared" si="334"/>
        <v>169.66</v>
      </c>
      <c r="AL715" s="224"/>
    </row>
    <row r="716" spans="1:38" s="62" customFormat="1" ht="30">
      <c r="A716" s="25" t="s">
        <v>2864</v>
      </c>
      <c r="B716" s="24">
        <v>101896</v>
      </c>
      <c r="C716" s="23" t="s">
        <v>2865</v>
      </c>
      <c r="D716" s="25" t="s">
        <v>12</v>
      </c>
      <c r="E716" s="25" t="s">
        <v>17</v>
      </c>
      <c r="F716" s="26">
        <v>1</v>
      </c>
      <c r="G716" s="26">
        <f t="shared" si="324"/>
        <v>515.48250000000007</v>
      </c>
      <c r="H716" s="26">
        <f t="shared" si="342"/>
        <v>653.67999999999995</v>
      </c>
      <c r="I716" s="26">
        <f t="shared" si="343"/>
        <v>653.67999999999995</v>
      </c>
      <c r="J716" s="65" t="e">
        <f>IF(B716&lt;&gt;0,VLOOKUP(B716,#REF!,4,FALSE),"")</f>
        <v>#REF!</v>
      </c>
      <c r="K716" s="362" t="s">
        <v>3155</v>
      </c>
      <c r="L716" s="65">
        <f t="shared" si="327"/>
        <v>-90.967499999999973</v>
      </c>
      <c r="M716" s="65">
        <f t="shared" si="328"/>
        <v>515.48250000000007</v>
      </c>
      <c r="N716" s="65"/>
      <c r="O716" s="65">
        <f t="shared" si="329"/>
        <v>653.67999999999995</v>
      </c>
      <c r="P716" s="65" t="e">
        <f>IF(B716&lt;&gt;0,VLOOKUP(B716,#REF!,2,FALSE),"")</f>
        <v>#REF!</v>
      </c>
      <c r="Q716" s="62">
        <v>8</v>
      </c>
      <c r="R716" s="62">
        <f t="shared" si="341"/>
        <v>7</v>
      </c>
      <c r="AD716" s="221"/>
      <c r="AE716" s="481"/>
      <c r="AF716" s="481"/>
      <c r="AG716" s="481"/>
      <c r="AH716" s="481"/>
      <c r="AI716" s="873">
        <f t="shared" si="333"/>
        <v>574.25</v>
      </c>
      <c r="AJ716" s="26">
        <f t="shared" si="331"/>
        <v>728.21</v>
      </c>
      <c r="AK716" s="26">
        <f t="shared" si="334"/>
        <v>728.21</v>
      </c>
      <c r="AL716" s="224"/>
    </row>
    <row r="717" spans="1:38" s="62" customFormat="1" ht="45">
      <c r="A717" s="250" t="s">
        <v>3586</v>
      </c>
      <c r="B717" s="24">
        <v>1571</v>
      </c>
      <c r="C717" s="470" t="s">
        <v>3760</v>
      </c>
      <c r="D717" s="25" t="s">
        <v>12</v>
      </c>
      <c r="E717" s="25" t="s">
        <v>17</v>
      </c>
      <c r="F717" s="26">
        <v>8</v>
      </c>
      <c r="G717" s="26">
        <f t="shared" si="324"/>
        <v>1.0114999999999998</v>
      </c>
      <c r="H717" s="26">
        <f t="shared" si="342"/>
        <v>1.28</v>
      </c>
      <c r="I717" s="26">
        <f t="shared" si="343"/>
        <v>10.24</v>
      </c>
      <c r="J717" s="64" t="e">
        <f>IF(B717&lt;&gt;0,VLOOKUP(B717,#REF!,4,FALSE),"")</f>
        <v>#REF!</v>
      </c>
      <c r="K717" s="362" t="s">
        <v>1844</v>
      </c>
      <c r="L717" s="65">
        <f t="shared" si="327"/>
        <v>-0.1785000000000001</v>
      </c>
      <c r="M717" s="65">
        <f t="shared" si="328"/>
        <v>8.0919999999999987</v>
      </c>
      <c r="N717" s="65"/>
      <c r="O717" s="65">
        <f t="shared" si="329"/>
        <v>10.24</v>
      </c>
      <c r="P717" s="65" t="e">
        <f>IF(B717&lt;&gt;0,VLOOKUP(B717,#REF!,2,FALSE),"")</f>
        <v>#REF!</v>
      </c>
      <c r="Q717" s="62">
        <v>22</v>
      </c>
      <c r="R717" s="62">
        <f t="shared" si="341"/>
        <v>14</v>
      </c>
      <c r="AD717" s="221"/>
      <c r="AE717" s="481"/>
      <c r="AF717" s="481"/>
      <c r="AG717" s="481"/>
      <c r="AH717" s="481"/>
      <c r="AI717" s="873">
        <f t="shared" si="333"/>
        <v>1.1299999999999999</v>
      </c>
      <c r="AJ717" s="26">
        <f t="shared" si="331"/>
        <v>1.43</v>
      </c>
      <c r="AK717" s="26">
        <f t="shared" si="334"/>
        <v>11.44</v>
      </c>
      <c r="AL717" s="224"/>
    </row>
    <row r="718" spans="1:38" s="62" customFormat="1" ht="45">
      <c r="A718" s="250" t="s">
        <v>3587</v>
      </c>
      <c r="B718" s="24">
        <v>1573</v>
      </c>
      <c r="C718" s="470" t="s">
        <v>3758</v>
      </c>
      <c r="D718" s="25" t="s">
        <v>12</v>
      </c>
      <c r="E718" s="25" t="s">
        <v>221</v>
      </c>
      <c r="F718" s="26">
        <v>22</v>
      </c>
      <c r="G718" s="26">
        <f t="shared" si="324"/>
        <v>1.1984999999999999</v>
      </c>
      <c r="H718" s="26">
        <f t="shared" si="342"/>
        <v>1.52</v>
      </c>
      <c r="I718" s="26">
        <f t="shared" si="343"/>
        <v>33.44</v>
      </c>
      <c r="J718" s="64" t="e">
        <f>IF(B718&lt;&gt;0,VLOOKUP(B718,#REF!,4,FALSE),"")</f>
        <v>#REF!</v>
      </c>
      <c r="K718" s="362" t="s">
        <v>3191</v>
      </c>
      <c r="L718" s="65">
        <f t="shared" si="327"/>
        <v>-0.21150000000000002</v>
      </c>
      <c r="M718" s="65">
        <f t="shared" si="328"/>
        <v>26.366999999999997</v>
      </c>
      <c r="N718" s="65"/>
      <c r="O718" s="65">
        <f t="shared" si="329"/>
        <v>33.44</v>
      </c>
      <c r="P718" s="65" t="e">
        <f>IF(B718&lt;&gt;0,VLOOKUP(B718,#REF!,2,FALSE),"")</f>
        <v>#REF!</v>
      </c>
      <c r="Q718" s="62">
        <v>12</v>
      </c>
      <c r="R718" s="62">
        <f t="shared" si="341"/>
        <v>-10</v>
      </c>
      <c r="AD718" s="221"/>
      <c r="AE718" s="481"/>
      <c r="AF718" s="481"/>
      <c r="AG718" s="481"/>
      <c r="AH718" s="481"/>
      <c r="AI718" s="873">
        <f t="shared" si="333"/>
        <v>1.34</v>
      </c>
      <c r="AJ718" s="26">
        <f t="shared" si="331"/>
        <v>1.7</v>
      </c>
      <c r="AK718" s="26">
        <f t="shared" si="334"/>
        <v>37.4</v>
      </c>
      <c r="AL718" s="224"/>
    </row>
    <row r="719" spans="1:38" s="62" customFormat="1" ht="45">
      <c r="A719" s="250" t="s">
        <v>3588</v>
      </c>
      <c r="B719" s="24">
        <v>1575</v>
      </c>
      <c r="C719" s="470" t="s">
        <v>3765</v>
      </c>
      <c r="D719" s="25" t="s">
        <v>12</v>
      </c>
      <c r="E719" s="25" t="s">
        <v>17</v>
      </c>
      <c r="F719" s="26">
        <v>12</v>
      </c>
      <c r="G719" s="26">
        <f t="shared" si="324"/>
        <v>1.5470000000000002</v>
      </c>
      <c r="H719" s="26">
        <f t="shared" si="342"/>
        <v>1.96</v>
      </c>
      <c r="I719" s="26">
        <f t="shared" si="343"/>
        <v>23.52</v>
      </c>
      <c r="J719" s="64" t="e">
        <f>IF(B719&lt;&gt;0,VLOOKUP(B719,#REF!,4,FALSE),"")</f>
        <v>#REF!</v>
      </c>
      <c r="K719" s="362" t="s">
        <v>1862</v>
      </c>
      <c r="L719" s="65">
        <f t="shared" si="327"/>
        <v>-0.27299999999999991</v>
      </c>
      <c r="M719" s="65">
        <f t="shared" si="328"/>
        <v>18.564</v>
      </c>
      <c r="N719" s="65"/>
      <c r="O719" s="65">
        <f t="shared" si="329"/>
        <v>23.52</v>
      </c>
      <c r="P719" s="65" t="e">
        <f>IF(B719&lt;&gt;0,VLOOKUP(B719,#REF!,2,FALSE),"")</f>
        <v>#REF!</v>
      </c>
      <c r="Q719" s="62">
        <v>10</v>
      </c>
      <c r="R719" s="62">
        <f t="shared" si="341"/>
        <v>-2</v>
      </c>
      <c r="AD719" s="221"/>
      <c r="AE719" s="481"/>
      <c r="AF719" s="481"/>
      <c r="AG719" s="481"/>
      <c r="AH719" s="481"/>
      <c r="AI719" s="873">
        <f t="shared" si="333"/>
        <v>1.72</v>
      </c>
      <c r="AJ719" s="26">
        <f t="shared" si="331"/>
        <v>2.1800000000000002</v>
      </c>
      <c r="AK719" s="26">
        <f t="shared" si="334"/>
        <v>26.16</v>
      </c>
      <c r="AL719" s="224"/>
    </row>
    <row r="720" spans="1:38" s="62" customFormat="1" ht="45">
      <c r="A720" s="250" t="s">
        <v>3589</v>
      </c>
      <c r="B720" s="24">
        <v>1576</v>
      </c>
      <c r="C720" s="470" t="s">
        <v>3766</v>
      </c>
      <c r="D720" s="25" t="s">
        <v>12</v>
      </c>
      <c r="E720" s="25" t="s">
        <v>17</v>
      </c>
      <c r="F720" s="26">
        <v>10</v>
      </c>
      <c r="G720" s="26">
        <f t="shared" si="324"/>
        <v>2.1334999999999997</v>
      </c>
      <c r="H720" s="26">
        <f t="shared" si="342"/>
        <v>2.71</v>
      </c>
      <c r="I720" s="26">
        <f t="shared" si="343"/>
        <v>27.1</v>
      </c>
      <c r="J720" s="64" t="e">
        <f>IF(B720&lt;&gt;0,VLOOKUP(B720,#REF!,4,FALSE),"")</f>
        <v>#REF!</v>
      </c>
      <c r="K720" s="362" t="s">
        <v>3142</v>
      </c>
      <c r="L720" s="65">
        <f t="shared" si="327"/>
        <v>-0.37650000000000006</v>
      </c>
      <c r="M720" s="65">
        <f t="shared" si="328"/>
        <v>21.334999999999997</v>
      </c>
      <c r="N720" s="65"/>
      <c r="O720" s="65">
        <f t="shared" si="329"/>
        <v>27.1</v>
      </c>
      <c r="P720" s="65" t="e">
        <f>IF(B720&lt;&gt;0,VLOOKUP(B720,#REF!,2,FALSE),"")</f>
        <v>#REF!</v>
      </c>
      <c r="Q720" s="62">
        <v>10</v>
      </c>
      <c r="R720" s="62">
        <f t="shared" si="341"/>
        <v>0</v>
      </c>
      <c r="AD720" s="221"/>
      <c r="AE720" s="481"/>
      <c r="AF720" s="481"/>
      <c r="AG720" s="481"/>
      <c r="AH720" s="481"/>
      <c r="AI720" s="873">
        <f t="shared" si="333"/>
        <v>2.38</v>
      </c>
      <c r="AJ720" s="26">
        <f t="shared" si="331"/>
        <v>3.02</v>
      </c>
      <c r="AK720" s="26">
        <f t="shared" si="334"/>
        <v>30.2</v>
      </c>
      <c r="AL720" s="224"/>
    </row>
    <row r="721" spans="1:38" s="62" customFormat="1" ht="45">
      <c r="A721" s="250" t="s">
        <v>3590</v>
      </c>
      <c r="B721" s="24">
        <v>1577</v>
      </c>
      <c r="C721" s="470" t="s">
        <v>3753</v>
      </c>
      <c r="D721" s="25" t="s">
        <v>12</v>
      </c>
      <c r="E721" s="25" t="s">
        <v>17</v>
      </c>
      <c r="F721" s="26">
        <v>10</v>
      </c>
      <c r="G721" s="26">
        <f t="shared" si="324"/>
        <v>2.4055</v>
      </c>
      <c r="H721" s="26">
        <f t="shared" si="342"/>
        <v>3.05</v>
      </c>
      <c r="I721" s="26">
        <f t="shared" si="343"/>
        <v>30.5</v>
      </c>
      <c r="J721" s="64" t="e">
        <f>IF(B721&lt;&gt;0,VLOOKUP(B721,#REF!,4,FALSE),"")</f>
        <v>#REF!</v>
      </c>
      <c r="K721" s="362" t="s">
        <v>1895</v>
      </c>
      <c r="L721" s="65">
        <f t="shared" si="327"/>
        <v>-0.4245000000000001</v>
      </c>
      <c r="M721" s="65">
        <f t="shared" si="328"/>
        <v>24.055</v>
      </c>
      <c r="N721" s="65"/>
      <c r="O721" s="65">
        <f t="shared" si="329"/>
        <v>30.5</v>
      </c>
      <c r="P721" s="65" t="e">
        <f>IF(B721&lt;&gt;0,VLOOKUP(B721,#REF!,2,FALSE),"")</f>
        <v>#REF!</v>
      </c>
      <c r="Q721" s="62">
        <v>1</v>
      </c>
      <c r="R721" s="62">
        <f t="shared" si="341"/>
        <v>-9</v>
      </c>
      <c r="AD721" s="221"/>
      <c r="AE721" s="481"/>
      <c r="AF721" s="481"/>
      <c r="AG721" s="481"/>
      <c r="AH721" s="481"/>
      <c r="AI721" s="873">
        <f t="shared" si="333"/>
        <v>2.68</v>
      </c>
      <c r="AJ721" s="26">
        <f t="shared" si="331"/>
        <v>3.4</v>
      </c>
      <c r="AK721" s="26">
        <f t="shared" si="334"/>
        <v>34</v>
      </c>
      <c r="AL721" s="224"/>
    </row>
    <row r="722" spans="1:38" s="62" customFormat="1" ht="45">
      <c r="A722" s="250" t="s">
        <v>3591</v>
      </c>
      <c r="B722" s="24">
        <v>1578</v>
      </c>
      <c r="C722" s="470" t="s">
        <v>3752</v>
      </c>
      <c r="D722" s="25" t="s">
        <v>12</v>
      </c>
      <c r="E722" s="25" t="s">
        <v>17</v>
      </c>
      <c r="F722" s="26">
        <v>1</v>
      </c>
      <c r="G722" s="26">
        <f t="shared" si="324"/>
        <v>4.1820000000000004</v>
      </c>
      <c r="H722" s="26">
        <f t="shared" si="342"/>
        <v>5.3</v>
      </c>
      <c r="I722" s="26">
        <f t="shared" si="343"/>
        <v>5.3</v>
      </c>
      <c r="J722" s="64" t="e">
        <f>IF(B722&lt;&gt;0,VLOOKUP(B722,#REF!,4,FALSE),"")</f>
        <v>#REF!</v>
      </c>
      <c r="K722" s="362" t="s">
        <v>3144</v>
      </c>
      <c r="L722" s="65">
        <f t="shared" si="327"/>
        <v>-0.73799999999999955</v>
      </c>
      <c r="M722" s="65">
        <f t="shared" si="328"/>
        <v>4.1820000000000004</v>
      </c>
      <c r="N722" s="65"/>
      <c r="O722" s="65">
        <f t="shared" si="329"/>
        <v>5.3</v>
      </c>
      <c r="P722" s="65" t="e">
        <f>IF(B722&lt;&gt;0,VLOOKUP(B722,#REF!,2,FALSE),"")</f>
        <v>#REF!</v>
      </c>
      <c r="Q722" s="62">
        <v>10</v>
      </c>
      <c r="R722" s="62">
        <f t="shared" si="341"/>
        <v>9</v>
      </c>
      <c r="AD722" s="221"/>
      <c r="AE722" s="481"/>
      <c r="AF722" s="481"/>
      <c r="AG722" s="481"/>
      <c r="AH722" s="481"/>
      <c r="AI722" s="873">
        <f t="shared" si="333"/>
        <v>4.66</v>
      </c>
      <c r="AJ722" s="26">
        <f t="shared" si="331"/>
        <v>5.91</v>
      </c>
      <c r="AK722" s="26">
        <f t="shared" si="334"/>
        <v>5.91</v>
      </c>
      <c r="AL722" s="224"/>
    </row>
    <row r="723" spans="1:38" s="62" customFormat="1" ht="45">
      <c r="A723" s="250" t="s">
        <v>3592</v>
      </c>
      <c r="B723" s="24">
        <v>1580</v>
      </c>
      <c r="C723" s="470" t="s">
        <v>3763</v>
      </c>
      <c r="D723" s="25" t="s">
        <v>12</v>
      </c>
      <c r="E723" s="25" t="s">
        <v>17</v>
      </c>
      <c r="F723" s="26">
        <v>10</v>
      </c>
      <c r="G723" s="26">
        <f t="shared" si="324"/>
        <v>6.4175000000000004</v>
      </c>
      <c r="H723" s="26">
        <f t="shared" si="342"/>
        <v>8.14</v>
      </c>
      <c r="I723" s="26">
        <f t="shared" si="343"/>
        <v>81.400000000000006</v>
      </c>
      <c r="J723" s="64" t="e">
        <f>IF(B723&lt;&gt;0,VLOOKUP(B723,#REF!,4,FALSE),"")</f>
        <v>#REF!</v>
      </c>
      <c r="K723" s="362" t="s">
        <v>3158</v>
      </c>
      <c r="L723" s="65">
        <f t="shared" si="327"/>
        <v>-1.1324999999999994</v>
      </c>
      <c r="M723" s="65">
        <f t="shared" si="328"/>
        <v>64.175000000000011</v>
      </c>
      <c r="N723" s="65"/>
      <c r="O723" s="65">
        <f t="shared" si="329"/>
        <v>81.400000000000006</v>
      </c>
      <c r="P723" s="65" t="e">
        <f>IF(B723&lt;&gt;0,VLOOKUP(B723,#REF!,2,FALSE),"")</f>
        <v>#REF!</v>
      </c>
      <c r="Q723" s="62">
        <v>2</v>
      </c>
      <c r="R723" s="62">
        <f t="shared" si="341"/>
        <v>-8</v>
      </c>
      <c r="AD723" s="221"/>
      <c r="AE723" s="481"/>
      <c r="AF723" s="481"/>
      <c r="AG723" s="481"/>
      <c r="AH723" s="481"/>
      <c r="AI723" s="873">
        <f t="shared" si="333"/>
        <v>7.15</v>
      </c>
      <c r="AJ723" s="26">
        <f t="shared" si="331"/>
        <v>9.07</v>
      </c>
      <c r="AK723" s="26">
        <f t="shared" si="334"/>
        <v>90.7</v>
      </c>
      <c r="AL723" s="224"/>
    </row>
    <row r="724" spans="1:38" s="62" customFormat="1" ht="45">
      <c r="A724" s="25" t="s">
        <v>2866</v>
      </c>
      <c r="B724" s="24">
        <v>91930</v>
      </c>
      <c r="C724" s="23" t="s">
        <v>1731</v>
      </c>
      <c r="D724" s="25" t="s">
        <v>12</v>
      </c>
      <c r="E724" s="25" t="s">
        <v>52</v>
      </c>
      <c r="F724" s="26">
        <v>2</v>
      </c>
      <c r="G724" s="26">
        <f t="shared" si="324"/>
        <v>7.0379999999999994</v>
      </c>
      <c r="H724" s="26">
        <f t="shared" si="342"/>
        <v>8.92</v>
      </c>
      <c r="I724" s="26">
        <f t="shared" si="343"/>
        <v>17.84</v>
      </c>
      <c r="J724" s="65" t="e">
        <f>IF(B724&lt;&gt;0,VLOOKUP(B724,#REF!,4,FALSE),"")</f>
        <v>#REF!</v>
      </c>
      <c r="K724" s="362" t="s">
        <v>3113</v>
      </c>
      <c r="L724" s="65">
        <f t="shared" si="327"/>
        <v>-1.242</v>
      </c>
      <c r="M724" s="65">
        <f t="shared" si="328"/>
        <v>14.075999999999999</v>
      </c>
      <c r="N724" s="65"/>
      <c r="O724" s="65">
        <f t="shared" si="329"/>
        <v>17.84</v>
      </c>
      <c r="P724" s="65" t="e">
        <f>IF(B724&lt;&gt;0,VLOOKUP(B724,#REF!,2,FALSE),"")</f>
        <v>#REF!</v>
      </c>
      <c r="R724" s="62">
        <f t="shared" si="341"/>
        <v>-2</v>
      </c>
      <c r="AD724" s="221"/>
      <c r="AE724" s="481"/>
      <c r="AF724" s="481"/>
      <c r="AG724" s="481"/>
      <c r="AH724" s="481"/>
      <c r="AI724" s="873">
        <f t="shared" si="333"/>
        <v>7.84</v>
      </c>
      <c r="AJ724" s="26">
        <f t="shared" si="331"/>
        <v>9.94</v>
      </c>
      <c r="AK724" s="26">
        <f t="shared" si="334"/>
        <v>19.88</v>
      </c>
      <c r="AL724" s="224"/>
    </row>
    <row r="725" spans="1:38" s="62" customFormat="1">
      <c r="A725" s="77" t="s">
        <v>2867</v>
      </c>
      <c r="B725" s="139"/>
      <c r="C725" s="139" t="s">
        <v>2868</v>
      </c>
      <c r="D725" s="341"/>
      <c r="E725" s="341"/>
      <c r="F725" s="341"/>
      <c r="G725" s="26"/>
      <c r="H725" s="341"/>
      <c r="I725" s="96"/>
      <c r="J725" s="65" t="str">
        <f>IF(B725&lt;&gt;0,VLOOKUP(B725,#REF!,4,FALSE),"")</f>
        <v/>
      </c>
      <c r="K725" s="362" t="s">
        <v>1892</v>
      </c>
      <c r="L725" s="65"/>
      <c r="M725" s="65">
        <f t="shared" si="328"/>
        <v>0</v>
      </c>
      <c r="N725" s="65"/>
      <c r="O725" s="65">
        <f t="shared" si="329"/>
        <v>0</v>
      </c>
      <c r="P725" s="65" t="str">
        <f>IF(B725&lt;&gt;0,VLOOKUP(B725,#REF!,2,FALSE),"")</f>
        <v/>
      </c>
      <c r="Q725" s="62">
        <v>1</v>
      </c>
      <c r="R725" s="62">
        <f t="shared" si="341"/>
        <v>1</v>
      </c>
      <c r="AD725" s="221"/>
      <c r="AE725" s="481"/>
      <c r="AF725" s="481"/>
      <c r="AG725" s="481"/>
      <c r="AH725" s="481"/>
      <c r="AI725" s="873"/>
      <c r="AJ725" s="26"/>
      <c r="AK725" s="26"/>
      <c r="AL725" s="224"/>
    </row>
    <row r="726" spans="1:38" s="62" customFormat="1" ht="75">
      <c r="A726" s="250" t="s">
        <v>3593</v>
      </c>
      <c r="B726" s="24">
        <v>101882</v>
      </c>
      <c r="C726" s="470" t="s">
        <v>3777</v>
      </c>
      <c r="D726" s="25" t="s">
        <v>12</v>
      </c>
      <c r="E726" s="25" t="s">
        <v>17</v>
      </c>
      <c r="F726" s="26">
        <v>1</v>
      </c>
      <c r="G726" s="26">
        <f t="shared" ref="G726:G789" si="344">K726-(K726*$L$14)</f>
        <v>1091.0345</v>
      </c>
      <c r="H726" s="26">
        <f t="shared" ref="H726:H737" si="345">ROUND(G726*(1+$J$13),2)</f>
        <v>1383.54</v>
      </c>
      <c r="I726" s="26">
        <f t="shared" ref="I726:I737" si="346">ROUND(H726*F726,2)</f>
        <v>1383.54</v>
      </c>
      <c r="J726" s="65" t="e">
        <f>IF(B726&lt;&gt;0,VLOOKUP(B726,#REF!,4,FALSE),"")</f>
        <v>#REF!</v>
      </c>
      <c r="K726" s="362" t="s">
        <v>3252</v>
      </c>
      <c r="L726" s="65">
        <f t="shared" ref="L726:L789" si="347">G726-K726</f>
        <v>-192.53549999999996</v>
      </c>
      <c r="M726" s="65">
        <f t="shared" ref="M726:M789" si="348">F726*G726</f>
        <v>1091.0345</v>
      </c>
      <c r="N726" s="65"/>
      <c r="O726" s="65">
        <f t="shared" ref="O726:O789" si="349">F726*H726</f>
        <v>1383.54</v>
      </c>
      <c r="P726" s="65" t="e">
        <f>IF(B726&lt;&gt;0,VLOOKUP(B726,#REF!,2,FALSE),"")</f>
        <v>#REF!</v>
      </c>
      <c r="Q726" s="62">
        <v>4</v>
      </c>
      <c r="R726" s="62">
        <f t="shared" si="341"/>
        <v>3</v>
      </c>
      <c r="AD726" s="221"/>
      <c r="AE726" s="481"/>
      <c r="AF726" s="481"/>
      <c r="AG726" s="481"/>
      <c r="AH726" s="481"/>
      <c r="AI726" s="873">
        <f t="shared" si="333"/>
        <v>1215.42</v>
      </c>
      <c r="AJ726" s="26">
        <f t="shared" ref="AJ726:AJ789" si="350">ROUND(AI726*(1+$J$13),2)</f>
        <v>1541.27</v>
      </c>
      <c r="AK726" s="26">
        <f t="shared" si="334"/>
        <v>1541.27</v>
      </c>
      <c r="AL726" s="224"/>
    </row>
    <row r="727" spans="1:38" s="62" customFormat="1" ht="30">
      <c r="A727" s="25" t="s">
        <v>2869</v>
      </c>
      <c r="B727" s="24">
        <v>9041</v>
      </c>
      <c r="C727" s="23" t="s">
        <v>1927</v>
      </c>
      <c r="D727" s="25" t="s">
        <v>44</v>
      </c>
      <c r="E727" s="25" t="s">
        <v>17</v>
      </c>
      <c r="F727" s="26">
        <v>4</v>
      </c>
      <c r="G727" s="26">
        <f t="shared" si="344"/>
        <v>97.393000000000001</v>
      </c>
      <c r="H727" s="26">
        <f t="shared" si="345"/>
        <v>123.5</v>
      </c>
      <c r="I727" s="26">
        <f t="shared" si="346"/>
        <v>494</v>
      </c>
      <c r="J727" s="65">
        <f>'COMPOSIÇÃO DE CUSTOS'!G1869</f>
        <v>97.39</v>
      </c>
      <c r="K727" s="362">
        <v>114.58</v>
      </c>
      <c r="L727" s="65">
        <f t="shared" si="347"/>
        <v>-17.186999999999998</v>
      </c>
      <c r="M727" s="65">
        <f t="shared" si="348"/>
        <v>389.572</v>
      </c>
      <c r="N727" s="65"/>
      <c r="O727" s="65">
        <f t="shared" si="349"/>
        <v>494</v>
      </c>
      <c r="P727" s="65" t="e">
        <f>IF(B727&lt;&gt;0,VLOOKUP(B727,#REF!,2,FALSE),"")</f>
        <v>#REF!</v>
      </c>
      <c r="Q727" s="62">
        <v>4</v>
      </c>
      <c r="R727" s="62">
        <f t="shared" si="341"/>
        <v>0</v>
      </c>
      <c r="AD727" s="221"/>
      <c r="AE727" s="481"/>
      <c r="AF727" s="481"/>
      <c r="AG727" s="481"/>
      <c r="AH727" s="481"/>
      <c r="AI727" s="873">
        <f t="shared" ref="AI727:AI790" si="351">ROUND(G727*$AM$11,2)</f>
        <v>108.5</v>
      </c>
      <c r="AJ727" s="26">
        <f t="shared" si="350"/>
        <v>137.59</v>
      </c>
      <c r="AK727" s="26">
        <f t="shared" ref="AK727:AK790" si="352">ROUND(AJ727*F727,2)</f>
        <v>550.36</v>
      </c>
      <c r="AL727" s="224"/>
    </row>
    <row r="728" spans="1:38" s="62" customFormat="1" ht="45">
      <c r="A728" s="25" t="s">
        <v>2870</v>
      </c>
      <c r="B728" s="24">
        <v>93655</v>
      </c>
      <c r="C728" s="23" t="s">
        <v>2856</v>
      </c>
      <c r="D728" s="25" t="s">
        <v>12</v>
      </c>
      <c r="E728" s="25" t="s">
        <v>17</v>
      </c>
      <c r="F728" s="26">
        <v>4</v>
      </c>
      <c r="G728" s="26">
        <f t="shared" si="344"/>
        <v>10.3445</v>
      </c>
      <c r="H728" s="26">
        <f t="shared" si="345"/>
        <v>13.12</v>
      </c>
      <c r="I728" s="26">
        <f t="shared" si="346"/>
        <v>52.48</v>
      </c>
      <c r="J728" s="65" t="e">
        <f>IF(B728&lt;&gt;0,VLOOKUP(B728,#REF!,4,FALSE),"")</f>
        <v>#REF!</v>
      </c>
      <c r="K728" s="362" t="s">
        <v>1879</v>
      </c>
      <c r="L728" s="65">
        <f t="shared" si="347"/>
        <v>-1.8254999999999999</v>
      </c>
      <c r="M728" s="65">
        <f t="shared" si="348"/>
        <v>41.378</v>
      </c>
      <c r="N728" s="65"/>
      <c r="O728" s="65">
        <f t="shared" si="349"/>
        <v>52.48</v>
      </c>
      <c r="P728" s="65" t="e">
        <f>IF(B728&lt;&gt;0,VLOOKUP(B728,#REF!,2,FALSE),"")</f>
        <v>#REF!</v>
      </c>
      <c r="Q728" s="62">
        <v>1</v>
      </c>
      <c r="R728" s="62">
        <f t="shared" si="341"/>
        <v>-3</v>
      </c>
      <c r="AD728" s="221"/>
      <c r="AE728" s="481"/>
      <c r="AF728" s="481"/>
      <c r="AG728" s="481"/>
      <c r="AH728" s="481"/>
      <c r="AI728" s="873">
        <f t="shared" si="351"/>
        <v>11.52</v>
      </c>
      <c r="AJ728" s="26">
        <f t="shared" si="350"/>
        <v>14.61</v>
      </c>
      <c r="AK728" s="26">
        <f t="shared" si="352"/>
        <v>58.44</v>
      </c>
      <c r="AL728" s="224"/>
    </row>
    <row r="729" spans="1:38" s="62" customFormat="1" ht="45">
      <c r="A729" s="250" t="s">
        <v>3594</v>
      </c>
      <c r="B729" s="24">
        <v>101895</v>
      </c>
      <c r="C729" s="470" t="s">
        <v>3759</v>
      </c>
      <c r="D729" s="25" t="s">
        <v>12</v>
      </c>
      <c r="E729" s="25" t="s">
        <v>17</v>
      </c>
      <c r="F729" s="26">
        <v>1</v>
      </c>
      <c r="G729" s="26">
        <f t="shared" si="344"/>
        <v>337.58600000000001</v>
      </c>
      <c r="H729" s="26">
        <f t="shared" si="345"/>
        <v>428.09</v>
      </c>
      <c r="I729" s="26">
        <f t="shared" si="346"/>
        <v>428.09</v>
      </c>
      <c r="J729" s="65" t="e">
        <f>IF(B729&lt;&gt;0,VLOOKUP(B729,#REF!,4,FALSE),"")</f>
        <v>#REF!</v>
      </c>
      <c r="K729" s="362" t="s">
        <v>3254</v>
      </c>
      <c r="L729" s="65">
        <f t="shared" si="347"/>
        <v>-59.574000000000012</v>
      </c>
      <c r="M729" s="65">
        <f t="shared" si="348"/>
        <v>337.58600000000001</v>
      </c>
      <c r="N729" s="65"/>
      <c r="O729" s="65">
        <f t="shared" si="349"/>
        <v>428.09</v>
      </c>
      <c r="P729" s="65" t="e">
        <f>IF(B729&lt;&gt;0,VLOOKUP(B729,#REF!,2,FALSE),"")</f>
        <v>#REF!</v>
      </c>
      <c r="Q729" s="62">
        <v>1</v>
      </c>
      <c r="R729" s="62">
        <f t="shared" si="341"/>
        <v>0</v>
      </c>
      <c r="AD729" s="221"/>
      <c r="AE729" s="481"/>
      <c r="AF729" s="481"/>
      <c r="AG729" s="481"/>
      <c r="AH729" s="481"/>
      <c r="AI729" s="873">
        <f t="shared" si="351"/>
        <v>376.07</v>
      </c>
      <c r="AJ729" s="26">
        <f t="shared" si="350"/>
        <v>476.89</v>
      </c>
      <c r="AK729" s="26">
        <f t="shared" si="352"/>
        <v>476.89</v>
      </c>
      <c r="AL729" s="224"/>
    </row>
    <row r="730" spans="1:38" s="62" customFormat="1">
      <c r="A730" s="25" t="s">
        <v>2871</v>
      </c>
      <c r="B730" s="24">
        <v>101896</v>
      </c>
      <c r="C730" s="23" t="s">
        <v>2872</v>
      </c>
      <c r="D730" s="25" t="s">
        <v>12</v>
      </c>
      <c r="E730" s="25" t="s">
        <v>17</v>
      </c>
      <c r="F730" s="26">
        <v>1</v>
      </c>
      <c r="G730" s="26">
        <f t="shared" si="344"/>
        <v>515.48250000000007</v>
      </c>
      <c r="H730" s="26">
        <f t="shared" si="345"/>
        <v>653.67999999999995</v>
      </c>
      <c r="I730" s="26">
        <f t="shared" si="346"/>
        <v>653.67999999999995</v>
      </c>
      <c r="J730" s="65" t="e">
        <f>IF(B730&lt;&gt;0,VLOOKUP(B730,#REF!,4,FALSE),"")</f>
        <v>#REF!</v>
      </c>
      <c r="K730" s="362" t="s">
        <v>3155</v>
      </c>
      <c r="L730" s="65">
        <f t="shared" si="347"/>
        <v>-90.967499999999973</v>
      </c>
      <c r="M730" s="65">
        <f t="shared" si="348"/>
        <v>515.48250000000007</v>
      </c>
      <c r="N730" s="65"/>
      <c r="O730" s="65">
        <f t="shared" si="349"/>
        <v>653.67999999999995</v>
      </c>
      <c r="P730" s="65" t="e">
        <f>IF(B730&lt;&gt;0,VLOOKUP(B730,#REF!,2,FALSE),"")</f>
        <v>#REF!</v>
      </c>
      <c r="Q730" s="62">
        <v>8</v>
      </c>
      <c r="R730" s="62">
        <f t="shared" si="341"/>
        <v>7</v>
      </c>
      <c r="AD730" s="221"/>
      <c r="AE730" s="481"/>
      <c r="AF730" s="481"/>
      <c r="AG730" s="481"/>
      <c r="AH730" s="481"/>
      <c r="AI730" s="873">
        <f t="shared" si="351"/>
        <v>574.25</v>
      </c>
      <c r="AJ730" s="26">
        <f t="shared" si="350"/>
        <v>728.21</v>
      </c>
      <c r="AK730" s="26">
        <f t="shared" si="352"/>
        <v>728.21</v>
      </c>
      <c r="AL730" s="224"/>
    </row>
    <row r="731" spans="1:38" s="62" customFormat="1" ht="45">
      <c r="A731" s="250" t="s">
        <v>3595</v>
      </c>
      <c r="B731" s="24">
        <v>1571</v>
      </c>
      <c r="C731" s="470" t="s">
        <v>3760</v>
      </c>
      <c r="D731" s="25" t="s">
        <v>12</v>
      </c>
      <c r="E731" s="25" t="s">
        <v>17</v>
      </c>
      <c r="F731" s="26">
        <v>8</v>
      </c>
      <c r="G731" s="26">
        <f t="shared" si="344"/>
        <v>1.0114999999999998</v>
      </c>
      <c r="H731" s="26">
        <f t="shared" si="345"/>
        <v>1.28</v>
      </c>
      <c r="I731" s="26">
        <f t="shared" si="346"/>
        <v>10.24</v>
      </c>
      <c r="J731" s="64" t="e">
        <f>IF(B731&lt;&gt;0,VLOOKUP(B731,#REF!,4,FALSE),"")</f>
        <v>#REF!</v>
      </c>
      <c r="K731" s="362" t="s">
        <v>1844</v>
      </c>
      <c r="L731" s="65">
        <f t="shared" si="347"/>
        <v>-0.1785000000000001</v>
      </c>
      <c r="M731" s="65">
        <f t="shared" si="348"/>
        <v>8.0919999999999987</v>
      </c>
      <c r="N731" s="65"/>
      <c r="O731" s="65">
        <f t="shared" si="349"/>
        <v>10.24</v>
      </c>
      <c r="P731" s="65" t="e">
        <f>IF(B731&lt;&gt;0,VLOOKUP(B731,#REF!,2,FALSE),"")</f>
        <v>#REF!</v>
      </c>
      <c r="Q731" s="62">
        <v>22</v>
      </c>
      <c r="R731" s="62">
        <f t="shared" si="341"/>
        <v>14</v>
      </c>
      <c r="AD731" s="221"/>
      <c r="AE731" s="481"/>
      <c r="AF731" s="481"/>
      <c r="AG731" s="481"/>
      <c r="AH731" s="481"/>
      <c r="AI731" s="873">
        <f t="shared" si="351"/>
        <v>1.1299999999999999</v>
      </c>
      <c r="AJ731" s="26">
        <f t="shared" si="350"/>
        <v>1.43</v>
      </c>
      <c r="AK731" s="26">
        <f t="shared" si="352"/>
        <v>11.44</v>
      </c>
      <c r="AL731" s="224"/>
    </row>
    <row r="732" spans="1:38" s="62" customFormat="1" ht="45">
      <c r="A732" s="250" t="s">
        <v>3596</v>
      </c>
      <c r="B732" s="24">
        <v>1573</v>
      </c>
      <c r="C732" s="470" t="s">
        <v>3758</v>
      </c>
      <c r="D732" s="25" t="s">
        <v>12</v>
      </c>
      <c r="E732" s="25" t="s">
        <v>221</v>
      </c>
      <c r="F732" s="26">
        <v>22</v>
      </c>
      <c r="G732" s="26">
        <f t="shared" si="344"/>
        <v>1.1984999999999999</v>
      </c>
      <c r="H732" s="26">
        <f t="shared" si="345"/>
        <v>1.52</v>
      </c>
      <c r="I732" s="26">
        <f t="shared" si="346"/>
        <v>33.44</v>
      </c>
      <c r="J732" s="64" t="e">
        <f>IF(B732&lt;&gt;0,VLOOKUP(B732,#REF!,4,FALSE),"")</f>
        <v>#REF!</v>
      </c>
      <c r="K732" s="362" t="s">
        <v>3191</v>
      </c>
      <c r="L732" s="65">
        <f t="shared" si="347"/>
        <v>-0.21150000000000002</v>
      </c>
      <c r="M732" s="65">
        <f t="shared" si="348"/>
        <v>26.366999999999997</v>
      </c>
      <c r="N732" s="65"/>
      <c r="O732" s="65">
        <f t="shared" si="349"/>
        <v>33.44</v>
      </c>
      <c r="P732" s="65" t="e">
        <f>IF(B732&lt;&gt;0,VLOOKUP(B732,#REF!,2,FALSE),"")</f>
        <v>#REF!</v>
      </c>
      <c r="Q732" s="62">
        <v>1</v>
      </c>
      <c r="R732" s="62">
        <f t="shared" si="341"/>
        <v>-21</v>
      </c>
      <c r="AD732" s="221"/>
      <c r="AE732" s="481"/>
      <c r="AF732" s="481"/>
      <c r="AG732" s="481"/>
      <c r="AH732" s="481"/>
      <c r="AI732" s="873">
        <f t="shared" si="351"/>
        <v>1.34</v>
      </c>
      <c r="AJ732" s="26">
        <f t="shared" si="350"/>
        <v>1.7</v>
      </c>
      <c r="AK732" s="26">
        <f t="shared" si="352"/>
        <v>37.4</v>
      </c>
      <c r="AL732" s="224"/>
    </row>
    <row r="733" spans="1:38" s="62" customFormat="1" ht="45">
      <c r="A733" s="250" t="s">
        <v>3597</v>
      </c>
      <c r="B733" s="24">
        <v>1575</v>
      </c>
      <c r="C733" s="470" t="s">
        <v>3765</v>
      </c>
      <c r="D733" s="25" t="s">
        <v>12</v>
      </c>
      <c r="E733" s="25" t="s">
        <v>17</v>
      </c>
      <c r="F733" s="26">
        <v>1</v>
      </c>
      <c r="G733" s="26">
        <f t="shared" si="344"/>
        <v>1.5470000000000002</v>
      </c>
      <c r="H733" s="26">
        <f t="shared" si="345"/>
        <v>1.96</v>
      </c>
      <c r="I733" s="26">
        <f t="shared" si="346"/>
        <v>1.96</v>
      </c>
      <c r="J733" s="64" t="e">
        <f>IF(B733&lt;&gt;0,VLOOKUP(B733,#REF!,4,FALSE),"")</f>
        <v>#REF!</v>
      </c>
      <c r="K733" s="362" t="s">
        <v>1862</v>
      </c>
      <c r="L733" s="65">
        <f t="shared" si="347"/>
        <v>-0.27299999999999991</v>
      </c>
      <c r="M733" s="65">
        <f t="shared" si="348"/>
        <v>1.5470000000000002</v>
      </c>
      <c r="N733" s="65"/>
      <c r="O733" s="65">
        <f t="shared" si="349"/>
        <v>1.96</v>
      </c>
      <c r="P733" s="65" t="e">
        <f>IF(B733&lt;&gt;0,VLOOKUP(B733,#REF!,2,FALSE),"")</f>
        <v>#REF!</v>
      </c>
      <c r="Q733" s="62">
        <v>10</v>
      </c>
      <c r="R733" s="62">
        <f t="shared" si="341"/>
        <v>9</v>
      </c>
      <c r="AD733" s="221"/>
      <c r="AE733" s="481"/>
      <c r="AF733" s="481"/>
      <c r="AG733" s="481"/>
      <c r="AH733" s="481"/>
      <c r="AI733" s="873">
        <f t="shared" si="351"/>
        <v>1.72</v>
      </c>
      <c r="AJ733" s="26">
        <f t="shared" si="350"/>
        <v>2.1800000000000002</v>
      </c>
      <c r="AK733" s="26">
        <f t="shared" si="352"/>
        <v>2.1800000000000002</v>
      </c>
      <c r="AL733" s="224"/>
    </row>
    <row r="734" spans="1:38" s="62" customFormat="1" ht="45">
      <c r="A734" s="250" t="s">
        <v>3598</v>
      </c>
      <c r="B734" s="24">
        <v>1577</v>
      </c>
      <c r="C734" s="470" t="s">
        <v>3753</v>
      </c>
      <c r="D734" s="25" t="s">
        <v>12</v>
      </c>
      <c r="E734" s="25" t="s">
        <v>17</v>
      </c>
      <c r="F734" s="26">
        <v>10</v>
      </c>
      <c r="G734" s="26">
        <f t="shared" si="344"/>
        <v>2.4055</v>
      </c>
      <c r="H734" s="26">
        <f t="shared" si="345"/>
        <v>3.05</v>
      </c>
      <c r="I734" s="26">
        <f t="shared" si="346"/>
        <v>30.5</v>
      </c>
      <c r="J734" s="64" t="e">
        <f>IF(B734&lt;&gt;0,VLOOKUP(B734,#REF!,4,FALSE),"")</f>
        <v>#REF!</v>
      </c>
      <c r="K734" s="362" t="s">
        <v>1895</v>
      </c>
      <c r="L734" s="65">
        <f t="shared" si="347"/>
        <v>-0.4245000000000001</v>
      </c>
      <c r="M734" s="65">
        <f t="shared" si="348"/>
        <v>24.055</v>
      </c>
      <c r="N734" s="65"/>
      <c r="O734" s="65">
        <f t="shared" si="349"/>
        <v>30.5</v>
      </c>
      <c r="P734" s="65" t="e">
        <f>IF(B734&lt;&gt;0,VLOOKUP(B734,#REF!,2,FALSE),"")</f>
        <v>#REF!</v>
      </c>
      <c r="Q734" s="62">
        <v>1</v>
      </c>
      <c r="R734" s="62">
        <f t="shared" si="341"/>
        <v>-9</v>
      </c>
      <c r="AD734" s="221"/>
      <c r="AE734" s="481"/>
      <c r="AF734" s="481"/>
      <c r="AG734" s="481"/>
      <c r="AH734" s="481"/>
      <c r="AI734" s="873">
        <f t="shared" si="351"/>
        <v>2.68</v>
      </c>
      <c r="AJ734" s="26">
        <f t="shared" si="350"/>
        <v>3.4</v>
      </c>
      <c r="AK734" s="26">
        <f t="shared" si="352"/>
        <v>34</v>
      </c>
      <c r="AL734" s="224"/>
    </row>
    <row r="735" spans="1:38" s="62" customFormat="1" ht="45">
      <c r="A735" s="250" t="s">
        <v>3599</v>
      </c>
      <c r="B735" s="24">
        <v>1578</v>
      </c>
      <c r="C735" s="470" t="s">
        <v>3752</v>
      </c>
      <c r="D735" s="25" t="s">
        <v>12</v>
      </c>
      <c r="E735" s="25" t="s">
        <v>17</v>
      </c>
      <c r="F735" s="26">
        <v>1</v>
      </c>
      <c r="G735" s="26">
        <f t="shared" si="344"/>
        <v>4.1820000000000004</v>
      </c>
      <c r="H735" s="26">
        <f t="shared" si="345"/>
        <v>5.3</v>
      </c>
      <c r="I735" s="26">
        <f t="shared" si="346"/>
        <v>5.3</v>
      </c>
      <c r="J735" s="64" t="e">
        <f>IF(B735&lt;&gt;0,VLOOKUP(B735,#REF!,4,FALSE),"")</f>
        <v>#REF!</v>
      </c>
      <c r="K735" s="362" t="s">
        <v>3144</v>
      </c>
      <c r="L735" s="65">
        <f t="shared" si="347"/>
        <v>-0.73799999999999955</v>
      </c>
      <c r="M735" s="65">
        <f t="shared" si="348"/>
        <v>4.1820000000000004</v>
      </c>
      <c r="N735" s="65"/>
      <c r="O735" s="65">
        <f t="shared" si="349"/>
        <v>5.3</v>
      </c>
      <c r="P735" s="65" t="e">
        <f>IF(B735&lt;&gt;0,VLOOKUP(B735,#REF!,2,FALSE),"")</f>
        <v>#REF!</v>
      </c>
      <c r="Q735" s="62">
        <v>10</v>
      </c>
      <c r="R735" s="62">
        <f t="shared" si="341"/>
        <v>9</v>
      </c>
      <c r="AD735" s="221"/>
      <c r="AE735" s="481"/>
      <c r="AF735" s="481"/>
      <c r="AG735" s="481"/>
      <c r="AH735" s="481"/>
      <c r="AI735" s="873">
        <f t="shared" si="351"/>
        <v>4.66</v>
      </c>
      <c r="AJ735" s="26">
        <f t="shared" si="350"/>
        <v>5.91</v>
      </c>
      <c r="AK735" s="26">
        <f t="shared" si="352"/>
        <v>5.91</v>
      </c>
      <c r="AL735" s="224"/>
    </row>
    <row r="736" spans="1:38" s="62" customFormat="1" ht="45">
      <c r="A736" s="25" t="s">
        <v>2873</v>
      </c>
      <c r="B736" s="24">
        <v>1580</v>
      </c>
      <c r="C736" s="470" t="s">
        <v>3763</v>
      </c>
      <c r="D736" s="25" t="s">
        <v>12</v>
      </c>
      <c r="E736" s="25" t="s">
        <v>17</v>
      </c>
      <c r="F736" s="26">
        <v>10</v>
      </c>
      <c r="G736" s="26">
        <f t="shared" si="344"/>
        <v>6.4175000000000004</v>
      </c>
      <c r="H736" s="26">
        <f t="shared" si="345"/>
        <v>8.14</v>
      </c>
      <c r="I736" s="26">
        <f t="shared" si="346"/>
        <v>81.400000000000006</v>
      </c>
      <c r="J736" s="64" t="e">
        <f>IF(B736&lt;&gt;0,VLOOKUP(B736,#REF!,4,FALSE),"")</f>
        <v>#REF!</v>
      </c>
      <c r="K736" s="362" t="s">
        <v>3158</v>
      </c>
      <c r="L736" s="65">
        <f t="shared" si="347"/>
        <v>-1.1324999999999994</v>
      </c>
      <c r="M736" s="65">
        <f t="shared" si="348"/>
        <v>64.175000000000011</v>
      </c>
      <c r="N736" s="65"/>
      <c r="O736" s="65">
        <f t="shared" si="349"/>
        <v>81.400000000000006</v>
      </c>
      <c r="P736" s="65" t="e">
        <f>IF(B736&lt;&gt;0,VLOOKUP(B736,#REF!,2,FALSE),"")</f>
        <v>#REF!</v>
      </c>
      <c r="Q736" s="62">
        <v>2</v>
      </c>
      <c r="R736" s="62">
        <f t="shared" si="341"/>
        <v>-8</v>
      </c>
      <c r="AD736" s="221"/>
      <c r="AE736" s="481"/>
      <c r="AF736" s="481"/>
      <c r="AG736" s="481"/>
      <c r="AH736" s="481"/>
      <c r="AI736" s="873">
        <f t="shared" si="351"/>
        <v>7.15</v>
      </c>
      <c r="AJ736" s="26">
        <f t="shared" si="350"/>
        <v>9.07</v>
      </c>
      <c r="AK736" s="26">
        <f t="shared" si="352"/>
        <v>90.7</v>
      </c>
      <c r="AL736" s="224"/>
    </row>
    <row r="737" spans="1:38" s="62" customFormat="1" ht="45">
      <c r="A737" s="25" t="s">
        <v>2874</v>
      </c>
      <c r="B737" s="24">
        <v>91930</v>
      </c>
      <c r="C737" s="23" t="s">
        <v>1731</v>
      </c>
      <c r="D737" s="25" t="s">
        <v>12</v>
      </c>
      <c r="E737" s="25" t="s">
        <v>52</v>
      </c>
      <c r="F737" s="26">
        <v>2</v>
      </c>
      <c r="G737" s="26">
        <f t="shared" si="344"/>
        <v>7.0379999999999994</v>
      </c>
      <c r="H737" s="26">
        <f t="shared" si="345"/>
        <v>8.92</v>
      </c>
      <c r="I737" s="26">
        <f t="shared" si="346"/>
        <v>17.84</v>
      </c>
      <c r="J737" s="65" t="e">
        <f>IF(B737&lt;&gt;0,VLOOKUP(B737,#REF!,4,FALSE),"")</f>
        <v>#REF!</v>
      </c>
      <c r="K737" s="362" t="s">
        <v>3113</v>
      </c>
      <c r="L737" s="65">
        <f t="shared" si="347"/>
        <v>-1.242</v>
      </c>
      <c r="M737" s="65">
        <f t="shared" si="348"/>
        <v>14.075999999999999</v>
      </c>
      <c r="N737" s="65"/>
      <c r="O737" s="65">
        <f t="shared" si="349"/>
        <v>17.84</v>
      </c>
      <c r="P737" s="65" t="e">
        <f>IF(B737&lt;&gt;0,VLOOKUP(B737,#REF!,2,FALSE),"")</f>
        <v>#REF!</v>
      </c>
      <c r="R737" s="62">
        <f t="shared" si="341"/>
        <v>-2</v>
      </c>
      <c r="AD737" s="221"/>
      <c r="AE737" s="481"/>
      <c r="AF737" s="481"/>
      <c r="AG737" s="481"/>
      <c r="AH737" s="481"/>
      <c r="AI737" s="873">
        <f t="shared" si="351"/>
        <v>7.84</v>
      </c>
      <c r="AJ737" s="26">
        <f t="shared" si="350"/>
        <v>9.94</v>
      </c>
      <c r="AK737" s="26">
        <f t="shared" si="352"/>
        <v>19.88</v>
      </c>
      <c r="AL737" s="224"/>
    </row>
    <row r="738" spans="1:38" s="62" customFormat="1">
      <c r="A738" s="77" t="s">
        <v>2875</v>
      </c>
      <c r="B738" s="139"/>
      <c r="C738" s="139" t="s">
        <v>2876</v>
      </c>
      <c r="D738" s="341"/>
      <c r="E738" s="341"/>
      <c r="F738" s="341"/>
      <c r="G738" s="26"/>
      <c r="H738" s="341"/>
      <c r="I738" s="96"/>
      <c r="J738" s="65" t="str">
        <f>IF(B738&lt;&gt;0,VLOOKUP(B738,#REF!,4,FALSE),"")</f>
        <v/>
      </c>
      <c r="K738" s="362" t="s">
        <v>1892</v>
      </c>
      <c r="L738" s="65"/>
      <c r="M738" s="65">
        <f t="shared" si="348"/>
        <v>0</v>
      </c>
      <c r="N738" s="65"/>
      <c r="O738" s="65">
        <f t="shared" si="349"/>
        <v>0</v>
      </c>
      <c r="P738" s="65" t="str">
        <f>IF(B738&lt;&gt;0,VLOOKUP(B738,#REF!,2,FALSE),"")</f>
        <v/>
      </c>
      <c r="Q738" s="62">
        <v>1</v>
      </c>
      <c r="R738" s="62">
        <f t="shared" si="341"/>
        <v>1</v>
      </c>
      <c r="AD738" s="221"/>
      <c r="AE738" s="481"/>
      <c r="AF738" s="481"/>
      <c r="AG738" s="481"/>
      <c r="AH738" s="481"/>
      <c r="AI738" s="873"/>
      <c r="AJ738" s="26"/>
      <c r="AK738" s="26"/>
      <c r="AL738" s="224"/>
    </row>
    <row r="739" spans="1:38" s="62" customFormat="1" ht="75">
      <c r="A739" s="250" t="s">
        <v>3600</v>
      </c>
      <c r="B739" s="24">
        <v>101875</v>
      </c>
      <c r="C739" s="470" t="s">
        <v>3769</v>
      </c>
      <c r="D739" s="25" t="s">
        <v>12</v>
      </c>
      <c r="E739" s="25" t="s">
        <v>17</v>
      </c>
      <c r="F739" s="26">
        <v>1</v>
      </c>
      <c r="G739" s="26">
        <f t="shared" si="344"/>
        <v>316.88</v>
      </c>
      <c r="H739" s="26">
        <f t="shared" ref="H739:H749" si="353">ROUND(G739*(1+$J$13),2)</f>
        <v>401.84</v>
      </c>
      <c r="I739" s="26">
        <f t="shared" ref="I739:I749" si="354">ROUND(H739*F739,2)</f>
        <v>401.84</v>
      </c>
      <c r="J739" s="65" t="e">
        <f>IF(B739&lt;&gt;0,VLOOKUP(B739,#REF!,4,FALSE),"")</f>
        <v>#REF!</v>
      </c>
      <c r="K739" s="362" t="s">
        <v>3248</v>
      </c>
      <c r="L739" s="65">
        <f t="shared" si="347"/>
        <v>-55.920000000000016</v>
      </c>
      <c r="M739" s="65">
        <f t="shared" si="348"/>
        <v>316.88</v>
      </c>
      <c r="N739" s="65"/>
      <c r="O739" s="65">
        <f t="shared" si="349"/>
        <v>401.84</v>
      </c>
      <c r="P739" s="65" t="e">
        <f>IF(B739&lt;&gt;0,VLOOKUP(B739,#REF!,2,FALSE),"")</f>
        <v>#REF!</v>
      </c>
      <c r="Q739" s="62">
        <v>4</v>
      </c>
      <c r="R739" s="62">
        <f t="shared" si="341"/>
        <v>3</v>
      </c>
      <c r="AD739" s="221"/>
      <c r="AE739" s="481"/>
      <c r="AF739" s="481"/>
      <c r="AG739" s="481"/>
      <c r="AH739" s="481"/>
      <c r="AI739" s="873">
        <f t="shared" si="351"/>
        <v>353.01</v>
      </c>
      <c r="AJ739" s="26">
        <f t="shared" si="350"/>
        <v>447.65</v>
      </c>
      <c r="AK739" s="26">
        <f t="shared" si="352"/>
        <v>447.65</v>
      </c>
      <c r="AL739" s="224"/>
    </row>
    <row r="740" spans="1:38" s="62" customFormat="1" ht="30">
      <c r="A740" s="25" t="s">
        <v>2877</v>
      </c>
      <c r="B740" s="24">
        <v>9041</v>
      </c>
      <c r="C740" s="23" t="s">
        <v>1927</v>
      </c>
      <c r="D740" s="25" t="s">
        <v>44</v>
      </c>
      <c r="E740" s="25" t="s">
        <v>17</v>
      </c>
      <c r="F740" s="26">
        <v>4</v>
      </c>
      <c r="G740" s="26">
        <f t="shared" si="344"/>
        <v>97.393000000000001</v>
      </c>
      <c r="H740" s="26">
        <f t="shared" si="353"/>
        <v>123.5</v>
      </c>
      <c r="I740" s="26">
        <f t="shared" si="354"/>
        <v>494</v>
      </c>
      <c r="J740" s="65">
        <f>'COMPOSIÇÃO DE CUSTOS'!G1869</f>
        <v>97.39</v>
      </c>
      <c r="K740" s="362">
        <v>114.58</v>
      </c>
      <c r="L740" s="65">
        <f t="shared" si="347"/>
        <v>-17.186999999999998</v>
      </c>
      <c r="M740" s="65">
        <f t="shared" si="348"/>
        <v>389.572</v>
      </c>
      <c r="N740" s="65"/>
      <c r="O740" s="65">
        <f t="shared" si="349"/>
        <v>494</v>
      </c>
      <c r="P740" s="65" t="e">
        <f>IF(B740&lt;&gt;0,VLOOKUP(B740,#REF!,2,FALSE),"")</f>
        <v>#REF!</v>
      </c>
      <c r="Q740" s="62">
        <v>2</v>
      </c>
      <c r="R740" s="62">
        <f t="shared" si="341"/>
        <v>-2</v>
      </c>
      <c r="AD740" s="221"/>
      <c r="AE740" s="481"/>
      <c r="AF740" s="481"/>
      <c r="AG740" s="481"/>
      <c r="AH740" s="481"/>
      <c r="AI740" s="873">
        <f t="shared" si="351"/>
        <v>108.5</v>
      </c>
      <c r="AJ740" s="26">
        <f t="shared" si="350"/>
        <v>137.59</v>
      </c>
      <c r="AK740" s="26">
        <f t="shared" si="352"/>
        <v>550.36</v>
      </c>
      <c r="AL740" s="224"/>
    </row>
    <row r="741" spans="1:38" s="62" customFormat="1" ht="45">
      <c r="A741" s="25" t="s">
        <v>2878</v>
      </c>
      <c r="B741" s="24">
        <v>93654</v>
      </c>
      <c r="C741" s="23" t="s">
        <v>1730</v>
      </c>
      <c r="D741" s="25" t="s">
        <v>12</v>
      </c>
      <c r="E741" s="25" t="s">
        <v>17</v>
      </c>
      <c r="F741" s="26">
        <v>2</v>
      </c>
      <c r="G741" s="26">
        <f t="shared" si="344"/>
        <v>9.6050000000000004</v>
      </c>
      <c r="H741" s="26">
        <f t="shared" si="353"/>
        <v>12.18</v>
      </c>
      <c r="I741" s="26">
        <f t="shared" si="354"/>
        <v>24.36</v>
      </c>
      <c r="J741" s="65" t="e">
        <f>IF(B741&lt;&gt;0,VLOOKUP(B741,#REF!,4,FALSE),"")</f>
        <v>#REF!</v>
      </c>
      <c r="K741" s="362" t="s">
        <v>3243</v>
      </c>
      <c r="L741" s="65">
        <f t="shared" si="347"/>
        <v>-1.6950000000000003</v>
      </c>
      <c r="M741" s="65">
        <f t="shared" si="348"/>
        <v>19.21</v>
      </c>
      <c r="N741" s="65"/>
      <c r="O741" s="65">
        <f t="shared" si="349"/>
        <v>24.36</v>
      </c>
      <c r="P741" s="65" t="e">
        <f>IF(B741&lt;&gt;0,VLOOKUP(B741,#REF!,2,FALSE),"")</f>
        <v>#REF!</v>
      </c>
      <c r="Q741" s="62">
        <v>1</v>
      </c>
      <c r="R741" s="62">
        <f t="shared" si="341"/>
        <v>-1</v>
      </c>
      <c r="AD741" s="221"/>
      <c r="AE741" s="481"/>
      <c r="AF741" s="481"/>
      <c r="AG741" s="481"/>
      <c r="AH741" s="481"/>
      <c r="AI741" s="873">
        <f t="shared" si="351"/>
        <v>10.7</v>
      </c>
      <c r="AJ741" s="26">
        <f t="shared" si="350"/>
        <v>13.57</v>
      </c>
      <c r="AK741" s="26">
        <f t="shared" si="352"/>
        <v>27.14</v>
      </c>
      <c r="AL741" s="224"/>
    </row>
    <row r="742" spans="1:38" s="62" customFormat="1" ht="45">
      <c r="A742" s="25" t="s">
        <v>2879</v>
      </c>
      <c r="B742" s="24">
        <v>93655</v>
      </c>
      <c r="C742" s="23" t="s">
        <v>2856</v>
      </c>
      <c r="D742" s="25" t="s">
        <v>12</v>
      </c>
      <c r="E742" s="25" t="s">
        <v>17</v>
      </c>
      <c r="F742" s="26">
        <v>1</v>
      </c>
      <c r="G742" s="26">
        <f t="shared" si="344"/>
        <v>10.3445</v>
      </c>
      <c r="H742" s="26">
        <f t="shared" si="353"/>
        <v>13.12</v>
      </c>
      <c r="I742" s="26">
        <f t="shared" si="354"/>
        <v>13.12</v>
      </c>
      <c r="J742" s="65" t="e">
        <f>IF(B742&lt;&gt;0,VLOOKUP(B742,#REF!,4,FALSE),"")</f>
        <v>#REF!</v>
      </c>
      <c r="K742" s="362" t="s">
        <v>1879</v>
      </c>
      <c r="L742" s="65">
        <f t="shared" si="347"/>
        <v>-1.8254999999999999</v>
      </c>
      <c r="M742" s="65">
        <f t="shared" si="348"/>
        <v>10.3445</v>
      </c>
      <c r="N742" s="65"/>
      <c r="O742" s="65">
        <f t="shared" si="349"/>
        <v>13.12</v>
      </c>
      <c r="P742" s="65" t="e">
        <f>IF(B742&lt;&gt;0,VLOOKUP(B742,#REF!,2,FALSE),"")</f>
        <v>#REF!</v>
      </c>
      <c r="Q742" s="62">
        <v>1</v>
      </c>
      <c r="R742" s="62">
        <f t="shared" si="341"/>
        <v>0</v>
      </c>
      <c r="AD742" s="221"/>
      <c r="AE742" s="481"/>
      <c r="AF742" s="481"/>
      <c r="AG742" s="481"/>
      <c r="AH742" s="481"/>
      <c r="AI742" s="873">
        <f t="shared" si="351"/>
        <v>11.52</v>
      </c>
      <c r="AJ742" s="26">
        <f t="shared" si="350"/>
        <v>14.61</v>
      </c>
      <c r="AK742" s="26">
        <f t="shared" si="352"/>
        <v>14.61</v>
      </c>
      <c r="AL742" s="224"/>
    </row>
    <row r="743" spans="1:38" s="62" customFormat="1" ht="45">
      <c r="A743" s="25" t="s">
        <v>2880</v>
      </c>
      <c r="B743" s="24">
        <v>93671</v>
      </c>
      <c r="C743" s="23" t="s">
        <v>1733</v>
      </c>
      <c r="D743" s="25" t="s">
        <v>12</v>
      </c>
      <c r="E743" s="25" t="s">
        <v>17</v>
      </c>
      <c r="F743" s="26">
        <v>1</v>
      </c>
      <c r="G743" s="26">
        <f t="shared" si="344"/>
        <v>64.021999999999991</v>
      </c>
      <c r="H743" s="26">
        <f t="shared" si="353"/>
        <v>81.19</v>
      </c>
      <c r="I743" s="26">
        <f t="shared" si="354"/>
        <v>81.19</v>
      </c>
      <c r="J743" s="65" t="e">
        <f>IF(B743&lt;&gt;0,VLOOKUP(B743,#REF!,4,FALSE),"")</f>
        <v>#REF!</v>
      </c>
      <c r="K743" s="362" t="s">
        <v>3181</v>
      </c>
      <c r="L743" s="65">
        <f t="shared" si="347"/>
        <v>-11.298000000000002</v>
      </c>
      <c r="M743" s="65">
        <f t="shared" si="348"/>
        <v>64.021999999999991</v>
      </c>
      <c r="N743" s="65"/>
      <c r="O743" s="65">
        <f t="shared" si="349"/>
        <v>81.19</v>
      </c>
      <c r="P743" s="65" t="e">
        <f>IF(B743&lt;&gt;0,VLOOKUP(B743,#REF!,2,FALSE),"")</f>
        <v>#REF!</v>
      </c>
      <c r="Q743" s="62">
        <v>1</v>
      </c>
      <c r="R743" s="62">
        <f t="shared" si="341"/>
        <v>0</v>
      </c>
      <c r="AD743" s="221"/>
      <c r="AE743" s="481"/>
      <c r="AF743" s="481"/>
      <c r="AG743" s="481"/>
      <c r="AH743" s="481"/>
      <c r="AI743" s="873">
        <f t="shared" si="351"/>
        <v>71.319999999999993</v>
      </c>
      <c r="AJ743" s="26">
        <f t="shared" si="350"/>
        <v>90.44</v>
      </c>
      <c r="AK743" s="26">
        <f t="shared" si="352"/>
        <v>90.44</v>
      </c>
      <c r="AL743" s="224"/>
    </row>
    <row r="744" spans="1:38" s="62" customFormat="1" ht="45">
      <c r="A744" s="25" t="s">
        <v>2881</v>
      </c>
      <c r="B744" s="24">
        <v>93672</v>
      </c>
      <c r="C744" s="23" t="s">
        <v>1734</v>
      </c>
      <c r="D744" s="25" t="s">
        <v>12</v>
      </c>
      <c r="E744" s="25" t="s">
        <v>17</v>
      </c>
      <c r="F744" s="26">
        <v>1</v>
      </c>
      <c r="G744" s="26">
        <f t="shared" si="344"/>
        <v>67.915000000000006</v>
      </c>
      <c r="H744" s="26">
        <f t="shared" si="353"/>
        <v>86.12</v>
      </c>
      <c r="I744" s="26">
        <f t="shared" si="354"/>
        <v>86.12</v>
      </c>
      <c r="J744" s="65" t="e">
        <f>IF(B744&lt;&gt;0,VLOOKUP(B744,#REF!,4,FALSE),"")</f>
        <v>#REF!</v>
      </c>
      <c r="K744" s="362" t="s">
        <v>3246</v>
      </c>
      <c r="L744" s="65">
        <f t="shared" si="347"/>
        <v>-11.984999999999999</v>
      </c>
      <c r="M744" s="65">
        <f t="shared" si="348"/>
        <v>67.915000000000006</v>
      </c>
      <c r="N744" s="65"/>
      <c r="O744" s="65">
        <f t="shared" si="349"/>
        <v>86.12</v>
      </c>
      <c r="P744" s="65" t="e">
        <f>IF(B744&lt;&gt;0,VLOOKUP(B744,#REF!,2,FALSE),"")</f>
        <v>#REF!</v>
      </c>
      <c r="Q744" s="62">
        <v>4</v>
      </c>
      <c r="R744" s="62">
        <f t="shared" si="341"/>
        <v>3</v>
      </c>
      <c r="AD744" s="221"/>
      <c r="AE744" s="481"/>
      <c r="AF744" s="481"/>
      <c r="AG744" s="481"/>
      <c r="AH744" s="481"/>
      <c r="AI744" s="873">
        <f t="shared" si="351"/>
        <v>75.66</v>
      </c>
      <c r="AJ744" s="26">
        <f t="shared" si="350"/>
        <v>95.94</v>
      </c>
      <c r="AK744" s="26">
        <f t="shared" si="352"/>
        <v>95.94</v>
      </c>
      <c r="AL744" s="224"/>
    </row>
    <row r="745" spans="1:38" s="62" customFormat="1" ht="45">
      <c r="A745" s="250" t="s">
        <v>3601</v>
      </c>
      <c r="B745" s="24">
        <v>1571</v>
      </c>
      <c r="C745" s="470" t="s">
        <v>3760</v>
      </c>
      <c r="D745" s="25" t="s">
        <v>12</v>
      </c>
      <c r="E745" s="25" t="s">
        <v>17</v>
      </c>
      <c r="F745" s="26">
        <v>4</v>
      </c>
      <c r="G745" s="26">
        <f t="shared" si="344"/>
        <v>1.0114999999999998</v>
      </c>
      <c r="H745" s="26">
        <f t="shared" si="353"/>
        <v>1.28</v>
      </c>
      <c r="I745" s="26">
        <f t="shared" si="354"/>
        <v>5.12</v>
      </c>
      <c r="J745" s="64" t="e">
        <f>IF(B745&lt;&gt;0,VLOOKUP(B745,#REF!,4,FALSE),"")</f>
        <v>#REF!</v>
      </c>
      <c r="K745" s="362" t="s">
        <v>1844</v>
      </c>
      <c r="L745" s="65">
        <f t="shared" si="347"/>
        <v>-0.1785000000000001</v>
      </c>
      <c r="M745" s="65">
        <f t="shared" si="348"/>
        <v>4.0459999999999994</v>
      </c>
      <c r="N745" s="65"/>
      <c r="O745" s="65">
        <f t="shared" si="349"/>
        <v>5.12</v>
      </c>
      <c r="P745" s="65" t="e">
        <f>IF(B745&lt;&gt;0,VLOOKUP(B745,#REF!,2,FALSE),"")</f>
        <v>#REF!</v>
      </c>
      <c r="Q745" s="62">
        <v>22</v>
      </c>
      <c r="R745" s="62">
        <f t="shared" si="341"/>
        <v>18</v>
      </c>
      <c r="AD745" s="221"/>
      <c r="AE745" s="481"/>
      <c r="AF745" s="481"/>
      <c r="AG745" s="481"/>
      <c r="AH745" s="481"/>
      <c r="AI745" s="873">
        <f t="shared" si="351"/>
        <v>1.1299999999999999</v>
      </c>
      <c r="AJ745" s="26">
        <f t="shared" si="350"/>
        <v>1.43</v>
      </c>
      <c r="AK745" s="26">
        <f t="shared" si="352"/>
        <v>5.72</v>
      </c>
      <c r="AL745" s="224"/>
    </row>
    <row r="746" spans="1:38" s="62" customFormat="1" ht="45">
      <c r="A746" s="250" t="s">
        <v>3602</v>
      </c>
      <c r="B746" s="24">
        <v>1573</v>
      </c>
      <c r="C746" s="470" t="s">
        <v>3758</v>
      </c>
      <c r="D746" s="25" t="s">
        <v>12</v>
      </c>
      <c r="E746" s="25" t="s">
        <v>221</v>
      </c>
      <c r="F746" s="26">
        <v>22</v>
      </c>
      <c r="G746" s="26">
        <f t="shared" si="344"/>
        <v>1.1984999999999999</v>
      </c>
      <c r="H746" s="26">
        <f t="shared" si="353"/>
        <v>1.52</v>
      </c>
      <c r="I746" s="26">
        <f t="shared" si="354"/>
        <v>33.44</v>
      </c>
      <c r="J746" s="64" t="e">
        <f>IF(B746&lt;&gt;0,VLOOKUP(B746,#REF!,4,FALSE),"")</f>
        <v>#REF!</v>
      </c>
      <c r="K746" s="362" t="s">
        <v>3191</v>
      </c>
      <c r="L746" s="65">
        <f t="shared" si="347"/>
        <v>-0.21150000000000002</v>
      </c>
      <c r="M746" s="65">
        <f t="shared" si="348"/>
        <v>26.366999999999997</v>
      </c>
      <c r="N746" s="65"/>
      <c r="O746" s="65">
        <f t="shared" si="349"/>
        <v>33.44</v>
      </c>
      <c r="P746" s="65" t="e">
        <f>IF(B746&lt;&gt;0,VLOOKUP(B746,#REF!,2,FALSE),"")</f>
        <v>#REF!</v>
      </c>
      <c r="Q746" s="62">
        <v>1</v>
      </c>
      <c r="R746" s="62">
        <f t="shared" si="341"/>
        <v>-21</v>
      </c>
      <c r="AD746" s="221"/>
      <c r="AE746" s="481"/>
      <c r="AF746" s="481"/>
      <c r="AG746" s="481"/>
      <c r="AH746" s="481"/>
      <c r="AI746" s="873">
        <f t="shared" si="351"/>
        <v>1.34</v>
      </c>
      <c r="AJ746" s="26">
        <f t="shared" si="350"/>
        <v>1.7</v>
      </c>
      <c r="AK746" s="26">
        <f t="shared" si="352"/>
        <v>37.4</v>
      </c>
      <c r="AL746" s="224"/>
    </row>
    <row r="747" spans="1:38" s="62" customFormat="1" ht="45">
      <c r="A747" s="250" t="s">
        <v>3603</v>
      </c>
      <c r="B747" s="24">
        <v>1575</v>
      </c>
      <c r="C747" s="470" t="s">
        <v>3765</v>
      </c>
      <c r="D747" s="25" t="s">
        <v>12</v>
      </c>
      <c r="E747" s="25" t="s">
        <v>17</v>
      </c>
      <c r="F747" s="26">
        <v>1</v>
      </c>
      <c r="G747" s="26">
        <f t="shared" si="344"/>
        <v>1.5470000000000002</v>
      </c>
      <c r="H747" s="26">
        <f t="shared" si="353"/>
        <v>1.96</v>
      </c>
      <c r="I747" s="26">
        <f t="shared" si="354"/>
        <v>1.96</v>
      </c>
      <c r="J747" s="64" t="e">
        <f>IF(B747&lt;&gt;0,VLOOKUP(B747,#REF!,4,FALSE),"")</f>
        <v>#REF!</v>
      </c>
      <c r="K747" s="362" t="s">
        <v>1862</v>
      </c>
      <c r="L747" s="65">
        <f t="shared" si="347"/>
        <v>-0.27299999999999991</v>
      </c>
      <c r="M747" s="65">
        <f t="shared" si="348"/>
        <v>1.5470000000000002</v>
      </c>
      <c r="N747" s="65"/>
      <c r="O747" s="65">
        <f t="shared" si="349"/>
        <v>1.96</v>
      </c>
      <c r="P747" s="65" t="e">
        <f>IF(B747&lt;&gt;0,VLOOKUP(B747,#REF!,2,FALSE),"")</f>
        <v>#REF!</v>
      </c>
      <c r="Q747" s="62">
        <v>10</v>
      </c>
      <c r="R747" s="62">
        <f t="shared" si="341"/>
        <v>9</v>
      </c>
      <c r="AD747" s="221"/>
      <c r="AE747" s="481"/>
      <c r="AF747" s="481"/>
      <c r="AG747" s="481"/>
      <c r="AH747" s="481"/>
      <c r="AI747" s="873">
        <f t="shared" si="351"/>
        <v>1.72</v>
      </c>
      <c r="AJ747" s="26">
        <f t="shared" si="350"/>
        <v>2.1800000000000002</v>
      </c>
      <c r="AK747" s="26">
        <f t="shared" si="352"/>
        <v>2.1800000000000002</v>
      </c>
      <c r="AL747" s="224"/>
    </row>
    <row r="748" spans="1:38" s="62" customFormat="1" ht="45">
      <c r="A748" s="250" t="s">
        <v>3604</v>
      </c>
      <c r="B748" s="24">
        <v>1576</v>
      </c>
      <c r="C748" s="470" t="s">
        <v>3778</v>
      </c>
      <c r="D748" s="25" t="s">
        <v>12</v>
      </c>
      <c r="E748" s="25" t="s">
        <v>17</v>
      </c>
      <c r="F748" s="26">
        <v>10</v>
      </c>
      <c r="G748" s="26">
        <f t="shared" si="344"/>
        <v>2.1334999999999997</v>
      </c>
      <c r="H748" s="26">
        <f t="shared" si="353"/>
        <v>2.71</v>
      </c>
      <c r="I748" s="26">
        <f t="shared" si="354"/>
        <v>27.1</v>
      </c>
      <c r="J748" s="65" t="e">
        <f>IF(B748&lt;&gt;0,VLOOKUP(B748,#REF!,4,FALSE),"")</f>
        <v>#REF!</v>
      </c>
      <c r="K748" s="362" t="s">
        <v>3142</v>
      </c>
      <c r="L748" s="65">
        <f t="shared" si="347"/>
        <v>-0.37650000000000006</v>
      </c>
      <c r="M748" s="65">
        <f t="shared" si="348"/>
        <v>21.334999999999997</v>
      </c>
      <c r="N748" s="65"/>
      <c r="O748" s="65">
        <f t="shared" si="349"/>
        <v>27.1</v>
      </c>
      <c r="P748" s="65" t="e">
        <f>IF(B748&lt;&gt;0,VLOOKUP(B748,#REF!,2,FALSE),"")</f>
        <v>#REF!</v>
      </c>
      <c r="Q748" s="62">
        <v>2</v>
      </c>
      <c r="R748" s="62">
        <f t="shared" si="341"/>
        <v>-8</v>
      </c>
      <c r="AD748" s="221"/>
      <c r="AE748" s="481"/>
      <c r="AF748" s="481"/>
      <c r="AG748" s="481"/>
      <c r="AH748" s="481"/>
      <c r="AI748" s="873">
        <f t="shared" si="351"/>
        <v>2.38</v>
      </c>
      <c r="AJ748" s="26">
        <f t="shared" si="350"/>
        <v>3.02</v>
      </c>
      <c r="AK748" s="26">
        <f t="shared" si="352"/>
        <v>30.2</v>
      </c>
      <c r="AL748" s="224"/>
    </row>
    <row r="749" spans="1:38" s="62" customFormat="1" ht="45">
      <c r="A749" s="25" t="s">
        <v>2882</v>
      </c>
      <c r="B749" s="24">
        <v>91930</v>
      </c>
      <c r="C749" s="23" t="s">
        <v>1731</v>
      </c>
      <c r="D749" s="25" t="s">
        <v>12</v>
      </c>
      <c r="E749" s="25" t="s">
        <v>52</v>
      </c>
      <c r="F749" s="26">
        <v>2</v>
      </c>
      <c r="G749" s="26">
        <f t="shared" si="344"/>
        <v>7.0379999999999994</v>
      </c>
      <c r="H749" s="26">
        <f t="shared" si="353"/>
        <v>8.92</v>
      </c>
      <c r="I749" s="26">
        <f t="shared" si="354"/>
        <v>17.84</v>
      </c>
      <c r="J749" s="65" t="e">
        <f>IF(B749&lt;&gt;0,VLOOKUP(B749,#REF!,4,FALSE),"")</f>
        <v>#REF!</v>
      </c>
      <c r="K749" s="362" t="s">
        <v>3113</v>
      </c>
      <c r="L749" s="65">
        <f t="shared" si="347"/>
        <v>-1.242</v>
      </c>
      <c r="M749" s="65">
        <f t="shared" si="348"/>
        <v>14.075999999999999</v>
      </c>
      <c r="N749" s="65"/>
      <c r="O749" s="65">
        <f t="shared" si="349"/>
        <v>17.84</v>
      </c>
      <c r="P749" s="65" t="e">
        <f>IF(B749&lt;&gt;0,VLOOKUP(B749,#REF!,2,FALSE),"")</f>
        <v>#REF!</v>
      </c>
      <c r="R749" s="62">
        <f t="shared" si="341"/>
        <v>-2</v>
      </c>
      <c r="AD749" s="221"/>
      <c r="AE749" s="481"/>
      <c r="AF749" s="481"/>
      <c r="AG749" s="481"/>
      <c r="AH749" s="481"/>
      <c r="AI749" s="873">
        <f t="shared" si="351"/>
        <v>7.84</v>
      </c>
      <c r="AJ749" s="26">
        <f t="shared" si="350"/>
        <v>9.94</v>
      </c>
      <c r="AK749" s="26">
        <f t="shared" si="352"/>
        <v>19.88</v>
      </c>
      <c r="AL749" s="224"/>
    </row>
    <row r="750" spans="1:38" s="62" customFormat="1">
      <c r="A750" s="77" t="s">
        <v>2883</v>
      </c>
      <c r="B750" s="139"/>
      <c r="C750" s="139" t="s">
        <v>2884</v>
      </c>
      <c r="D750" s="341"/>
      <c r="E750" s="341"/>
      <c r="F750" s="341"/>
      <c r="G750" s="26"/>
      <c r="H750" s="341"/>
      <c r="I750" s="96"/>
      <c r="J750" s="65" t="str">
        <f>IF(B750&lt;&gt;0,VLOOKUP(B750,#REF!,4,FALSE),"")</f>
        <v/>
      </c>
      <c r="K750" s="362" t="s">
        <v>1892</v>
      </c>
      <c r="L750" s="65"/>
      <c r="M750" s="65">
        <f t="shared" si="348"/>
        <v>0</v>
      </c>
      <c r="N750" s="65"/>
      <c r="O750" s="65">
        <f t="shared" si="349"/>
        <v>0</v>
      </c>
      <c r="P750" s="65" t="str">
        <f>IF(B750&lt;&gt;0,VLOOKUP(B750,#REF!,2,FALSE),"")</f>
        <v/>
      </c>
      <c r="Q750" s="62">
        <v>1</v>
      </c>
      <c r="R750" s="62">
        <f t="shared" si="341"/>
        <v>1</v>
      </c>
      <c r="AD750" s="221"/>
      <c r="AE750" s="481"/>
      <c r="AF750" s="481"/>
      <c r="AG750" s="481"/>
      <c r="AH750" s="481"/>
      <c r="AI750" s="873"/>
      <c r="AJ750" s="26"/>
      <c r="AK750" s="26"/>
      <c r="AL750" s="224"/>
    </row>
    <row r="751" spans="1:38" s="62" customFormat="1" ht="75">
      <c r="A751" s="250" t="s">
        <v>3605</v>
      </c>
      <c r="B751" s="24">
        <v>101875</v>
      </c>
      <c r="C751" s="470" t="s">
        <v>3769</v>
      </c>
      <c r="D751" s="25" t="s">
        <v>12</v>
      </c>
      <c r="E751" s="25" t="s">
        <v>17</v>
      </c>
      <c r="F751" s="26">
        <v>1</v>
      </c>
      <c r="G751" s="26">
        <f t="shared" si="344"/>
        <v>316.88</v>
      </c>
      <c r="H751" s="26">
        <f t="shared" ref="H751:H764" si="355">ROUND(G751*(1+$J$13),2)</f>
        <v>401.84</v>
      </c>
      <c r="I751" s="26">
        <f t="shared" ref="I751:I764" si="356">ROUND(H751*F751,2)</f>
        <v>401.84</v>
      </c>
      <c r="J751" s="65" t="e">
        <f>IF(B751&lt;&gt;0,VLOOKUP(B751,#REF!,4,FALSE),"")</f>
        <v>#REF!</v>
      </c>
      <c r="K751" s="362" t="s">
        <v>3248</v>
      </c>
      <c r="L751" s="65">
        <f t="shared" si="347"/>
        <v>-55.920000000000016</v>
      </c>
      <c r="M751" s="65">
        <f t="shared" si="348"/>
        <v>316.88</v>
      </c>
      <c r="N751" s="65"/>
      <c r="O751" s="65">
        <f t="shared" si="349"/>
        <v>401.84</v>
      </c>
      <c r="P751" s="65" t="e">
        <f>IF(B751&lt;&gt;0,VLOOKUP(B751,#REF!,2,FALSE),"")</f>
        <v>#REF!</v>
      </c>
      <c r="Q751" s="62">
        <v>4</v>
      </c>
      <c r="R751" s="62">
        <f t="shared" si="341"/>
        <v>3</v>
      </c>
      <c r="AD751" s="221"/>
      <c r="AE751" s="481"/>
      <c r="AF751" s="481"/>
      <c r="AG751" s="481"/>
      <c r="AH751" s="481"/>
      <c r="AI751" s="873">
        <f t="shared" si="351"/>
        <v>353.01</v>
      </c>
      <c r="AJ751" s="26">
        <f t="shared" si="350"/>
        <v>447.65</v>
      </c>
      <c r="AK751" s="26">
        <f t="shared" si="352"/>
        <v>447.65</v>
      </c>
      <c r="AL751" s="224"/>
    </row>
    <row r="752" spans="1:38" s="62" customFormat="1" ht="30">
      <c r="A752" s="25" t="s">
        <v>2885</v>
      </c>
      <c r="B752" s="24">
        <v>9041</v>
      </c>
      <c r="C752" s="23" t="s">
        <v>1927</v>
      </c>
      <c r="D752" s="25" t="s">
        <v>44</v>
      </c>
      <c r="E752" s="25" t="s">
        <v>17</v>
      </c>
      <c r="F752" s="26">
        <v>4</v>
      </c>
      <c r="G752" s="26">
        <f t="shared" si="344"/>
        <v>97.393000000000001</v>
      </c>
      <c r="H752" s="26">
        <f t="shared" si="355"/>
        <v>123.5</v>
      </c>
      <c r="I752" s="26">
        <f t="shared" si="356"/>
        <v>494</v>
      </c>
      <c r="J752" s="64">
        <f>'COMPOSIÇÃO DE CUSTOS'!G1869</f>
        <v>97.39</v>
      </c>
      <c r="K752" s="362">
        <v>114.58</v>
      </c>
      <c r="L752" s="65">
        <f t="shared" si="347"/>
        <v>-17.186999999999998</v>
      </c>
      <c r="M752" s="65">
        <f t="shared" si="348"/>
        <v>389.572</v>
      </c>
      <c r="N752" s="65"/>
      <c r="O752" s="65">
        <f t="shared" si="349"/>
        <v>494</v>
      </c>
      <c r="P752" s="65" t="e">
        <f>IF(B752&lt;&gt;0,VLOOKUP(B752,#REF!,2,FALSE),"")</f>
        <v>#REF!</v>
      </c>
      <c r="Q752" s="62">
        <v>1</v>
      </c>
      <c r="R752" s="62">
        <f t="shared" si="341"/>
        <v>-3</v>
      </c>
      <c r="AD752" s="221"/>
      <c r="AE752" s="481"/>
      <c r="AF752" s="481"/>
      <c r="AG752" s="481"/>
      <c r="AH752" s="481"/>
      <c r="AI752" s="873">
        <f t="shared" si="351"/>
        <v>108.5</v>
      </c>
      <c r="AJ752" s="26">
        <f t="shared" si="350"/>
        <v>137.59</v>
      </c>
      <c r="AK752" s="26">
        <f t="shared" si="352"/>
        <v>550.36</v>
      </c>
      <c r="AL752" s="224"/>
    </row>
    <row r="753" spans="1:38" s="62" customFormat="1" ht="30">
      <c r="A753" s="25" t="s">
        <v>2886</v>
      </c>
      <c r="B753" s="24">
        <v>93653</v>
      </c>
      <c r="C753" s="23" t="s">
        <v>1735</v>
      </c>
      <c r="D753" s="25" t="s">
        <v>12</v>
      </c>
      <c r="E753" s="25" t="s">
        <v>17</v>
      </c>
      <c r="F753" s="26">
        <v>1</v>
      </c>
      <c r="G753" s="26">
        <f t="shared" si="344"/>
        <v>9.2735000000000003</v>
      </c>
      <c r="H753" s="26">
        <f t="shared" si="355"/>
        <v>11.76</v>
      </c>
      <c r="I753" s="26">
        <f t="shared" si="356"/>
        <v>11.76</v>
      </c>
      <c r="J753" s="65" t="e">
        <f>IF(B753&lt;&gt;0,VLOOKUP(B753,#REF!,4,FALSE),"")</f>
        <v>#REF!</v>
      </c>
      <c r="K753" s="362" t="s">
        <v>3229</v>
      </c>
      <c r="L753" s="65">
        <f t="shared" si="347"/>
        <v>-1.6364999999999998</v>
      </c>
      <c r="M753" s="65">
        <f t="shared" si="348"/>
        <v>9.2735000000000003</v>
      </c>
      <c r="N753" s="65"/>
      <c r="O753" s="65">
        <f t="shared" si="349"/>
        <v>11.76</v>
      </c>
      <c r="P753" s="65" t="e">
        <f>IF(B753&lt;&gt;0,VLOOKUP(B753,#REF!,2,FALSE),"")</f>
        <v>#REF!</v>
      </c>
      <c r="Q753" s="62">
        <v>3</v>
      </c>
      <c r="R753" s="62">
        <f t="shared" si="341"/>
        <v>2</v>
      </c>
      <c r="AD753" s="221"/>
      <c r="AE753" s="481"/>
      <c r="AF753" s="481"/>
      <c r="AG753" s="481"/>
      <c r="AH753" s="481"/>
      <c r="AI753" s="873">
        <f t="shared" si="351"/>
        <v>10.33</v>
      </c>
      <c r="AJ753" s="26">
        <f t="shared" si="350"/>
        <v>13.1</v>
      </c>
      <c r="AK753" s="26">
        <f t="shared" si="352"/>
        <v>13.1</v>
      </c>
      <c r="AL753" s="224"/>
    </row>
    <row r="754" spans="1:38" s="62" customFormat="1" ht="45">
      <c r="A754" s="25" t="s">
        <v>2887</v>
      </c>
      <c r="B754" s="24">
        <v>93672</v>
      </c>
      <c r="C754" s="23" t="s">
        <v>1734</v>
      </c>
      <c r="D754" s="25" t="s">
        <v>12</v>
      </c>
      <c r="E754" s="25" t="s">
        <v>17</v>
      </c>
      <c r="F754" s="26">
        <v>3</v>
      </c>
      <c r="G754" s="26">
        <f t="shared" si="344"/>
        <v>67.915000000000006</v>
      </c>
      <c r="H754" s="26">
        <f t="shared" si="355"/>
        <v>86.12</v>
      </c>
      <c r="I754" s="26">
        <f t="shared" si="356"/>
        <v>258.36</v>
      </c>
      <c r="J754" s="65" t="e">
        <f>IF(B754&lt;&gt;0,VLOOKUP(B754,#REF!,4,FALSE),"")</f>
        <v>#REF!</v>
      </c>
      <c r="K754" s="362" t="s">
        <v>3246</v>
      </c>
      <c r="L754" s="65">
        <f t="shared" si="347"/>
        <v>-11.984999999999999</v>
      </c>
      <c r="M754" s="65">
        <f t="shared" si="348"/>
        <v>203.745</v>
      </c>
      <c r="N754" s="65"/>
      <c r="O754" s="65">
        <f t="shared" si="349"/>
        <v>258.36</v>
      </c>
      <c r="P754" s="65" t="e">
        <f>IF(B754&lt;&gt;0,VLOOKUP(B754,#REF!,2,FALSE),"")</f>
        <v>#REF!</v>
      </c>
      <c r="Q754" s="62">
        <v>2</v>
      </c>
      <c r="R754" s="62">
        <f t="shared" si="341"/>
        <v>-1</v>
      </c>
      <c r="AD754" s="221"/>
      <c r="AE754" s="481"/>
      <c r="AF754" s="481"/>
      <c r="AG754" s="481"/>
      <c r="AH754" s="481"/>
      <c r="AI754" s="873">
        <f t="shared" si="351"/>
        <v>75.66</v>
      </c>
      <c r="AJ754" s="26">
        <f t="shared" si="350"/>
        <v>95.94</v>
      </c>
      <c r="AK754" s="26">
        <f t="shared" si="352"/>
        <v>287.82</v>
      </c>
      <c r="AL754" s="224"/>
    </row>
    <row r="755" spans="1:38" s="62" customFormat="1">
      <c r="A755" s="25" t="s">
        <v>2888</v>
      </c>
      <c r="B755" s="25" t="s">
        <v>2322</v>
      </c>
      <c r="C755" s="23" t="s">
        <v>277</v>
      </c>
      <c r="D755" s="25" t="s">
        <v>1915</v>
      </c>
      <c r="E755" s="25" t="s">
        <v>17</v>
      </c>
      <c r="F755" s="26">
        <v>2</v>
      </c>
      <c r="G755" s="26">
        <f t="shared" si="344"/>
        <v>100.232</v>
      </c>
      <c r="H755" s="26">
        <f t="shared" si="355"/>
        <v>127.1</v>
      </c>
      <c r="I755" s="26">
        <f t="shared" si="356"/>
        <v>254.2</v>
      </c>
      <c r="J755" s="64">
        <f>'COMPOSIÇÃO DE CUSTOS'!G1413</f>
        <v>100.23</v>
      </c>
      <c r="K755" s="362">
        <v>117.92</v>
      </c>
      <c r="L755" s="65">
        <f t="shared" si="347"/>
        <v>-17.688000000000002</v>
      </c>
      <c r="M755" s="65">
        <f t="shared" si="348"/>
        <v>200.464</v>
      </c>
      <c r="N755" s="65"/>
      <c r="O755" s="65">
        <f t="shared" si="349"/>
        <v>254.2</v>
      </c>
      <c r="P755" s="65" t="e">
        <f>IF(B755&lt;&gt;0,VLOOKUP(B755,#REF!,2,FALSE),"")</f>
        <v>#REF!</v>
      </c>
      <c r="Q755" s="62">
        <v>2</v>
      </c>
      <c r="R755" s="62">
        <f t="shared" si="341"/>
        <v>0</v>
      </c>
      <c r="AD755" s="221"/>
      <c r="AE755" s="481"/>
      <c r="AF755" s="481"/>
      <c r="AG755" s="481"/>
      <c r="AH755" s="481"/>
      <c r="AI755" s="873">
        <f t="shared" si="351"/>
        <v>111.66</v>
      </c>
      <c r="AJ755" s="26">
        <f t="shared" si="350"/>
        <v>141.6</v>
      </c>
      <c r="AK755" s="26">
        <f t="shared" si="352"/>
        <v>283.2</v>
      </c>
      <c r="AL755" s="224"/>
    </row>
    <row r="756" spans="1:38" s="62" customFormat="1">
      <c r="A756" s="25" t="s">
        <v>2889</v>
      </c>
      <c r="B756" s="25" t="s">
        <v>2323</v>
      </c>
      <c r="C756" s="23" t="s">
        <v>278</v>
      </c>
      <c r="D756" s="25" t="s">
        <v>1915</v>
      </c>
      <c r="E756" s="25" t="s">
        <v>17</v>
      </c>
      <c r="F756" s="26">
        <v>2</v>
      </c>
      <c r="G756" s="26">
        <f t="shared" si="344"/>
        <v>113.61949999999999</v>
      </c>
      <c r="H756" s="26">
        <f t="shared" si="355"/>
        <v>144.08000000000001</v>
      </c>
      <c r="I756" s="26">
        <f t="shared" si="356"/>
        <v>288.16000000000003</v>
      </c>
      <c r="J756" s="64">
        <f>'COMPOSIÇÃO DE CUSTOS'!G1420</f>
        <v>113.62</v>
      </c>
      <c r="K756" s="362">
        <v>133.66999999999999</v>
      </c>
      <c r="L756" s="65">
        <f t="shared" si="347"/>
        <v>-20.0505</v>
      </c>
      <c r="M756" s="65">
        <f t="shared" si="348"/>
        <v>227.23899999999998</v>
      </c>
      <c r="N756" s="65"/>
      <c r="O756" s="65">
        <f t="shared" si="349"/>
        <v>288.16000000000003</v>
      </c>
      <c r="P756" s="65" t="e">
        <f>IF(B756&lt;&gt;0,VLOOKUP(B756,#REF!,2,FALSE),"")</f>
        <v>#REF!</v>
      </c>
      <c r="Q756" s="62">
        <v>3</v>
      </c>
      <c r="R756" s="62">
        <f t="shared" si="341"/>
        <v>1</v>
      </c>
      <c r="AD756" s="221"/>
      <c r="AE756" s="481"/>
      <c r="AF756" s="481"/>
      <c r="AG756" s="481"/>
      <c r="AH756" s="481"/>
      <c r="AI756" s="873">
        <f t="shared" si="351"/>
        <v>126.57</v>
      </c>
      <c r="AJ756" s="26">
        <f t="shared" si="350"/>
        <v>160.5</v>
      </c>
      <c r="AK756" s="26">
        <f t="shared" si="352"/>
        <v>321</v>
      </c>
      <c r="AL756" s="224"/>
    </row>
    <row r="757" spans="1:38" s="62" customFormat="1" ht="45">
      <c r="A757" s="25" t="s">
        <v>2890</v>
      </c>
      <c r="B757" s="25" t="s">
        <v>2327</v>
      </c>
      <c r="C757" s="23" t="s">
        <v>279</v>
      </c>
      <c r="D757" s="25" t="s">
        <v>1915</v>
      </c>
      <c r="E757" s="25" t="s">
        <v>17</v>
      </c>
      <c r="F757" s="26">
        <v>3</v>
      </c>
      <c r="G757" s="26">
        <f t="shared" si="344"/>
        <v>597.32899999999995</v>
      </c>
      <c r="H757" s="26">
        <f t="shared" si="355"/>
        <v>757.47</v>
      </c>
      <c r="I757" s="26">
        <f t="shared" si="356"/>
        <v>2272.41</v>
      </c>
      <c r="J757" s="64">
        <f>'COMPOSIÇÃO DE CUSTOS'!G1428</f>
        <v>597.33000000000004</v>
      </c>
      <c r="K757" s="362">
        <v>702.74</v>
      </c>
      <c r="L757" s="65">
        <f t="shared" si="347"/>
        <v>-105.41100000000006</v>
      </c>
      <c r="M757" s="65">
        <f t="shared" si="348"/>
        <v>1791.9869999999999</v>
      </c>
      <c r="N757" s="65"/>
      <c r="O757" s="65">
        <f t="shared" si="349"/>
        <v>2272.41</v>
      </c>
      <c r="P757" s="65" t="e">
        <f>IF(B757&lt;&gt;0,VLOOKUP(B757,#REF!,2,FALSE),"")</f>
        <v>#REF!</v>
      </c>
      <c r="Q757" s="62">
        <v>1</v>
      </c>
      <c r="R757" s="62">
        <f t="shared" si="341"/>
        <v>-2</v>
      </c>
      <c r="AD757" s="221"/>
      <c r="AE757" s="481"/>
      <c r="AF757" s="481"/>
      <c r="AG757" s="481"/>
      <c r="AH757" s="481"/>
      <c r="AI757" s="873">
        <f t="shared" si="351"/>
        <v>665.43</v>
      </c>
      <c r="AJ757" s="26">
        <f t="shared" si="350"/>
        <v>843.83</v>
      </c>
      <c r="AK757" s="26">
        <f t="shared" si="352"/>
        <v>2531.4899999999998</v>
      </c>
      <c r="AL757" s="224"/>
    </row>
    <row r="758" spans="1:38" s="62" customFormat="1" ht="30">
      <c r="A758" s="25" t="s">
        <v>2891</v>
      </c>
      <c r="B758" s="24">
        <v>64355</v>
      </c>
      <c r="C758" s="23" t="s">
        <v>280</v>
      </c>
      <c r="D758" s="25" t="s">
        <v>1915</v>
      </c>
      <c r="E758" s="25" t="s">
        <v>17</v>
      </c>
      <c r="F758" s="26">
        <v>1</v>
      </c>
      <c r="G758" s="26">
        <f t="shared" si="344"/>
        <v>182.55450000000002</v>
      </c>
      <c r="H758" s="26">
        <f t="shared" si="355"/>
        <v>231.5</v>
      </c>
      <c r="I758" s="26">
        <f t="shared" si="356"/>
        <v>231.5</v>
      </c>
      <c r="J758" s="64">
        <f>'COMPOSIÇÃO DE CUSTOS'!G1435</f>
        <v>182.56</v>
      </c>
      <c r="K758" s="362">
        <v>214.77</v>
      </c>
      <c r="L758" s="65">
        <f t="shared" si="347"/>
        <v>-32.215499999999992</v>
      </c>
      <c r="M758" s="65">
        <f t="shared" si="348"/>
        <v>182.55450000000002</v>
      </c>
      <c r="N758" s="65"/>
      <c r="O758" s="65">
        <f t="shared" si="349"/>
        <v>231.5</v>
      </c>
      <c r="P758" s="65" t="e">
        <f>IF(B758&lt;&gt;0,VLOOKUP(B758,#REF!,2,FALSE),"")</f>
        <v>#REF!</v>
      </c>
      <c r="Q758" s="62">
        <v>2</v>
      </c>
      <c r="R758" s="62">
        <f t="shared" si="341"/>
        <v>1</v>
      </c>
      <c r="AD758" s="221"/>
      <c r="AE758" s="481"/>
      <c r="AF758" s="481"/>
      <c r="AG758" s="481"/>
      <c r="AH758" s="481"/>
      <c r="AI758" s="873">
        <f t="shared" si="351"/>
        <v>203.37</v>
      </c>
      <c r="AJ758" s="26">
        <f t="shared" si="350"/>
        <v>257.89</v>
      </c>
      <c r="AK758" s="26">
        <f t="shared" si="352"/>
        <v>257.89</v>
      </c>
      <c r="AL758" s="224"/>
    </row>
    <row r="759" spans="1:38" s="62" customFormat="1">
      <c r="A759" s="25" t="s">
        <v>2892</v>
      </c>
      <c r="B759" s="24">
        <v>3820</v>
      </c>
      <c r="C759" s="23" t="s">
        <v>281</v>
      </c>
      <c r="D759" s="25" t="s">
        <v>44</v>
      </c>
      <c r="E759" s="25" t="s">
        <v>17</v>
      </c>
      <c r="F759" s="26">
        <v>2</v>
      </c>
      <c r="G759" s="26">
        <f t="shared" si="344"/>
        <v>72.955500000000001</v>
      </c>
      <c r="H759" s="26">
        <f t="shared" si="355"/>
        <v>92.51</v>
      </c>
      <c r="I759" s="26">
        <f t="shared" si="356"/>
        <v>185.02</v>
      </c>
      <c r="J759" s="64">
        <f>'COMPOSIÇÃO DE CUSTOS'!G1442</f>
        <v>72.959999999999994</v>
      </c>
      <c r="K759" s="362">
        <v>85.83</v>
      </c>
      <c r="L759" s="65">
        <f t="shared" si="347"/>
        <v>-12.874499999999998</v>
      </c>
      <c r="M759" s="65">
        <f t="shared" si="348"/>
        <v>145.911</v>
      </c>
      <c r="N759" s="65"/>
      <c r="O759" s="65">
        <f t="shared" si="349"/>
        <v>185.02</v>
      </c>
      <c r="P759" s="65" t="e">
        <f>IF(B759&lt;&gt;0,VLOOKUP(B759,#REF!,2,FALSE),"")</f>
        <v>#REF!</v>
      </c>
      <c r="Q759" s="62">
        <v>4</v>
      </c>
      <c r="R759" s="62">
        <f t="shared" si="341"/>
        <v>2</v>
      </c>
      <c r="AD759" s="221"/>
      <c r="AE759" s="481"/>
      <c r="AF759" s="481"/>
      <c r="AG759" s="481"/>
      <c r="AH759" s="481"/>
      <c r="AI759" s="873">
        <f t="shared" si="351"/>
        <v>81.27</v>
      </c>
      <c r="AJ759" s="26">
        <f t="shared" si="350"/>
        <v>103.06</v>
      </c>
      <c r="AK759" s="26">
        <f t="shared" si="352"/>
        <v>206.12</v>
      </c>
      <c r="AL759" s="224"/>
    </row>
    <row r="760" spans="1:38" s="62" customFormat="1">
      <c r="A760" s="25" t="s">
        <v>2893</v>
      </c>
      <c r="B760" s="24">
        <v>3803</v>
      </c>
      <c r="C760" s="23" t="s">
        <v>282</v>
      </c>
      <c r="D760" s="25" t="s">
        <v>44</v>
      </c>
      <c r="E760" s="25" t="s">
        <v>17</v>
      </c>
      <c r="F760" s="26">
        <v>4</v>
      </c>
      <c r="G760" s="26">
        <f t="shared" si="344"/>
        <v>51.858499999999999</v>
      </c>
      <c r="H760" s="26">
        <f t="shared" si="355"/>
        <v>65.760000000000005</v>
      </c>
      <c r="I760" s="26">
        <f t="shared" si="356"/>
        <v>263.04000000000002</v>
      </c>
      <c r="J760" s="64">
        <f>'COMPOSIÇÃO DE CUSTOS'!G1449</f>
        <v>51.86</v>
      </c>
      <c r="K760" s="362">
        <v>61.01</v>
      </c>
      <c r="L760" s="65">
        <f t="shared" si="347"/>
        <v>-9.1514999999999986</v>
      </c>
      <c r="M760" s="65">
        <f t="shared" si="348"/>
        <v>207.434</v>
      </c>
      <c r="N760" s="65"/>
      <c r="O760" s="65">
        <f t="shared" si="349"/>
        <v>263.04000000000002</v>
      </c>
      <c r="P760" s="65" t="e">
        <f>IF(B760&lt;&gt;0,VLOOKUP(B760,#REF!,2,FALSE),"")</f>
        <v>#REF!</v>
      </c>
      <c r="Q760" s="62">
        <v>4</v>
      </c>
      <c r="R760" s="62">
        <f t="shared" si="341"/>
        <v>0</v>
      </c>
      <c r="AD760" s="221"/>
      <c r="AE760" s="481"/>
      <c r="AF760" s="481"/>
      <c r="AG760" s="481"/>
      <c r="AH760" s="481"/>
      <c r="AI760" s="873">
        <f t="shared" si="351"/>
        <v>57.77</v>
      </c>
      <c r="AJ760" s="26">
        <f t="shared" si="350"/>
        <v>73.260000000000005</v>
      </c>
      <c r="AK760" s="26">
        <f t="shared" si="352"/>
        <v>293.04000000000002</v>
      </c>
      <c r="AL760" s="224"/>
    </row>
    <row r="761" spans="1:38" s="62" customFormat="1" ht="15" customHeight="1">
      <c r="A761" s="25" t="s">
        <v>2894</v>
      </c>
      <c r="B761" s="25" t="s">
        <v>2331</v>
      </c>
      <c r="C761" s="23" t="s">
        <v>283</v>
      </c>
      <c r="D761" s="25" t="s">
        <v>1915</v>
      </c>
      <c r="E761" s="25" t="s">
        <v>17</v>
      </c>
      <c r="F761" s="26">
        <v>4</v>
      </c>
      <c r="G761" s="26">
        <f t="shared" si="344"/>
        <v>40.910499999999999</v>
      </c>
      <c r="H761" s="26">
        <f t="shared" si="355"/>
        <v>51.88</v>
      </c>
      <c r="I761" s="26">
        <f t="shared" si="356"/>
        <v>207.52</v>
      </c>
      <c r="J761" s="64">
        <f>'COMPOSIÇÃO DE CUSTOS'!G1456</f>
        <v>40.909999999999997</v>
      </c>
      <c r="K761" s="362">
        <v>48.13</v>
      </c>
      <c r="L761" s="65">
        <f t="shared" si="347"/>
        <v>-7.2195000000000036</v>
      </c>
      <c r="M761" s="65">
        <f t="shared" si="348"/>
        <v>163.642</v>
      </c>
      <c r="N761" s="65"/>
      <c r="O761" s="65">
        <f t="shared" si="349"/>
        <v>207.52</v>
      </c>
      <c r="P761" s="65" t="e">
        <f>IF(B761&lt;&gt;0,VLOOKUP(B761,#REF!,2,FALSE),"")</f>
        <v>#REF!</v>
      </c>
      <c r="Q761" s="62">
        <v>44</v>
      </c>
      <c r="R761" s="62">
        <f t="shared" si="341"/>
        <v>40</v>
      </c>
      <c r="AD761" s="221"/>
      <c r="AE761" s="481"/>
      <c r="AF761" s="481"/>
      <c r="AG761" s="481"/>
      <c r="AH761" s="481"/>
      <c r="AI761" s="873">
        <f t="shared" si="351"/>
        <v>45.57</v>
      </c>
      <c r="AJ761" s="26">
        <f t="shared" si="350"/>
        <v>57.79</v>
      </c>
      <c r="AK761" s="26">
        <f t="shared" si="352"/>
        <v>231.16</v>
      </c>
      <c r="AL761" s="224"/>
    </row>
    <row r="762" spans="1:38" s="62" customFormat="1" ht="45">
      <c r="A762" s="250" t="s">
        <v>3606</v>
      </c>
      <c r="B762" s="24">
        <v>1573</v>
      </c>
      <c r="C762" s="470" t="s">
        <v>3758</v>
      </c>
      <c r="D762" s="25" t="s">
        <v>12</v>
      </c>
      <c r="E762" s="25" t="s">
        <v>221</v>
      </c>
      <c r="F762" s="26">
        <v>44</v>
      </c>
      <c r="G762" s="26">
        <f t="shared" si="344"/>
        <v>1.1984999999999999</v>
      </c>
      <c r="H762" s="26">
        <f t="shared" si="355"/>
        <v>1.52</v>
      </c>
      <c r="I762" s="26">
        <f t="shared" si="356"/>
        <v>66.88</v>
      </c>
      <c r="J762" s="64" t="e">
        <f>IF(B762&lt;&gt;0,VLOOKUP(B762,#REF!,4,FALSE),"")</f>
        <v>#REF!</v>
      </c>
      <c r="K762" s="362" t="s">
        <v>3191</v>
      </c>
      <c r="L762" s="65">
        <f t="shared" si="347"/>
        <v>-0.21150000000000002</v>
      </c>
      <c r="M762" s="65">
        <f t="shared" si="348"/>
        <v>52.733999999999995</v>
      </c>
      <c r="N762" s="65"/>
      <c r="O762" s="65">
        <f t="shared" si="349"/>
        <v>66.88</v>
      </c>
      <c r="P762" s="65" t="e">
        <f>IF(B762&lt;&gt;0,VLOOKUP(B762,#REF!,2,FALSE),"")</f>
        <v>#REF!</v>
      </c>
      <c r="Q762" s="62">
        <v>15</v>
      </c>
      <c r="R762" s="62">
        <f t="shared" si="341"/>
        <v>-29</v>
      </c>
      <c r="AD762" s="221"/>
      <c r="AE762" s="481"/>
      <c r="AF762" s="481"/>
      <c r="AG762" s="481"/>
      <c r="AH762" s="481"/>
      <c r="AI762" s="873">
        <f t="shared" si="351"/>
        <v>1.34</v>
      </c>
      <c r="AJ762" s="26">
        <f t="shared" si="350"/>
        <v>1.7</v>
      </c>
      <c r="AK762" s="26">
        <f t="shared" si="352"/>
        <v>74.8</v>
      </c>
      <c r="AL762" s="224"/>
    </row>
    <row r="763" spans="1:38" s="62" customFormat="1" ht="45">
      <c r="A763" s="25" t="s">
        <v>2895</v>
      </c>
      <c r="B763" s="24">
        <v>91924</v>
      </c>
      <c r="C763" s="23" t="s">
        <v>1736</v>
      </c>
      <c r="D763" s="25" t="s">
        <v>12</v>
      </c>
      <c r="E763" s="25" t="s">
        <v>52</v>
      </c>
      <c r="F763" s="26">
        <v>15</v>
      </c>
      <c r="G763" s="26">
        <f t="shared" si="344"/>
        <v>2.0825</v>
      </c>
      <c r="H763" s="26">
        <f t="shared" si="355"/>
        <v>2.64</v>
      </c>
      <c r="I763" s="26">
        <f t="shared" si="356"/>
        <v>39.6</v>
      </c>
      <c r="J763" s="65" t="e">
        <f>IF(B763&lt;&gt;0,VLOOKUP(B763,#REF!,4,FALSE),"")</f>
        <v>#REF!</v>
      </c>
      <c r="K763" s="362" t="s">
        <v>1839</v>
      </c>
      <c r="L763" s="65">
        <f t="shared" si="347"/>
        <v>-0.36750000000000016</v>
      </c>
      <c r="M763" s="65">
        <f t="shared" si="348"/>
        <v>31.237500000000001</v>
      </c>
      <c r="N763" s="65"/>
      <c r="O763" s="65">
        <f t="shared" si="349"/>
        <v>39.6</v>
      </c>
      <c r="P763" s="65" t="e">
        <f>IF(B763&lt;&gt;0,VLOOKUP(B763,#REF!,2,FALSE),"")</f>
        <v>#REF!</v>
      </c>
      <c r="Q763" s="62">
        <v>2</v>
      </c>
      <c r="R763" s="62">
        <f t="shared" si="341"/>
        <v>-13</v>
      </c>
      <c r="AD763" s="221"/>
      <c r="AE763" s="481"/>
      <c r="AF763" s="481"/>
      <c r="AG763" s="481"/>
      <c r="AH763" s="481"/>
      <c r="AI763" s="873">
        <f t="shared" si="351"/>
        <v>2.3199999999999998</v>
      </c>
      <c r="AJ763" s="26">
        <f t="shared" si="350"/>
        <v>2.94</v>
      </c>
      <c r="AK763" s="26">
        <f t="shared" si="352"/>
        <v>44.1</v>
      </c>
      <c r="AL763" s="224"/>
    </row>
    <row r="764" spans="1:38" s="62" customFormat="1" ht="45">
      <c r="A764" s="25" t="s">
        <v>2896</v>
      </c>
      <c r="B764" s="24">
        <v>91930</v>
      </c>
      <c r="C764" s="23" t="s">
        <v>1731</v>
      </c>
      <c r="D764" s="25" t="s">
        <v>12</v>
      </c>
      <c r="E764" s="25" t="s">
        <v>52</v>
      </c>
      <c r="F764" s="26">
        <v>2</v>
      </c>
      <c r="G764" s="26">
        <f t="shared" si="344"/>
        <v>7.0379999999999994</v>
      </c>
      <c r="H764" s="26">
        <f t="shared" si="355"/>
        <v>8.92</v>
      </c>
      <c r="I764" s="26">
        <f t="shared" si="356"/>
        <v>17.84</v>
      </c>
      <c r="J764" s="65" t="e">
        <f>IF(B764&lt;&gt;0,VLOOKUP(B764,#REF!,4,FALSE),"")</f>
        <v>#REF!</v>
      </c>
      <c r="K764" s="362" t="s">
        <v>3113</v>
      </c>
      <c r="L764" s="65">
        <f t="shared" si="347"/>
        <v>-1.242</v>
      </c>
      <c r="M764" s="65">
        <f t="shared" si="348"/>
        <v>14.075999999999999</v>
      </c>
      <c r="N764" s="65"/>
      <c r="O764" s="65">
        <f t="shared" si="349"/>
        <v>17.84</v>
      </c>
      <c r="P764" s="65" t="e">
        <f>IF(B764&lt;&gt;0,VLOOKUP(B764,#REF!,2,FALSE),"")</f>
        <v>#REF!</v>
      </c>
      <c r="R764" s="62">
        <f t="shared" si="341"/>
        <v>-2</v>
      </c>
      <c r="AD764" s="221"/>
      <c r="AE764" s="481"/>
      <c r="AF764" s="481"/>
      <c r="AG764" s="481"/>
      <c r="AH764" s="481"/>
      <c r="AI764" s="873">
        <f t="shared" si="351"/>
        <v>7.84</v>
      </c>
      <c r="AJ764" s="26">
        <f t="shared" si="350"/>
        <v>9.94</v>
      </c>
      <c r="AK764" s="26">
        <f t="shared" si="352"/>
        <v>19.88</v>
      </c>
      <c r="AL764" s="224"/>
    </row>
    <row r="765" spans="1:38" s="62" customFormat="1">
      <c r="A765" s="77" t="s">
        <v>2897</v>
      </c>
      <c r="B765" s="139"/>
      <c r="C765" s="139" t="s">
        <v>2898</v>
      </c>
      <c r="D765" s="341"/>
      <c r="E765" s="341"/>
      <c r="F765" s="341"/>
      <c r="G765" s="26"/>
      <c r="H765" s="341"/>
      <c r="I765" s="96"/>
      <c r="J765" s="65" t="str">
        <f>IF(B765&lt;&gt;0,VLOOKUP(B765,#REF!,4,FALSE),"")</f>
        <v/>
      </c>
      <c r="K765" s="362" t="s">
        <v>1892</v>
      </c>
      <c r="L765" s="65"/>
      <c r="M765" s="65">
        <f t="shared" si="348"/>
        <v>0</v>
      </c>
      <c r="N765" s="65"/>
      <c r="O765" s="65">
        <f t="shared" si="349"/>
        <v>0</v>
      </c>
      <c r="P765" s="65" t="str">
        <f>IF(B765&lt;&gt;0,VLOOKUP(B765,#REF!,2,FALSE),"")</f>
        <v/>
      </c>
      <c r="Q765" s="62">
        <v>1</v>
      </c>
      <c r="R765" s="62">
        <f t="shared" ref="R765:R828" si="357">Q765-F765</f>
        <v>1</v>
      </c>
      <c r="AD765" s="221"/>
      <c r="AE765" s="481"/>
      <c r="AF765" s="481"/>
      <c r="AG765" s="481"/>
      <c r="AH765" s="481"/>
      <c r="AI765" s="873"/>
      <c r="AJ765" s="26"/>
      <c r="AK765" s="26"/>
      <c r="AL765" s="224"/>
    </row>
    <row r="766" spans="1:38" s="62" customFormat="1" ht="45">
      <c r="A766" s="25" t="s">
        <v>2899</v>
      </c>
      <c r="B766" s="24">
        <v>3836</v>
      </c>
      <c r="C766" s="23" t="s">
        <v>2332</v>
      </c>
      <c r="D766" s="25" t="s">
        <v>44</v>
      </c>
      <c r="E766" s="25" t="s">
        <v>17</v>
      </c>
      <c r="F766" s="26">
        <v>1</v>
      </c>
      <c r="G766" s="26">
        <f t="shared" si="344"/>
        <v>410.44799999999998</v>
      </c>
      <c r="H766" s="26">
        <f t="shared" ref="H766:H779" si="358">ROUND(G766*(1+$J$13),2)</f>
        <v>520.49</v>
      </c>
      <c r="I766" s="26">
        <f t="shared" ref="I766:I779" si="359">ROUND(H766*F766,2)</f>
        <v>520.49</v>
      </c>
      <c r="J766" s="64">
        <f>J781</f>
        <v>410.45</v>
      </c>
      <c r="K766" s="362">
        <v>482.88</v>
      </c>
      <c r="L766" s="65">
        <f t="shared" si="347"/>
        <v>-72.432000000000016</v>
      </c>
      <c r="M766" s="65">
        <f t="shared" si="348"/>
        <v>410.44799999999998</v>
      </c>
      <c r="N766" s="65"/>
      <c r="O766" s="65">
        <f t="shared" si="349"/>
        <v>520.49</v>
      </c>
      <c r="P766" s="65" t="e">
        <f>IF(B766&lt;&gt;0,VLOOKUP(B766,#REF!,2,FALSE),"")</f>
        <v>#REF!</v>
      </c>
      <c r="Q766" s="62">
        <v>1</v>
      </c>
      <c r="R766" s="62">
        <f t="shared" si="357"/>
        <v>0</v>
      </c>
      <c r="AD766" s="221"/>
      <c r="AE766" s="481"/>
      <c r="AF766" s="481"/>
      <c r="AG766" s="481"/>
      <c r="AH766" s="481"/>
      <c r="AI766" s="873">
        <f t="shared" si="351"/>
        <v>457.24</v>
      </c>
      <c r="AJ766" s="26">
        <f t="shared" si="350"/>
        <v>579.83000000000004</v>
      </c>
      <c r="AK766" s="26">
        <f t="shared" si="352"/>
        <v>579.83000000000004</v>
      </c>
      <c r="AL766" s="224"/>
    </row>
    <row r="767" spans="1:38" s="62" customFormat="1" ht="45">
      <c r="A767" s="250" t="s">
        <v>3607</v>
      </c>
      <c r="B767" s="24">
        <v>93669</v>
      </c>
      <c r="C767" s="470" t="s">
        <v>3771</v>
      </c>
      <c r="D767" s="25" t="s">
        <v>12</v>
      </c>
      <c r="E767" s="25" t="s">
        <v>17</v>
      </c>
      <c r="F767" s="26">
        <v>1</v>
      </c>
      <c r="G767" s="26">
        <f t="shared" si="344"/>
        <v>61.429499999999997</v>
      </c>
      <c r="H767" s="26">
        <f t="shared" si="358"/>
        <v>77.900000000000006</v>
      </c>
      <c r="I767" s="26">
        <f t="shared" si="359"/>
        <v>77.900000000000006</v>
      </c>
      <c r="J767" s="65" t="e">
        <f>IF(B767&lt;&gt;0,VLOOKUP(B767,#REF!,4,FALSE),"")</f>
        <v>#REF!</v>
      </c>
      <c r="K767" s="362" t="s">
        <v>3245</v>
      </c>
      <c r="L767" s="65">
        <f t="shared" si="347"/>
        <v>-10.840499999999999</v>
      </c>
      <c r="M767" s="65">
        <f t="shared" si="348"/>
        <v>61.429499999999997</v>
      </c>
      <c r="N767" s="65"/>
      <c r="O767" s="65">
        <f t="shared" si="349"/>
        <v>77.900000000000006</v>
      </c>
      <c r="P767" s="65" t="e">
        <f>IF(B767&lt;&gt;0,VLOOKUP(B767,#REF!,2,FALSE),"")</f>
        <v>#REF!</v>
      </c>
      <c r="Q767" s="62">
        <v>2</v>
      </c>
      <c r="R767" s="62">
        <f t="shared" si="357"/>
        <v>1</v>
      </c>
      <c r="AD767" s="221"/>
      <c r="AE767" s="481"/>
      <c r="AF767" s="481"/>
      <c r="AG767" s="481"/>
      <c r="AH767" s="481"/>
      <c r="AI767" s="873">
        <f t="shared" si="351"/>
        <v>68.430000000000007</v>
      </c>
      <c r="AJ767" s="26">
        <f t="shared" si="350"/>
        <v>86.78</v>
      </c>
      <c r="AK767" s="26">
        <f t="shared" si="352"/>
        <v>86.78</v>
      </c>
      <c r="AL767" s="224"/>
    </row>
    <row r="768" spans="1:38" s="62" customFormat="1" ht="45">
      <c r="A768" s="25" t="s">
        <v>2900</v>
      </c>
      <c r="B768" s="24">
        <v>93654</v>
      </c>
      <c r="C768" s="23" t="s">
        <v>1730</v>
      </c>
      <c r="D768" s="25" t="s">
        <v>12</v>
      </c>
      <c r="E768" s="25" t="s">
        <v>17</v>
      </c>
      <c r="F768" s="26">
        <v>2</v>
      </c>
      <c r="G768" s="26">
        <f t="shared" si="344"/>
        <v>9.6050000000000004</v>
      </c>
      <c r="H768" s="26">
        <f t="shared" si="358"/>
        <v>12.18</v>
      </c>
      <c r="I768" s="26">
        <f t="shared" si="359"/>
        <v>24.36</v>
      </c>
      <c r="J768" s="65" t="e">
        <f>IF(B768&lt;&gt;0,VLOOKUP(B768,#REF!,4,FALSE),"")</f>
        <v>#REF!</v>
      </c>
      <c r="K768" s="362" t="s">
        <v>3243</v>
      </c>
      <c r="L768" s="65">
        <f t="shared" si="347"/>
        <v>-1.6950000000000003</v>
      </c>
      <c r="M768" s="65">
        <f t="shared" si="348"/>
        <v>19.21</v>
      </c>
      <c r="N768" s="65"/>
      <c r="O768" s="65">
        <f t="shared" si="349"/>
        <v>24.36</v>
      </c>
      <c r="P768" s="65" t="e">
        <f>IF(B768&lt;&gt;0,VLOOKUP(B768,#REF!,2,FALSE),"")</f>
        <v>#REF!</v>
      </c>
      <c r="Q768" s="62">
        <v>2</v>
      </c>
      <c r="R768" s="62">
        <f t="shared" si="357"/>
        <v>0</v>
      </c>
      <c r="AD768" s="221"/>
      <c r="AE768" s="481"/>
      <c r="AF768" s="481"/>
      <c r="AG768" s="481"/>
      <c r="AH768" s="481"/>
      <c r="AI768" s="873">
        <f t="shared" si="351"/>
        <v>10.7</v>
      </c>
      <c r="AJ768" s="26">
        <f t="shared" si="350"/>
        <v>13.57</v>
      </c>
      <c r="AK768" s="26">
        <f t="shared" si="352"/>
        <v>27.14</v>
      </c>
      <c r="AL768" s="224"/>
    </row>
    <row r="769" spans="1:38" s="62" customFormat="1">
      <c r="A769" s="25" t="s">
        <v>2901</v>
      </c>
      <c r="B769" s="25" t="s">
        <v>2322</v>
      </c>
      <c r="C769" s="23" t="s">
        <v>277</v>
      </c>
      <c r="D769" s="25" t="s">
        <v>1915</v>
      </c>
      <c r="E769" s="25" t="s">
        <v>17</v>
      </c>
      <c r="F769" s="26">
        <v>2</v>
      </c>
      <c r="G769" s="26">
        <f t="shared" si="344"/>
        <v>100.232</v>
      </c>
      <c r="H769" s="26">
        <f t="shared" si="358"/>
        <v>127.1</v>
      </c>
      <c r="I769" s="26">
        <f t="shared" si="359"/>
        <v>254.2</v>
      </c>
      <c r="J769" s="64">
        <f>'COMPOSIÇÃO DE CUSTOS'!G1413</f>
        <v>100.23</v>
      </c>
      <c r="K769" s="362">
        <v>117.92</v>
      </c>
      <c r="L769" s="65">
        <f t="shared" si="347"/>
        <v>-17.688000000000002</v>
      </c>
      <c r="M769" s="65">
        <f t="shared" si="348"/>
        <v>200.464</v>
      </c>
      <c r="N769" s="65"/>
      <c r="O769" s="65">
        <f t="shared" si="349"/>
        <v>254.2</v>
      </c>
      <c r="P769" s="65" t="e">
        <f>IF(B769&lt;&gt;0,VLOOKUP(B769,#REF!,2,FALSE),"")</f>
        <v>#REF!</v>
      </c>
      <c r="Q769" s="62">
        <v>2</v>
      </c>
      <c r="R769" s="62">
        <f t="shared" si="357"/>
        <v>0</v>
      </c>
      <c r="AD769" s="221"/>
      <c r="AE769" s="481"/>
      <c r="AF769" s="481"/>
      <c r="AG769" s="481"/>
      <c r="AH769" s="481"/>
      <c r="AI769" s="873">
        <f t="shared" si="351"/>
        <v>111.66</v>
      </c>
      <c r="AJ769" s="26">
        <f t="shared" si="350"/>
        <v>141.6</v>
      </c>
      <c r="AK769" s="26">
        <f t="shared" si="352"/>
        <v>283.2</v>
      </c>
      <c r="AL769" s="224"/>
    </row>
    <row r="770" spans="1:38" s="62" customFormat="1" ht="45">
      <c r="A770" s="25" t="s">
        <v>2902</v>
      </c>
      <c r="B770" s="24">
        <v>72343</v>
      </c>
      <c r="C770" s="23" t="s">
        <v>291</v>
      </c>
      <c r="D770" s="25" t="s">
        <v>1915</v>
      </c>
      <c r="E770" s="25" t="s">
        <v>17</v>
      </c>
      <c r="F770" s="26">
        <v>2</v>
      </c>
      <c r="G770" s="26">
        <f t="shared" si="344"/>
        <v>227.42599999999999</v>
      </c>
      <c r="H770" s="26">
        <f t="shared" si="358"/>
        <v>288.39999999999998</v>
      </c>
      <c r="I770" s="26">
        <f t="shared" si="359"/>
        <v>576.79999999999995</v>
      </c>
      <c r="J770" s="64">
        <f>'COMPOSIÇÃO DE CUSTOS'!G1464</f>
        <v>227.42</v>
      </c>
      <c r="K770" s="362">
        <v>267.56</v>
      </c>
      <c r="L770" s="65">
        <f t="shared" si="347"/>
        <v>-40.134000000000015</v>
      </c>
      <c r="M770" s="65">
        <f t="shared" si="348"/>
        <v>454.85199999999998</v>
      </c>
      <c r="N770" s="65"/>
      <c r="O770" s="65">
        <f t="shared" si="349"/>
        <v>576.79999999999995</v>
      </c>
      <c r="P770" s="65" t="e">
        <f>IF(B770&lt;&gt;0,VLOOKUP(B770,#REF!,2,FALSE),"")</f>
        <v>#REF!</v>
      </c>
      <c r="Q770" s="62">
        <v>2</v>
      </c>
      <c r="R770" s="62">
        <f t="shared" si="357"/>
        <v>0</v>
      </c>
      <c r="AD770" s="221"/>
      <c r="AE770" s="481"/>
      <c r="AF770" s="481"/>
      <c r="AG770" s="481"/>
      <c r="AH770" s="481"/>
      <c r="AI770" s="873">
        <f t="shared" si="351"/>
        <v>253.35</v>
      </c>
      <c r="AJ770" s="26">
        <f t="shared" si="350"/>
        <v>321.27</v>
      </c>
      <c r="AK770" s="26">
        <f t="shared" si="352"/>
        <v>642.54</v>
      </c>
      <c r="AL770" s="224"/>
    </row>
    <row r="771" spans="1:38" s="62" customFormat="1" ht="45">
      <c r="A771" s="25" t="s">
        <v>2903</v>
      </c>
      <c r="B771" s="25" t="s">
        <v>2335</v>
      </c>
      <c r="C771" s="23" t="s">
        <v>292</v>
      </c>
      <c r="D771" s="25" t="s">
        <v>1915</v>
      </c>
      <c r="E771" s="25" t="s">
        <v>17</v>
      </c>
      <c r="F771" s="26">
        <v>2</v>
      </c>
      <c r="G771" s="26">
        <f t="shared" si="344"/>
        <v>191.79399999999998</v>
      </c>
      <c r="H771" s="26">
        <f t="shared" si="358"/>
        <v>243.21</v>
      </c>
      <c r="I771" s="26">
        <f t="shared" si="359"/>
        <v>486.42</v>
      </c>
      <c r="J771" s="64">
        <f>'COMPOSIÇÃO DE CUSTOS'!G1472</f>
        <v>191.8</v>
      </c>
      <c r="K771" s="362">
        <v>225.64</v>
      </c>
      <c r="L771" s="65">
        <f t="shared" si="347"/>
        <v>-33.846000000000004</v>
      </c>
      <c r="M771" s="65">
        <f t="shared" si="348"/>
        <v>383.58799999999997</v>
      </c>
      <c r="N771" s="65"/>
      <c r="O771" s="65">
        <f t="shared" si="349"/>
        <v>486.42</v>
      </c>
      <c r="P771" s="65" t="e">
        <f>IF(B771&lt;&gt;0,VLOOKUP(B771,#REF!,2,FALSE),"")</f>
        <v>#REF!</v>
      </c>
      <c r="Q771" s="62">
        <v>2</v>
      </c>
      <c r="R771" s="62">
        <f t="shared" si="357"/>
        <v>0</v>
      </c>
      <c r="AD771" s="221"/>
      <c r="AE771" s="481"/>
      <c r="AF771" s="481"/>
      <c r="AG771" s="481"/>
      <c r="AH771" s="481"/>
      <c r="AI771" s="873">
        <f t="shared" si="351"/>
        <v>213.66</v>
      </c>
      <c r="AJ771" s="26">
        <f t="shared" si="350"/>
        <v>270.94</v>
      </c>
      <c r="AK771" s="26">
        <f t="shared" si="352"/>
        <v>541.88</v>
      </c>
      <c r="AL771" s="224"/>
    </row>
    <row r="772" spans="1:38" s="62" customFormat="1">
      <c r="A772" s="25" t="s">
        <v>2904</v>
      </c>
      <c r="B772" s="25" t="s">
        <v>2323</v>
      </c>
      <c r="C772" s="23" t="s">
        <v>278</v>
      </c>
      <c r="D772" s="25" t="s">
        <v>1915</v>
      </c>
      <c r="E772" s="25" t="s">
        <v>17</v>
      </c>
      <c r="F772" s="26">
        <v>2</v>
      </c>
      <c r="G772" s="26">
        <f t="shared" si="344"/>
        <v>113.61949999999999</v>
      </c>
      <c r="H772" s="26">
        <f t="shared" si="358"/>
        <v>144.08000000000001</v>
      </c>
      <c r="I772" s="26">
        <f t="shared" si="359"/>
        <v>288.16000000000003</v>
      </c>
      <c r="J772" s="64">
        <f>'COMPOSIÇÃO DE CUSTOS'!G1420</f>
        <v>113.62</v>
      </c>
      <c r="K772" s="362">
        <v>133.66999999999999</v>
      </c>
      <c r="L772" s="65">
        <f t="shared" si="347"/>
        <v>-20.0505</v>
      </c>
      <c r="M772" s="65">
        <f t="shared" si="348"/>
        <v>227.23899999999998</v>
      </c>
      <c r="N772" s="65"/>
      <c r="O772" s="65">
        <f t="shared" si="349"/>
        <v>288.16000000000003</v>
      </c>
      <c r="P772" s="65" t="e">
        <f>IF(B772&lt;&gt;0,VLOOKUP(B772,#REF!,2,FALSE),"")</f>
        <v>#REF!</v>
      </c>
      <c r="Q772" s="62">
        <v>50</v>
      </c>
      <c r="R772" s="62">
        <f t="shared" si="357"/>
        <v>48</v>
      </c>
      <c r="AD772" s="221"/>
      <c r="AE772" s="481"/>
      <c r="AF772" s="481"/>
      <c r="AG772" s="481"/>
      <c r="AH772" s="481"/>
      <c r="AI772" s="873">
        <f t="shared" si="351"/>
        <v>126.57</v>
      </c>
      <c r="AJ772" s="26">
        <f t="shared" si="350"/>
        <v>160.5</v>
      </c>
      <c r="AK772" s="26">
        <f t="shared" si="352"/>
        <v>321</v>
      </c>
      <c r="AL772" s="224"/>
    </row>
    <row r="773" spans="1:38" s="62" customFormat="1" ht="45">
      <c r="A773" s="250" t="s">
        <v>3608</v>
      </c>
      <c r="B773" s="24">
        <v>1571</v>
      </c>
      <c r="C773" s="470" t="s">
        <v>3760</v>
      </c>
      <c r="D773" s="25" t="s">
        <v>12</v>
      </c>
      <c r="E773" s="25" t="s">
        <v>17</v>
      </c>
      <c r="F773" s="26">
        <v>50</v>
      </c>
      <c r="G773" s="26">
        <f t="shared" si="344"/>
        <v>1.0114999999999998</v>
      </c>
      <c r="H773" s="26">
        <f t="shared" si="358"/>
        <v>1.28</v>
      </c>
      <c r="I773" s="26">
        <f t="shared" si="359"/>
        <v>64</v>
      </c>
      <c r="J773" s="64" t="e">
        <f>IF(B773&lt;&gt;0,VLOOKUP(B773,#REF!,4,FALSE),"")</f>
        <v>#REF!</v>
      </c>
      <c r="K773" s="362" t="s">
        <v>1844</v>
      </c>
      <c r="L773" s="65">
        <f t="shared" si="347"/>
        <v>-0.1785000000000001</v>
      </c>
      <c r="M773" s="65">
        <f t="shared" si="348"/>
        <v>50.574999999999989</v>
      </c>
      <c r="N773" s="65"/>
      <c r="O773" s="65">
        <f t="shared" si="349"/>
        <v>64</v>
      </c>
      <c r="P773" s="65" t="e">
        <f>IF(B773&lt;&gt;0,VLOOKUP(B773,#REF!,2,FALSE),"")</f>
        <v>#REF!</v>
      </c>
      <c r="Q773" s="62">
        <v>25</v>
      </c>
      <c r="R773" s="62">
        <f t="shared" si="357"/>
        <v>-25</v>
      </c>
      <c r="AD773" s="221"/>
      <c r="AE773" s="481"/>
      <c r="AF773" s="481"/>
      <c r="AG773" s="481"/>
      <c r="AH773" s="481"/>
      <c r="AI773" s="873">
        <f t="shared" si="351"/>
        <v>1.1299999999999999</v>
      </c>
      <c r="AJ773" s="26">
        <f t="shared" si="350"/>
        <v>1.43</v>
      </c>
      <c r="AK773" s="26">
        <f t="shared" si="352"/>
        <v>71.5</v>
      </c>
      <c r="AL773" s="224"/>
    </row>
    <row r="774" spans="1:38" s="62" customFormat="1" ht="78" customHeight="1">
      <c r="A774" s="250" t="s">
        <v>3609</v>
      </c>
      <c r="B774" s="24">
        <v>1573</v>
      </c>
      <c r="C774" s="470" t="s">
        <v>3758</v>
      </c>
      <c r="D774" s="25" t="s">
        <v>12</v>
      </c>
      <c r="E774" s="25" t="s">
        <v>221</v>
      </c>
      <c r="F774" s="26">
        <v>25</v>
      </c>
      <c r="G774" s="26">
        <f t="shared" si="344"/>
        <v>1.1984999999999999</v>
      </c>
      <c r="H774" s="26">
        <f t="shared" si="358"/>
        <v>1.52</v>
      </c>
      <c r="I774" s="26">
        <f t="shared" si="359"/>
        <v>38</v>
      </c>
      <c r="J774" s="64" t="e">
        <f>IF(B774&lt;&gt;0,VLOOKUP(B774,#REF!,4,FALSE),"")</f>
        <v>#REF!</v>
      </c>
      <c r="K774" s="362" t="s">
        <v>3191</v>
      </c>
      <c r="L774" s="65">
        <f t="shared" si="347"/>
        <v>-0.21150000000000002</v>
      </c>
      <c r="M774" s="65">
        <f t="shared" si="348"/>
        <v>29.962499999999999</v>
      </c>
      <c r="N774" s="65"/>
      <c r="O774" s="65">
        <f t="shared" si="349"/>
        <v>38</v>
      </c>
      <c r="P774" s="65" t="e">
        <f>IF(B774&lt;&gt;0,VLOOKUP(B774,#REF!,2,FALSE),"")</f>
        <v>#REF!</v>
      </c>
      <c r="Q774" s="62">
        <v>100</v>
      </c>
      <c r="R774" s="62">
        <f t="shared" si="357"/>
        <v>75</v>
      </c>
      <c r="AD774" s="221"/>
      <c r="AE774" s="481"/>
      <c r="AF774" s="481"/>
      <c r="AG774" s="481"/>
      <c r="AH774" s="481"/>
      <c r="AI774" s="873">
        <f t="shared" si="351"/>
        <v>1.34</v>
      </c>
      <c r="AJ774" s="26">
        <f t="shared" si="350"/>
        <v>1.7</v>
      </c>
      <c r="AK774" s="26">
        <f t="shared" si="352"/>
        <v>42.5</v>
      </c>
      <c r="AL774" s="224"/>
    </row>
    <row r="775" spans="1:38" s="62" customFormat="1" ht="45">
      <c r="A775" s="250" t="s">
        <v>3610</v>
      </c>
      <c r="B775" s="24">
        <v>1570</v>
      </c>
      <c r="C775" s="470" t="s">
        <v>3757</v>
      </c>
      <c r="D775" s="25" t="s">
        <v>12</v>
      </c>
      <c r="E775" s="25" t="s">
        <v>17</v>
      </c>
      <c r="F775" s="26">
        <v>100</v>
      </c>
      <c r="G775" s="26">
        <f t="shared" si="344"/>
        <v>0.77350000000000008</v>
      </c>
      <c r="H775" s="26">
        <f t="shared" si="358"/>
        <v>0.98</v>
      </c>
      <c r="I775" s="26">
        <f t="shared" si="359"/>
        <v>98</v>
      </c>
      <c r="J775" s="64" t="e">
        <f>IF(B775&lt;&gt;0,VLOOKUP(B775,#REF!,4,FALSE),"")</f>
        <v>#REF!</v>
      </c>
      <c r="K775" s="362" t="s">
        <v>1859</v>
      </c>
      <c r="L775" s="65">
        <f t="shared" si="347"/>
        <v>-0.13649999999999995</v>
      </c>
      <c r="M775" s="65">
        <f t="shared" si="348"/>
        <v>77.350000000000009</v>
      </c>
      <c r="N775" s="65"/>
      <c r="O775" s="65">
        <f t="shared" si="349"/>
        <v>98</v>
      </c>
      <c r="P775" s="65" t="e">
        <f>IF(B775&lt;&gt;0,VLOOKUP(B775,#REF!,2,FALSE),"")</f>
        <v>#REF!</v>
      </c>
      <c r="Q775" s="62">
        <v>2</v>
      </c>
      <c r="R775" s="62">
        <f t="shared" si="357"/>
        <v>-98</v>
      </c>
      <c r="AD775" s="221"/>
      <c r="AE775" s="481"/>
      <c r="AF775" s="481"/>
      <c r="AG775" s="481"/>
      <c r="AH775" s="481"/>
      <c r="AI775" s="873">
        <f t="shared" si="351"/>
        <v>0.86</v>
      </c>
      <c r="AJ775" s="26">
        <f t="shared" si="350"/>
        <v>1.0900000000000001</v>
      </c>
      <c r="AK775" s="26">
        <f t="shared" si="352"/>
        <v>109</v>
      </c>
      <c r="AL775" s="224"/>
    </row>
    <row r="776" spans="1:38" s="62" customFormat="1" ht="45">
      <c r="A776" s="25" t="s">
        <v>2905</v>
      </c>
      <c r="B776" s="24">
        <v>91931</v>
      </c>
      <c r="C776" s="23" t="s">
        <v>1737</v>
      </c>
      <c r="D776" s="25" t="s">
        <v>12</v>
      </c>
      <c r="E776" s="25" t="s">
        <v>52</v>
      </c>
      <c r="F776" s="26">
        <v>2</v>
      </c>
      <c r="G776" s="26">
        <f t="shared" si="344"/>
        <v>7.9474999999999998</v>
      </c>
      <c r="H776" s="26">
        <f t="shared" si="358"/>
        <v>10.08</v>
      </c>
      <c r="I776" s="26">
        <f t="shared" si="359"/>
        <v>20.16</v>
      </c>
      <c r="J776" s="65" t="e">
        <f>IF(B776&lt;&gt;0,VLOOKUP(B776,#REF!,4,FALSE),"")</f>
        <v>#REF!</v>
      </c>
      <c r="K776" s="362" t="s">
        <v>1902</v>
      </c>
      <c r="L776" s="65">
        <f t="shared" si="347"/>
        <v>-1.4024999999999999</v>
      </c>
      <c r="M776" s="65">
        <f t="shared" si="348"/>
        <v>15.895</v>
      </c>
      <c r="N776" s="65"/>
      <c r="O776" s="65">
        <f t="shared" si="349"/>
        <v>20.16</v>
      </c>
      <c r="P776" s="65" t="e">
        <f>IF(B776&lt;&gt;0,VLOOKUP(B776,#REF!,2,FALSE),"")</f>
        <v>#REF!</v>
      </c>
      <c r="Q776" s="62">
        <v>1</v>
      </c>
      <c r="R776" s="62">
        <f t="shared" si="357"/>
        <v>-1</v>
      </c>
      <c r="AD776" s="221"/>
      <c r="AE776" s="481"/>
      <c r="AF776" s="481"/>
      <c r="AG776" s="481"/>
      <c r="AH776" s="481"/>
      <c r="AI776" s="873">
        <f t="shared" si="351"/>
        <v>8.85</v>
      </c>
      <c r="AJ776" s="26">
        <f t="shared" si="350"/>
        <v>11.22</v>
      </c>
      <c r="AK776" s="26">
        <f t="shared" si="352"/>
        <v>22.44</v>
      </c>
      <c r="AL776" s="224"/>
    </row>
    <row r="777" spans="1:38" s="62" customFormat="1" ht="30">
      <c r="A777" s="25" t="s">
        <v>2906</v>
      </c>
      <c r="B777" s="24">
        <v>64355</v>
      </c>
      <c r="C777" s="23" t="s">
        <v>280</v>
      </c>
      <c r="D777" s="25" t="s">
        <v>1915</v>
      </c>
      <c r="E777" s="25" t="s">
        <v>17</v>
      </c>
      <c r="F777" s="26">
        <v>1</v>
      </c>
      <c r="G777" s="26">
        <f t="shared" si="344"/>
        <v>182.55450000000002</v>
      </c>
      <c r="H777" s="26">
        <f t="shared" si="358"/>
        <v>231.5</v>
      </c>
      <c r="I777" s="26">
        <f t="shared" si="359"/>
        <v>231.5</v>
      </c>
      <c r="J777" s="64">
        <f>'COMPOSIÇÃO DE CUSTOS'!G1435</f>
        <v>182.56</v>
      </c>
      <c r="K777" s="362">
        <v>214.77</v>
      </c>
      <c r="L777" s="65">
        <f t="shared" si="347"/>
        <v>-32.215499999999992</v>
      </c>
      <c r="M777" s="65">
        <f t="shared" si="348"/>
        <v>182.55450000000002</v>
      </c>
      <c r="N777" s="65"/>
      <c r="O777" s="65">
        <f t="shared" si="349"/>
        <v>231.5</v>
      </c>
      <c r="P777" s="65" t="e">
        <f>IF(B777&lt;&gt;0,VLOOKUP(B777,#REF!,2,FALSE),"")</f>
        <v>#REF!</v>
      </c>
      <c r="Q777" s="62">
        <v>4</v>
      </c>
      <c r="R777" s="62">
        <f t="shared" si="357"/>
        <v>3</v>
      </c>
      <c r="AD777" s="221"/>
      <c r="AE777" s="481"/>
      <c r="AF777" s="481"/>
      <c r="AG777" s="481"/>
      <c r="AH777" s="481"/>
      <c r="AI777" s="873">
        <f t="shared" si="351"/>
        <v>203.37</v>
      </c>
      <c r="AJ777" s="26">
        <f t="shared" si="350"/>
        <v>257.89</v>
      </c>
      <c r="AK777" s="26">
        <f t="shared" si="352"/>
        <v>257.89</v>
      </c>
      <c r="AL777" s="224"/>
    </row>
    <row r="778" spans="1:38" s="62" customFormat="1">
      <c r="A778" s="25" t="s">
        <v>2907</v>
      </c>
      <c r="B778" s="24">
        <v>3803</v>
      </c>
      <c r="C778" s="23" t="s">
        <v>282</v>
      </c>
      <c r="D778" s="25" t="s">
        <v>44</v>
      </c>
      <c r="E778" s="25" t="s">
        <v>17</v>
      </c>
      <c r="F778" s="26">
        <v>4</v>
      </c>
      <c r="G778" s="26">
        <f t="shared" si="344"/>
        <v>51.858499999999999</v>
      </c>
      <c r="H778" s="26">
        <f t="shared" si="358"/>
        <v>65.760000000000005</v>
      </c>
      <c r="I778" s="26">
        <f t="shared" si="359"/>
        <v>263.04000000000002</v>
      </c>
      <c r="J778" s="64">
        <f>'COMPOSIÇÃO DE CUSTOS'!G1449</f>
        <v>51.86</v>
      </c>
      <c r="K778" s="362">
        <v>61.01</v>
      </c>
      <c r="L778" s="65">
        <f t="shared" si="347"/>
        <v>-9.1514999999999986</v>
      </c>
      <c r="M778" s="65">
        <f t="shared" si="348"/>
        <v>207.434</v>
      </c>
      <c r="N778" s="65"/>
      <c r="O778" s="65">
        <f t="shared" si="349"/>
        <v>263.04000000000002</v>
      </c>
      <c r="P778" s="65" t="e">
        <f>IF(B778&lt;&gt;0,VLOOKUP(B778,#REF!,2,FALSE),"")</f>
        <v>#REF!</v>
      </c>
      <c r="Q778" s="62">
        <v>2</v>
      </c>
      <c r="R778" s="62">
        <f t="shared" si="357"/>
        <v>-2</v>
      </c>
      <c r="AD778" s="221"/>
      <c r="AE778" s="481"/>
      <c r="AF778" s="481"/>
      <c r="AG778" s="481"/>
      <c r="AH778" s="481"/>
      <c r="AI778" s="873">
        <f t="shared" si="351"/>
        <v>57.77</v>
      </c>
      <c r="AJ778" s="26">
        <f t="shared" si="350"/>
        <v>73.260000000000005</v>
      </c>
      <c r="AK778" s="26">
        <f t="shared" si="352"/>
        <v>293.04000000000002</v>
      </c>
      <c r="AL778" s="224"/>
    </row>
    <row r="779" spans="1:38" s="62" customFormat="1">
      <c r="A779" s="25" t="s">
        <v>2908</v>
      </c>
      <c r="B779" s="25" t="s">
        <v>2331</v>
      </c>
      <c r="C779" s="23" t="s">
        <v>283</v>
      </c>
      <c r="D779" s="25" t="s">
        <v>1915</v>
      </c>
      <c r="E779" s="25" t="s">
        <v>17</v>
      </c>
      <c r="F779" s="26">
        <v>2</v>
      </c>
      <c r="G779" s="26">
        <f t="shared" si="344"/>
        <v>40.910499999999999</v>
      </c>
      <c r="H779" s="26">
        <f t="shared" si="358"/>
        <v>51.88</v>
      </c>
      <c r="I779" s="26">
        <f t="shared" si="359"/>
        <v>103.76</v>
      </c>
      <c r="J779" s="64">
        <f>'COMPOSIÇÃO DE CUSTOS'!G1456</f>
        <v>40.909999999999997</v>
      </c>
      <c r="K779" s="362">
        <v>48.13</v>
      </c>
      <c r="L779" s="65">
        <f t="shared" si="347"/>
        <v>-7.2195000000000036</v>
      </c>
      <c r="M779" s="65">
        <f t="shared" si="348"/>
        <v>81.820999999999998</v>
      </c>
      <c r="N779" s="65"/>
      <c r="O779" s="65">
        <f t="shared" si="349"/>
        <v>103.76</v>
      </c>
      <c r="P779" s="65" t="e">
        <f>IF(B779&lt;&gt;0,VLOOKUP(B779,#REF!,2,FALSE),"")</f>
        <v>#REF!</v>
      </c>
      <c r="R779" s="62">
        <f t="shared" si="357"/>
        <v>-2</v>
      </c>
      <c r="AD779" s="221"/>
      <c r="AE779" s="481"/>
      <c r="AF779" s="481"/>
      <c r="AG779" s="481"/>
      <c r="AH779" s="481"/>
      <c r="AI779" s="873">
        <f t="shared" si="351"/>
        <v>45.57</v>
      </c>
      <c r="AJ779" s="26">
        <f t="shared" si="350"/>
        <v>57.79</v>
      </c>
      <c r="AK779" s="26">
        <f t="shared" si="352"/>
        <v>115.58</v>
      </c>
      <c r="AL779" s="224"/>
    </row>
    <row r="780" spans="1:38" s="62" customFormat="1">
      <c r="A780" s="77" t="s">
        <v>2909</v>
      </c>
      <c r="B780" s="139"/>
      <c r="C780" s="139" t="s">
        <v>2910</v>
      </c>
      <c r="D780" s="341"/>
      <c r="E780" s="341"/>
      <c r="F780" s="341"/>
      <c r="G780" s="26"/>
      <c r="H780" s="341"/>
      <c r="I780" s="96"/>
      <c r="J780" s="64" t="str">
        <f>IF(B780&lt;&gt;0,VLOOKUP(B780,#REF!,4,FALSE),"")</f>
        <v/>
      </c>
      <c r="K780" s="362" t="s">
        <v>1892</v>
      </c>
      <c r="L780" s="65"/>
      <c r="M780" s="65">
        <f t="shared" si="348"/>
        <v>0</v>
      </c>
      <c r="N780" s="65"/>
      <c r="O780" s="65">
        <f t="shared" si="349"/>
        <v>0</v>
      </c>
      <c r="P780" s="65" t="str">
        <f>IF(B780&lt;&gt;0,VLOOKUP(B780,#REF!,2,FALSE),"")</f>
        <v/>
      </c>
      <c r="Q780" s="62">
        <v>1</v>
      </c>
      <c r="R780" s="62">
        <f t="shared" si="357"/>
        <v>1</v>
      </c>
      <c r="AD780" s="221"/>
      <c r="AE780" s="481"/>
      <c r="AF780" s="481"/>
      <c r="AG780" s="481"/>
      <c r="AH780" s="481"/>
      <c r="AI780" s="873"/>
      <c r="AJ780" s="26"/>
      <c r="AK780" s="26"/>
      <c r="AL780" s="224"/>
    </row>
    <row r="781" spans="1:38" s="62" customFormat="1" ht="45">
      <c r="A781" s="25" t="s">
        <v>2911</v>
      </c>
      <c r="B781" s="24">
        <v>3836</v>
      </c>
      <c r="C781" s="23" t="s">
        <v>2332</v>
      </c>
      <c r="D781" s="25" t="s">
        <v>44</v>
      </c>
      <c r="E781" s="25" t="s">
        <v>17</v>
      </c>
      <c r="F781" s="26">
        <v>1</v>
      </c>
      <c r="G781" s="26">
        <f t="shared" si="344"/>
        <v>410.44799999999998</v>
      </c>
      <c r="H781" s="26">
        <f t="shared" ref="H781:H794" si="360">ROUND(G781*(1+$J$13),2)</f>
        <v>520.49</v>
      </c>
      <c r="I781" s="26">
        <f t="shared" ref="I781:I794" si="361">ROUND(H781*F781,2)</f>
        <v>520.49</v>
      </c>
      <c r="J781" s="64">
        <f>'COMPOSIÇÃO DE CUSTOS'!G1399</f>
        <v>410.45</v>
      </c>
      <c r="K781" s="362">
        <v>482.88</v>
      </c>
      <c r="L781" s="65">
        <f t="shared" si="347"/>
        <v>-72.432000000000016</v>
      </c>
      <c r="M781" s="65">
        <f t="shared" si="348"/>
        <v>410.44799999999998</v>
      </c>
      <c r="N781" s="65"/>
      <c r="O781" s="65">
        <f t="shared" si="349"/>
        <v>520.49</v>
      </c>
      <c r="P781" s="65" t="e">
        <f>IF(B781&lt;&gt;0,VLOOKUP(B781,#REF!,2,FALSE),"")</f>
        <v>#REF!</v>
      </c>
      <c r="Q781" s="62">
        <v>1</v>
      </c>
      <c r="R781" s="62">
        <f t="shared" si="357"/>
        <v>0</v>
      </c>
      <c r="AD781" s="221"/>
      <c r="AE781" s="481"/>
      <c r="AF781" s="481"/>
      <c r="AG781" s="481"/>
      <c r="AH781" s="481"/>
      <c r="AI781" s="873">
        <f t="shared" si="351"/>
        <v>457.24</v>
      </c>
      <c r="AJ781" s="26">
        <f t="shared" si="350"/>
        <v>579.83000000000004</v>
      </c>
      <c r="AK781" s="26">
        <f t="shared" si="352"/>
        <v>579.83000000000004</v>
      </c>
      <c r="AL781" s="224"/>
    </row>
    <row r="782" spans="1:38" s="62" customFormat="1" ht="45">
      <c r="A782" s="250" t="s">
        <v>3611</v>
      </c>
      <c r="B782" s="24">
        <v>93669</v>
      </c>
      <c r="C782" s="470" t="s">
        <v>3771</v>
      </c>
      <c r="D782" s="25" t="s">
        <v>12</v>
      </c>
      <c r="E782" s="25" t="s">
        <v>17</v>
      </c>
      <c r="F782" s="26">
        <v>1</v>
      </c>
      <c r="G782" s="26">
        <f t="shared" si="344"/>
        <v>61.429499999999997</v>
      </c>
      <c r="H782" s="26">
        <f t="shared" si="360"/>
        <v>77.900000000000006</v>
      </c>
      <c r="I782" s="26">
        <f t="shared" si="361"/>
        <v>77.900000000000006</v>
      </c>
      <c r="J782" s="65" t="e">
        <f>IF(B782&lt;&gt;0,VLOOKUP(B782,#REF!,4,FALSE),"")</f>
        <v>#REF!</v>
      </c>
      <c r="K782" s="362" t="s">
        <v>3245</v>
      </c>
      <c r="L782" s="65">
        <f t="shared" si="347"/>
        <v>-10.840499999999999</v>
      </c>
      <c r="M782" s="65">
        <f t="shared" si="348"/>
        <v>61.429499999999997</v>
      </c>
      <c r="N782" s="65"/>
      <c r="O782" s="65">
        <f t="shared" si="349"/>
        <v>77.900000000000006</v>
      </c>
      <c r="P782" s="65" t="e">
        <f>IF(B782&lt;&gt;0,VLOOKUP(B782,#REF!,2,FALSE),"")</f>
        <v>#REF!</v>
      </c>
      <c r="Q782" s="62">
        <v>2</v>
      </c>
      <c r="R782" s="62">
        <f t="shared" si="357"/>
        <v>1</v>
      </c>
      <c r="AD782" s="221"/>
      <c r="AE782" s="481"/>
      <c r="AF782" s="481"/>
      <c r="AG782" s="481"/>
      <c r="AH782" s="481"/>
      <c r="AI782" s="873">
        <f t="shared" si="351"/>
        <v>68.430000000000007</v>
      </c>
      <c r="AJ782" s="26">
        <f t="shared" si="350"/>
        <v>86.78</v>
      </c>
      <c r="AK782" s="26">
        <f t="shared" si="352"/>
        <v>86.78</v>
      </c>
      <c r="AL782" s="224"/>
    </row>
    <row r="783" spans="1:38" s="62" customFormat="1" ht="45">
      <c r="A783" s="25" t="s">
        <v>2912</v>
      </c>
      <c r="B783" s="24">
        <v>93654</v>
      </c>
      <c r="C783" s="23" t="s">
        <v>1730</v>
      </c>
      <c r="D783" s="25" t="s">
        <v>12</v>
      </c>
      <c r="E783" s="25" t="s">
        <v>17</v>
      </c>
      <c r="F783" s="26">
        <v>2</v>
      </c>
      <c r="G783" s="26">
        <f t="shared" si="344"/>
        <v>9.6050000000000004</v>
      </c>
      <c r="H783" s="26">
        <f t="shared" si="360"/>
        <v>12.18</v>
      </c>
      <c r="I783" s="26">
        <f t="shared" si="361"/>
        <v>24.36</v>
      </c>
      <c r="J783" s="65" t="e">
        <f>IF(B783&lt;&gt;0,VLOOKUP(B783,#REF!,4,FALSE),"")</f>
        <v>#REF!</v>
      </c>
      <c r="K783" s="362" t="s">
        <v>3243</v>
      </c>
      <c r="L783" s="65">
        <f t="shared" si="347"/>
        <v>-1.6950000000000003</v>
      </c>
      <c r="M783" s="65">
        <f t="shared" si="348"/>
        <v>19.21</v>
      </c>
      <c r="N783" s="65"/>
      <c r="O783" s="65">
        <f t="shared" si="349"/>
        <v>24.36</v>
      </c>
      <c r="P783" s="65" t="e">
        <f>IF(B783&lt;&gt;0,VLOOKUP(B783,#REF!,2,FALSE),"")</f>
        <v>#REF!</v>
      </c>
      <c r="Q783" s="62">
        <v>2</v>
      </c>
      <c r="R783" s="62">
        <f t="shared" si="357"/>
        <v>0</v>
      </c>
      <c r="AD783" s="221"/>
      <c r="AE783" s="481"/>
      <c r="AF783" s="481"/>
      <c r="AG783" s="481"/>
      <c r="AH783" s="481"/>
      <c r="AI783" s="873">
        <f t="shared" si="351"/>
        <v>10.7</v>
      </c>
      <c r="AJ783" s="26">
        <f t="shared" si="350"/>
        <v>13.57</v>
      </c>
      <c r="AK783" s="26">
        <f t="shared" si="352"/>
        <v>27.14</v>
      </c>
      <c r="AL783" s="224"/>
    </row>
    <row r="784" spans="1:38" s="62" customFormat="1" ht="45" customHeight="1">
      <c r="A784" s="25" t="s">
        <v>2913</v>
      </c>
      <c r="B784" s="25" t="s">
        <v>2322</v>
      </c>
      <c r="C784" s="23" t="s">
        <v>277</v>
      </c>
      <c r="D784" s="25" t="s">
        <v>1915</v>
      </c>
      <c r="E784" s="25" t="s">
        <v>17</v>
      </c>
      <c r="F784" s="26">
        <v>2</v>
      </c>
      <c r="G784" s="26">
        <f t="shared" si="344"/>
        <v>100.232</v>
      </c>
      <c r="H784" s="26">
        <f t="shared" si="360"/>
        <v>127.1</v>
      </c>
      <c r="I784" s="26">
        <f t="shared" si="361"/>
        <v>254.2</v>
      </c>
      <c r="J784" s="64">
        <f>'COMPOSIÇÃO DE CUSTOS'!G1413</f>
        <v>100.23</v>
      </c>
      <c r="K784" s="362">
        <v>117.92</v>
      </c>
      <c r="L784" s="65">
        <f t="shared" si="347"/>
        <v>-17.688000000000002</v>
      </c>
      <c r="M784" s="65">
        <f t="shared" si="348"/>
        <v>200.464</v>
      </c>
      <c r="N784" s="65"/>
      <c r="O784" s="65">
        <f t="shared" si="349"/>
        <v>254.2</v>
      </c>
      <c r="P784" s="65" t="e">
        <f>IF(B784&lt;&gt;0,VLOOKUP(B784,#REF!,2,FALSE),"")</f>
        <v>#REF!</v>
      </c>
      <c r="Q784" s="62">
        <v>2</v>
      </c>
      <c r="R784" s="62">
        <f t="shared" si="357"/>
        <v>0</v>
      </c>
      <c r="AD784" s="221"/>
      <c r="AE784" s="481"/>
      <c r="AF784" s="481"/>
      <c r="AG784" s="481"/>
      <c r="AH784" s="481"/>
      <c r="AI784" s="873">
        <f t="shared" si="351"/>
        <v>111.66</v>
      </c>
      <c r="AJ784" s="26">
        <f t="shared" si="350"/>
        <v>141.6</v>
      </c>
      <c r="AK784" s="26">
        <f t="shared" si="352"/>
        <v>283.2</v>
      </c>
      <c r="AL784" s="224"/>
    </row>
    <row r="785" spans="1:38" s="62" customFormat="1" ht="45">
      <c r="A785" s="25" t="s">
        <v>2914</v>
      </c>
      <c r="B785" s="24">
        <v>72343</v>
      </c>
      <c r="C785" s="23" t="s">
        <v>291</v>
      </c>
      <c r="D785" s="25" t="s">
        <v>1915</v>
      </c>
      <c r="E785" s="25" t="s">
        <v>17</v>
      </c>
      <c r="F785" s="26">
        <v>2</v>
      </c>
      <c r="G785" s="26">
        <f t="shared" si="344"/>
        <v>227.42599999999999</v>
      </c>
      <c r="H785" s="26">
        <f t="shared" si="360"/>
        <v>288.39999999999998</v>
      </c>
      <c r="I785" s="26">
        <f t="shared" si="361"/>
        <v>576.79999999999995</v>
      </c>
      <c r="J785" s="64">
        <f>'COMPOSIÇÃO DE CUSTOS'!G1464</f>
        <v>227.42</v>
      </c>
      <c r="K785" s="362">
        <v>267.56</v>
      </c>
      <c r="L785" s="65">
        <f t="shared" si="347"/>
        <v>-40.134000000000015</v>
      </c>
      <c r="M785" s="65">
        <f t="shared" si="348"/>
        <v>454.85199999999998</v>
      </c>
      <c r="N785" s="65"/>
      <c r="O785" s="65">
        <f t="shared" si="349"/>
        <v>576.79999999999995</v>
      </c>
      <c r="P785" s="65" t="e">
        <f>IF(B785&lt;&gt;0,VLOOKUP(B785,#REF!,2,FALSE),"")</f>
        <v>#REF!</v>
      </c>
      <c r="Q785" s="62">
        <v>2</v>
      </c>
      <c r="R785" s="62">
        <f t="shared" si="357"/>
        <v>0</v>
      </c>
      <c r="AD785" s="221"/>
      <c r="AE785" s="481"/>
      <c r="AF785" s="481"/>
      <c r="AG785" s="481"/>
      <c r="AH785" s="481"/>
      <c r="AI785" s="873">
        <f t="shared" si="351"/>
        <v>253.35</v>
      </c>
      <c r="AJ785" s="26">
        <f t="shared" si="350"/>
        <v>321.27</v>
      </c>
      <c r="AK785" s="26">
        <f t="shared" si="352"/>
        <v>642.54</v>
      </c>
      <c r="AL785" s="224"/>
    </row>
    <row r="786" spans="1:38" s="62" customFormat="1" ht="15" customHeight="1">
      <c r="A786" s="25" t="s">
        <v>2915</v>
      </c>
      <c r="B786" s="25" t="s">
        <v>2335</v>
      </c>
      <c r="C786" s="23" t="s">
        <v>292</v>
      </c>
      <c r="D786" s="25" t="s">
        <v>1915</v>
      </c>
      <c r="E786" s="25" t="s">
        <v>17</v>
      </c>
      <c r="F786" s="26">
        <v>2</v>
      </c>
      <c r="G786" s="26">
        <f t="shared" si="344"/>
        <v>191.79399999999998</v>
      </c>
      <c r="H786" s="26">
        <f t="shared" si="360"/>
        <v>243.21</v>
      </c>
      <c r="I786" s="26">
        <f t="shared" si="361"/>
        <v>486.42</v>
      </c>
      <c r="J786" s="64">
        <f>'COMPOSIÇÃO DE CUSTOS'!G1472</f>
        <v>191.8</v>
      </c>
      <c r="K786" s="362">
        <v>225.64</v>
      </c>
      <c r="L786" s="65">
        <f t="shared" si="347"/>
        <v>-33.846000000000004</v>
      </c>
      <c r="M786" s="65">
        <f t="shared" si="348"/>
        <v>383.58799999999997</v>
      </c>
      <c r="N786" s="65"/>
      <c r="O786" s="65">
        <f t="shared" si="349"/>
        <v>486.42</v>
      </c>
      <c r="P786" s="65" t="e">
        <f>IF(B786&lt;&gt;0,VLOOKUP(B786,#REF!,2,FALSE),"")</f>
        <v>#REF!</v>
      </c>
      <c r="Q786" s="62">
        <v>2</v>
      </c>
      <c r="R786" s="62">
        <f t="shared" si="357"/>
        <v>0</v>
      </c>
      <c r="AD786" s="221"/>
      <c r="AE786" s="481"/>
      <c r="AF786" s="481"/>
      <c r="AG786" s="481"/>
      <c r="AH786" s="481"/>
      <c r="AI786" s="873">
        <f t="shared" si="351"/>
        <v>213.66</v>
      </c>
      <c r="AJ786" s="26">
        <f t="shared" si="350"/>
        <v>270.94</v>
      </c>
      <c r="AK786" s="26">
        <f t="shared" si="352"/>
        <v>541.88</v>
      </c>
      <c r="AL786" s="224"/>
    </row>
    <row r="787" spans="1:38" s="62" customFormat="1">
      <c r="A787" s="25" t="s">
        <v>2916</v>
      </c>
      <c r="B787" s="25" t="s">
        <v>2323</v>
      </c>
      <c r="C787" s="23" t="s">
        <v>278</v>
      </c>
      <c r="D787" s="25" t="s">
        <v>1915</v>
      </c>
      <c r="E787" s="25" t="s">
        <v>17</v>
      </c>
      <c r="F787" s="26">
        <v>2</v>
      </c>
      <c r="G787" s="26">
        <f t="shared" si="344"/>
        <v>113.61949999999999</v>
      </c>
      <c r="H787" s="26">
        <f t="shared" si="360"/>
        <v>144.08000000000001</v>
      </c>
      <c r="I787" s="26">
        <f t="shared" si="361"/>
        <v>288.16000000000003</v>
      </c>
      <c r="J787" s="64">
        <f>'COMPOSIÇÃO DE CUSTOS'!G1420</f>
        <v>113.62</v>
      </c>
      <c r="K787" s="362">
        <v>133.66999999999999</v>
      </c>
      <c r="L787" s="65">
        <f t="shared" si="347"/>
        <v>-20.0505</v>
      </c>
      <c r="M787" s="65">
        <f t="shared" si="348"/>
        <v>227.23899999999998</v>
      </c>
      <c r="N787" s="65"/>
      <c r="O787" s="65">
        <f t="shared" si="349"/>
        <v>288.16000000000003</v>
      </c>
      <c r="P787" s="65" t="e">
        <f>IF(B787&lt;&gt;0,VLOOKUP(B787,#REF!,2,FALSE),"")</f>
        <v>#REF!</v>
      </c>
      <c r="Q787" s="62">
        <v>50</v>
      </c>
      <c r="R787" s="62">
        <f t="shared" si="357"/>
        <v>48</v>
      </c>
      <c r="AD787" s="221"/>
      <c r="AE787" s="481"/>
      <c r="AF787" s="481"/>
      <c r="AG787" s="481"/>
      <c r="AH787" s="481"/>
      <c r="AI787" s="873">
        <f t="shared" si="351"/>
        <v>126.57</v>
      </c>
      <c r="AJ787" s="26">
        <f t="shared" si="350"/>
        <v>160.5</v>
      </c>
      <c r="AK787" s="26">
        <f t="shared" si="352"/>
        <v>321</v>
      </c>
      <c r="AL787" s="224"/>
    </row>
    <row r="788" spans="1:38" s="62" customFormat="1" ht="45">
      <c r="A788" s="250" t="s">
        <v>3612</v>
      </c>
      <c r="B788" s="24">
        <v>1571</v>
      </c>
      <c r="C788" s="470" t="s">
        <v>3760</v>
      </c>
      <c r="D788" s="25" t="s">
        <v>12</v>
      </c>
      <c r="E788" s="25" t="s">
        <v>17</v>
      </c>
      <c r="F788" s="26">
        <v>50</v>
      </c>
      <c r="G788" s="26">
        <f t="shared" si="344"/>
        <v>1.0114999999999998</v>
      </c>
      <c r="H788" s="26">
        <f t="shared" si="360"/>
        <v>1.28</v>
      </c>
      <c r="I788" s="26">
        <f t="shared" si="361"/>
        <v>64</v>
      </c>
      <c r="J788" s="64" t="e">
        <f>IF(B788&lt;&gt;0,VLOOKUP(B788,#REF!,4,FALSE),"")</f>
        <v>#REF!</v>
      </c>
      <c r="K788" s="362" t="s">
        <v>1844</v>
      </c>
      <c r="L788" s="65">
        <f t="shared" si="347"/>
        <v>-0.1785000000000001</v>
      </c>
      <c r="M788" s="65">
        <f t="shared" si="348"/>
        <v>50.574999999999989</v>
      </c>
      <c r="N788" s="65"/>
      <c r="O788" s="65">
        <f t="shared" si="349"/>
        <v>64</v>
      </c>
      <c r="P788" s="65" t="e">
        <f>IF(B788&lt;&gt;0,VLOOKUP(B788,#REF!,2,FALSE),"")</f>
        <v>#REF!</v>
      </c>
      <c r="Q788" s="62">
        <v>25</v>
      </c>
      <c r="R788" s="62">
        <f t="shared" si="357"/>
        <v>-25</v>
      </c>
      <c r="AD788" s="221"/>
      <c r="AE788" s="481"/>
      <c r="AF788" s="481"/>
      <c r="AG788" s="481"/>
      <c r="AH788" s="481"/>
      <c r="AI788" s="873">
        <f t="shared" si="351"/>
        <v>1.1299999999999999</v>
      </c>
      <c r="AJ788" s="26">
        <f t="shared" si="350"/>
        <v>1.43</v>
      </c>
      <c r="AK788" s="26">
        <f t="shared" si="352"/>
        <v>71.5</v>
      </c>
      <c r="AL788" s="224"/>
    </row>
    <row r="789" spans="1:38" s="62" customFormat="1" ht="45">
      <c r="A789" s="250" t="s">
        <v>3613</v>
      </c>
      <c r="B789" s="24">
        <v>1573</v>
      </c>
      <c r="C789" s="470" t="s">
        <v>3758</v>
      </c>
      <c r="D789" s="25" t="s">
        <v>12</v>
      </c>
      <c r="E789" s="25" t="s">
        <v>221</v>
      </c>
      <c r="F789" s="26">
        <v>25</v>
      </c>
      <c r="G789" s="26">
        <f t="shared" si="344"/>
        <v>1.1984999999999999</v>
      </c>
      <c r="H789" s="26">
        <f t="shared" si="360"/>
        <v>1.52</v>
      </c>
      <c r="I789" s="26">
        <f t="shared" si="361"/>
        <v>38</v>
      </c>
      <c r="J789" s="64" t="e">
        <f>IF(B789&lt;&gt;0,VLOOKUP(B789,#REF!,4,FALSE),"")</f>
        <v>#REF!</v>
      </c>
      <c r="K789" s="362" t="s">
        <v>3191</v>
      </c>
      <c r="L789" s="65">
        <f t="shared" si="347"/>
        <v>-0.21150000000000002</v>
      </c>
      <c r="M789" s="65">
        <f t="shared" si="348"/>
        <v>29.962499999999999</v>
      </c>
      <c r="N789" s="65"/>
      <c r="O789" s="65">
        <f t="shared" si="349"/>
        <v>38</v>
      </c>
      <c r="P789" s="65" t="e">
        <f>IF(B789&lt;&gt;0,VLOOKUP(B789,#REF!,2,FALSE),"")</f>
        <v>#REF!</v>
      </c>
      <c r="Q789" s="62">
        <v>100</v>
      </c>
      <c r="R789" s="62">
        <f t="shared" si="357"/>
        <v>75</v>
      </c>
      <c r="AD789" s="221"/>
      <c r="AE789" s="481"/>
      <c r="AF789" s="481"/>
      <c r="AG789" s="481"/>
      <c r="AH789" s="481"/>
      <c r="AI789" s="873">
        <f t="shared" si="351"/>
        <v>1.34</v>
      </c>
      <c r="AJ789" s="26">
        <f t="shared" si="350"/>
        <v>1.7</v>
      </c>
      <c r="AK789" s="26">
        <f t="shared" si="352"/>
        <v>42.5</v>
      </c>
      <c r="AL789" s="224"/>
    </row>
    <row r="790" spans="1:38" s="62" customFormat="1" ht="45">
      <c r="A790" s="250" t="s">
        <v>3614</v>
      </c>
      <c r="B790" s="24">
        <v>1570</v>
      </c>
      <c r="C790" s="470" t="s">
        <v>3757</v>
      </c>
      <c r="D790" s="25" t="s">
        <v>12</v>
      </c>
      <c r="E790" s="25" t="s">
        <v>17</v>
      </c>
      <c r="F790" s="26">
        <v>100</v>
      </c>
      <c r="G790" s="26">
        <f t="shared" ref="G790:G853" si="362">K790-(K790*$L$14)</f>
        <v>0.77350000000000008</v>
      </c>
      <c r="H790" s="26">
        <f t="shared" si="360"/>
        <v>0.98</v>
      </c>
      <c r="I790" s="26">
        <f t="shared" si="361"/>
        <v>98</v>
      </c>
      <c r="J790" s="64" t="e">
        <f>IF(B790&lt;&gt;0,VLOOKUP(B790,#REF!,4,FALSE),"")</f>
        <v>#REF!</v>
      </c>
      <c r="K790" s="362" t="s">
        <v>1859</v>
      </c>
      <c r="L790" s="65">
        <f t="shared" ref="L790:L853" si="363">G790-K790</f>
        <v>-0.13649999999999995</v>
      </c>
      <c r="M790" s="65">
        <f t="shared" ref="M790:M853" si="364">F790*G790</f>
        <v>77.350000000000009</v>
      </c>
      <c r="N790" s="65"/>
      <c r="O790" s="65">
        <f t="shared" ref="O790:O853" si="365">F790*H790</f>
        <v>98</v>
      </c>
      <c r="P790" s="65" t="e">
        <f>IF(B790&lt;&gt;0,VLOOKUP(B790,#REF!,2,FALSE),"")</f>
        <v>#REF!</v>
      </c>
      <c r="Q790" s="62">
        <v>2</v>
      </c>
      <c r="R790" s="62">
        <f t="shared" si="357"/>
        <v>-98</v>
      </c>
      <c r="AD790" s="221"/>
      <c r="AE790" s="481"/>
      <c r="AF790" s="481"/>
      <c r="AG790" s="481"/>
      <c r="AH790" s="481"/>
      <c r="AI790" s="873">
        <f t="shared" si="351"/>
        <v>0.86</v>
      </c>
      <c r="AJ790" s="26">
        <f t="shared" ref="AJ790:AJ844" si="366">ROUND(AI790*(1+$J$13),2)</f>
        <v>1.0900000000000001</v>
      </c>
      <c r="AK790" s="26">
        <f t="shared" si="352"/>
        <v>109</v>
      </c>
      <c r="AL790" s="224"/>
    </row>
    <row r="791" spans="1:38" s="62" customFormat="1" ht="45">
      <c r="A791" s="25" t="s">
        <v>2917</v>
      </c>
      <c r="B791" s="24">
        <v>91931</v>
      </c>
      <c r="C791" s="23" t="s">
        <v>1737</v>
      </c>
      <c r="D791" s="25" t="s">
        <v>12</v>
      </c>
      <c r="E791" s="25" t="s">
        <v>52</v>
      </c>
      <c r="F791" s="26">
        <v>2</v>
      </c>
      <c r="G791" s="26">
        <f t="shared" si="362"/>
        <v>7.9474999999999998</v>
      </c>
      <c r="H791" s="26">
        <f t="shared" si="360"/>
        <v>10.08</v>
      </c>
      <c r="I791" s="26">
        <f t="shared" si="361"/>
        <v>20.16</v>
      </c>
      <c r="J791" s="65" t="e">
        <f>IF(B791&lt;&gt;0,VLOOKUP(B791,#REF!,4,FALSE),"")</f>
        <v>#REF!</v>
      </c>
      <c r="K791" s="362" t="s">
        <v>1902</v>
      </c>
      <c r="L791" s="65">
        <f t="shared" si="363"/>
        <v>-1.4024999999999999</v>
      </c>
      <c r="M791" s="65">
        <f t="shared" si="364"/>
        <v>15.895</v>
      </c>
      <c r="N791" s="65"/>
      <c r="O791" s="65">
        <f t="shared" si="365"/>
        <v>20.16</v>
      </c>
      <c r="P791" s="65" t="e">
        <f>IF(B791&lt;&gt;0,VLOOKUP(B791,#REF!,2,FALSE),"")</f>
        <v>#REF!</v>
      </c>
      <c r="Q791" s="62">
        <v>1</v>
      </c>
      <c r="R791" s="62">
        <f t="shared" si="357"/>
        <v>-1</v>
      </c>
      <c r="AD791" s="221"/>
      <c r="AE791" s="481"/>
      <c r="AF791" s="481"/>
      <c r="AG791" s="481"/>
      <c r="AH791" s="481"/>
      <c r="AI791" s="873">
        <f t="shared" ref="AI791:AI844" si="367">ROUND(G791*$AM$11,2)</f>
        <v>8.85</v>
      </c>
      <c r="AJ791" s="26">
        <f t="shared" si="366"/>
        <v>11.22</v>
      </c>
      <c r="AK791" s="26">
        <f t="shared" ref="AK791:AK844" si="368">ROUND(AJ791*F791,2)</f>
        <v>22.44</v>
      </c>
      <c r="AL791" s="224"/>
    </row>
    <row r="792" spans="1:38" s="62" customFormat="1" ht="30">
      <c r="A792" s="25" t="s">
        <v>2918</v>
      </c>
      <c r="B792" s="24">
        <v>64355</v>
      </c>
      <c r="C792" s="23" t="s">
        <v>280</v>
      </c>
      <c r="D792" s="25" t="s">
        <v>1915</v>
      </c>
      <c r="E792" s="25" t="s">
        <v>17</v>
      </c>
      <c r="F792" s="26">
        <v>1</v>
      </c>
      <c r="G792" s="26">
        <f t="shared" si="362"/>
        <v>182.55450000000002</v>
      </c>
      <c r="H792" s="26">
        <f t="shared" si="360"/>
        <v>231.5</v>
      </c>
      <c r="I792" s="26">
        <f t="shared" si="361"/>
        <v>231.5</v>
      </c>
      <c r="J792" s="64">
        <f>'COMPOSIÇÃO DE CUSTOS'!G1435</f>
        <v>182.56</v>
      </c>
      <c r="K792" s="362">
        <v>214.77</v>
      </c>
      <c r="L792" s="65">
        <f t="shared" si="363"/>
        <v>-32.215499999999992</v>
      </c>
      <c r="M792" s="65">
        <f t="shared" si="364"/>
        <v>182.55450000000002</v>
      </c>
      <c r="N792" s="65"/>
      <c r="O792" s="65">
        <f t="shared" si="365"/>
        <v>231.5</v>
      </c>
      <c r="P792" s="65" t="e">
        <f>IF(B792&lt;&gt;0,VLOOKUP(B792,#REF!,2,FALSE),"")</f>
        <v>#REF!</v>
      </c>
      <c r="Q792" s="62">
        <v>4</v>
      </c>
      <c r="R792" s="62">
        <f t="shared" si="357"/>
        <v>3</v>
      </c>
      <c r="AD792" s="221"/>
      <c r="AE792" s="481"/>
      <c r="AF792" s="481"/>
      <c r="AG792" s="481"/>
      <c r="AH792" s="481"/>
      <c r="AI792" s="873">
        <f t="shared" si="367"/>
        <v>203.37</v>
      </c>
      <c r="AJ792" s="26">
        <f t="shared" si="366"/>
        <v>257.89</v>
      </c>
      <c r="AK792" s="26">
        <f t="shared" si="368"/>
        <v>257.89</v>
      </c>
      <c r="AL792" s="224"/>
    </row>
    <row r="793" spans="1:38" s="62" customFormat="1" ht="30">
      <c r="A793" s="25" t="s">
        <v>2919</v>
      </c>
      <c r="B793" s="24">
        <v>3803</v>
      </c>
      <c r="C793" s="23" t="s">
        <v>282</v>
      </c>
      <c r="D793" s="25" t="s">
        <v>44</v>
      </c>
      <c r="E793" s="25" t="s">
        <v>17</v>
      </c>
      <c r="F793" s="26">
        <v>4</v>
      </c>
      <c r="G793" s="26">
        <f t="shared" si="362"/>
        <v>51.858499999999999</v>
      </c>
      <c r="H793" s="26">
        <f t="shared" si="360"/>
        <v>65.760000000000005</v>
      </c>
      <c r="I793" s="26">
        <f t="shared" si="361"/>
        <v>263.04000000000002</v>
      </c>
      <c r="J793" s="64">
        <f>'COMPOSIÇÃO DE CUSTOS'!G1449</f>
        <v>51.86</v>
      </c>
      <c r="K793" s="362">
        <v>61.01</v>
      </c>
      <c r="L793" s="65">
        <f t="shared" si="363"/>
        <v>-9.1514999999999986</v>
      </c>
      <c r="M793" s="65">
        <f t="shared" si="364"/>
        <v>207.434</v>
      </c>
      <c r="N793" s="65"/>
      <c r="O793" s="65">
        <f t="shared" si="365"/>
        <v>263.04000000000002</v>
      </c>
      <c r="P793" s="65" t="e">
        <f>IF(B793&lt;&gt;0,VLOOKUP(B793,#REF!,2,FALSE),"")</f>
        <v>#REF!</v>
      </c>
      <c r="Q793" s="62">
        <v>2</v>
      </c>
      <c r="R793" s="62">
        <f t="shared" si="357"/>
        <v>-2</v>
      </c>
      <c r="AD793" s="221"/>
      <c r="AE793" s="481"/>
      <c r="AF793" s="481"/>
      <c r="AG793" s="481"/>
      <c r="AH793" s="481"/>
      <c r="AI793" s="873">
        <f t="shared" si="367"/>
        <v>57.77</v>
      </c>
      <c r="AJ793" s="26">
        <f t="shared" si="366"/>
        <v>73.260000000000005</v>
      </c>
      <c r="AK793" s="26">
        <f t="shared" si="368"/>
        <v>293.04000000000002</v>
      </c>
      <c r="AL793" s="224"/>
    </row>
    <row r="794" spans="1:38" s="62" customFormat="1" ht="30">
      <c r="A794" s="25" t="s">
        <v>2920</v>
      </c>
      <c r="B794" s="25" t="s">
        <v>2331</v>
      </c>
      <c r="C794" s="23" t="s">
        <v>283</v>
      </c>
      <c r="D794" s="25" t="s">
        <v>1915</v>
      </c>
      <c r="E794" s="25" t="s">
        <v>17</v>
      </c>
      <c r="F794" s="26">
        <v>2</v>
      </c>
      <c r="G794" s="26">
        <f t="shared" si="362"/>
        <v>40.910499999999999</v>
      </c>
      <c r="H794" s="26">
        <f t="shared" si="360"/>
        <v>51.88</v>
      </c>
      <c r="I794" s="26">
        <f t="shared" si="361"/>
        <v>103.76</v>
      </c>
      <c r="J794" s="64">
        <f>'COMPOSIÇÃO DE CUSTOS'!G1456</f>
        <v>40.909999999999997</v>
      </c>
      <c r="K794" s="362">
        <v>48.13</v>
      </c>
      <c r="L794" s="65">
        <f t="shared" si="363"/>
        <v>-7.2195000000000036</v>
      </c>
      <c r="M794" s="65">
        <f t="shared" si="364"/>
        <v>81.820999999999998</v>
      </c>
      <c r="N794" s="65"/>
      <c r="O794" s="65">
        <f t="shared" si="365"/>
        <v>103.76</v>
      </c>
      <c r="P794" s="65" t="e">
        <f>IF(B794&lt;&gt;0,VLOOKUP(B794,#REF!,2,FALSE),"")</f>
        <v>#REF!</v>
      </c>
      <c r="R794" s="62">
        <f t="shared" si="357"/>
        <v>-2</v>
      </c>
      <c r="AD794" s="221"/>
      <c r="AE794" s="481"/>
      <c r="AF794" s="481"/>
      <c r="AG794" s="481"/>
      <c r="AH794" s="481"/>
      <c r="AI794" s="873">
        <f t="shared" si="367"/>
        <v>45.57</v>
      </c>
      <c r="AJ794" s="26">
        <f t="shared" si="366"/>
        <v>57.79</v>
      </c>
      <c r="AK794" s="26">
        <f t="shared" si="368"/>
        <v>115.58</v>
      </c>
      <c r="AL794" s="224"/>
    </row>
    <row r="795" spans="1:38" s="62" customFormat="1">
      <c r="A795" s="77" t="s">
        <v>2921</v>
      </c>
      <c r="B795" s="139"/>
      <c r="C795" s="139" t="s">
        <v>2922</v>
      </c>
      <c r="D795" s="341"/>
      <c r="E795" s="341"/>
      <c r="F795" s="341"/>
      <c r="G795" s="26"/>
      <c r="H795" s="341"/>
      <c r="I795" s="96"/>
      <c r="J795" s="65" t="str">
        <f>IF(B795&lt;&gt;0,VLOOKUP(B795,#REF!,4,FALSE),"")</f>
        <v/>
      </c>
      <c r="K795" s="362" t="s">
        <v>1892</v>
      </c>
      <c r="L795" s="65"/>
      <c r="M795" s="65">
        <f t="shared" si="364"/>
        <v>0</v>
      </c>
      <c r="N795" s="65"/>
      <c r="O795" s="65">
        <f t="shared" si="365"/>
        <v>0</v>
      </c>
      <c r="P795" s="65" t="str">
        <f>IF(B795&lt;&gt;0,VLOOKUP(B795,#REF!,2,FALSE),"")</f>
        <v/>
      </c>
      <c r="Q795" s="62">
        <v>1</v>
      </c>
      <c r="R795" s="62">
        <f t="shared" si="357"/>
        <v>1</v>
      </c>
      <c r="AD795" s="221"/>
      <c r="AE795" s="481"/>
      <c r="AF795" s="481"/>
      <c r="AG795" s="481"/>
      <c r="AH795" s="481"/>
      <c r="AI795" s="873"/>
      <c r="AJ795" s="26"/>
      <c r="AK795" s="26"/>
      <c r="AL795" s="224"/>
    </row>
    <row r="796" spans="1:38" s="62" customFormat="1" ht="75">
      <c r="A796" s="250" t="s">
        <v>3615</v>
      </c>
      <c r="B796" s="24">
        <v>101875</v>
      </c>
      <c r="C796" s="470" t="s">
        <v>3769</v>
      </c>
      <c r="D796" s="25" t="s">
        <v>12</v>
      </c>
      <c r="E796" s="25" t="s">
        <v>17</v>
      </c>
      <c r="F796" s="26">
        <v>1</v>
      </c>
      <c r="G796" s="26">
        <f t="shared" si="362"/>
        <v>316.88</v>
      </c>
      <c r="H796" s="26">
        <f>ROUND(G796*(1+$J$13),2)</f>
        <v>401.84</v>
      </c>
      <c r="I796" s="26">
        <f t="shared" ref="I796:I799" si="369">ROUND(H796*F796,2)</f>
        <v>401.84</v>
      </c>
      <c r="J796" s="65" t="e">
        <f>IF(B796&lt;&gt;0,VLOOKUP(B796,#REF!,4,FALSE),"")</f>
        <v>#REF!</v>
      </c>
      <c r="K796" s="362" t="s">
        <v>3248</v>
      </c>
      <c r="L796" s="65">
        <f t="shared" si="363"/>
        <v>-55.920000000000016</v>
      </c>
      <c r="M796" s="65">
        <f t="shared" si="364"/>
        <v>316.88</v>
      </c>
      <c r="N796" s="65"/>
      <c r="O796" s="65">
        <f t="shared" si="365"/>
        <v>401.84</v>
      </c>
      <c r="P796" s="65" t="e">
        <f>IF(B796&lt;&gt;0,VLOOKUP(B796,#REF!,2,FALSE),"")</f>
        <v>#REF!</v>
      </c>
      <c r="Q796" s="62">
        <v>1</v>
      </c>
      <c r="R796" s="62">
        <f t="shared" si="357"/>
        <v>0</v>
      </c>
      <c r="AD796" s="221"/>
      <c r="AE796" s="481"/>
      <c r="AF796" s="481"/>
      <c r="AG796" s="481"/>
      <c r="AH796" s="481"/>
      <c r="AI796" s="873">
        <f t="shared" si="367"/>
        <v>353.01</v>
      </c>
      <c r="AJ796" s="26">
        <f t="shared" si="366"/>
        <v>447.65</v>
      </c>
      <c r="AK796" s="26">
        <f t="shared" si="368"/>
        <v>447.65</v>
      </c>
      <c r="AL796" s="224"/>
    </row>
    <row r="797" spans="1:38" s="62" customFormat="1">
      <c r="A797" s="25" t="s">
        <v>2923</v>
      </c>
      <c r="B797" s="24">
        <v>93673</v>
      </c>
      <c r="C797" s="23" t="s">
        <v>2924</v>
      </c>
      <c r="D797" s="25" t="s">
        <v>12</v>
      </c>
      <c r="E797" s="25" t="s">
        <v>17</v>
      </c>
      <c r="F797" s="26">
        <v>1</v>
      </c>
      <c r="G797" s="26">
        <f t="shared" si="362"/>
        <v>73.057500000000005</v>
      </c>
      <c r="H797" s="26">
        <f>ROUND(G797*(1+$J$13),2)</f>
        <v>92.64</v>
      </c>
      <c r="I797" s="26">
        <f t="shared" si="369"/>
        <v>92.64</v>
      </c>
      <c r="J797" s="65" t="e">
        <f>IF(B797&lt;&gt;0,VLOOKUP(B797,#REF!,4,FALSE),"")</f>
        <v>#REF!</v>
      </c>
      <c r="K797" s="362" t="s">
        <v>3247</v>
      </c>
      <c r="L797" s="65">
        <f t="shared" si="363"/>
        <v>-12.892499999999998</v>
      </c>
      <c r="M797" s="65">
        <f t="shared" si="364"/>
        <v>73.057500000000005</v>
      </c>
      <c r="N797" s="65"/>
      <c r="O797" s="65">
        <f t="shared" si="365"/>
        <v>92.64</v>
      </c>
      <c r="P797" s="65" t="e">
        <f>IF(B797&lt;&gt;0,VLOOKUP(B797,#REF!,2,FALSE),"")</f>
        <v>#REF!</v>
      </c>
      <c r="Q797" s="62">
        <v>2</v>
      </c>
      <c r="R797" s="62">
        <f t="shared" si="357"/>
        <v>1</v>
      </c>
      <c r="AD797" s="221"/>
      <c r="AE797" s="481"/>
      <c r="AF797" s="481"/>
      <c r="AG797" s="481"/>
      <c r="AH797" s="481"/>
      <c r="AI797" s="873">
        <f t="shared" si="367"/>
        <v>81.39</v>
      </c>
      <c r="AJ797" s="26">
        <f t="shared" si="366"/>
        <v>103.21</v>
      </c>
      <c r="AK797" s="26">
        <f t="shared" si="368"/>
        <v>103.21</v>
      </c>
      <c r="AL797" s="224"/>
    </row>
    <row r="798" spans="1:38" s="62" customFormat="1" ht="45">
      <c r="A798" s="250" t="s">
        <v>3616</v>
      </c>
      <c r="B798" s="24">
        <v>1575</v>
      </c>
      <c r="C798" s="470" t="s">
        <v>3765</v>
      </c>
      <c r="D798" s="25" t="s">
        <v>12</v>
      </c>
      <c r="E798" s="25" t="s">
        <v>17</v>
      </c>
      <c r="F798" s="26">
        <v>2</v>
      </c>
      <c r="G798" s="26">
        <f t="shared" si="362"/>
        <v>1.5470000000000002</v>
      </c>
      <c r="H798" s="26">
        <f>ROUND(G798*(1+$J$13),2)</f>
        <v>1.96</v>
      </c>
      <c r="I798" s="26">
        <f t="shared" si="369"/>
        <v>3.92</v>
      </c>
      <c r="J798" s="64" t="e">
        <f>IF(B798&lt;&gt;0,VLOOKUP(B798,#REF!,4,FALSE),"")</f>
        <v>#REF!</v>
      </c>
      <c r="K798" s="362" t="s">
        <v>1862</v>
      </c>
      <c r="L798" s="65">
        <f t="shared" si="363"/>
        <v>-0.27299999999999991</v>
      </c>
      <c r="M798" s="65">
        <f t="shared" si="364"/>
        <v>3.0940000000000003</v>
      </c>
      <c r="N798" s="65"/>
      <c r="O798" s="65">
        <f t="shared" si="365"/>
        <v>3.92</v>
      </c>
      <c r="P798" s="65" t="e">
        <f>IF(B798&lt;&gt;0,VLOOKUP(B798,#REF!,2,FALSE),"")</f>
        <v>#REF!</v>
      </c>
      <c r="Q798" s="62">
        <v>14</v>
      </c>
      <c r="R798" s="62">
        <f t="shared" si="357"/>
        <v>12</v>
      </c>
      <c r="AD798" s="221"/>
      <c r="AE798" s="481"/>
      <c r="AF798" s="481"/>
      <c r="AG798" s="481"/>
      <c r="AH798" s="481"/>
      <c r="AI798" s="873">
        <f t="shared" si="367"/>
        <v>1.72</v>
      </c>
      <c r="AJ798" s="26">
        <f t="shared" si="366"/>
        <v>2.1800000000000002</v>
      </c>
      <c r="AK798" s="26">
        <f t="shared" si="368"/>
        <v>4.3600000000000003</v>
      </c>
      <c r="AL798" s="224"/>
    </row>
    <row r="799" spans="1:38" s="62" customFormat="1" ht="45">
      <c r="A799" s="250" t="s">
        <v>3617</v>
      </c>
      <c r="B799" s="24">
        <v>1577</v>
      </c>
      <c r="C799" s="470" t="s">
        <v>3753</v>
      </c>
      <c r="D799" s="25" t="s">
        <v>12</v>
      </c>
      <c r="E799" s="25" t="s">
        <v>17</v>
      </c>
      <c r="F799" s="26">
        <v>14</v>
      </c>
      <c r="G799" s="26">
        <f t="shared" si="362"/>
        <v>2.4055</v>
      </c>
      <c r="H799" s="26">
        <f>ROUND(G799*(1+$J$13),2)</f>
        <v>3.05</v>
      </c>
      <c r="I799" s="26">
        <f t="shared" si="369"/>
        <v>42.7</v>
      </c>
      <c r="J799" s="64" t="e">
        <f>IF(B799&lt;&gt;0,VLOOKUP(B799,#REF!,4,FALSE),"")</f>
        <v>#REF!</v>
      </c>
      <c r="K799" s="362" t="s">
        <v>1895</v>
      </c>
      <c r="L799" s="65">
        <f t="shared" si="363"/>
        <v>-0.4245000000000001</v>
      </c>
      <c r="M799" s="65">
        <f t="shared" si="364"/>
        <v>33.677</v>
      </c>
      <c r="N799" s="65"/>
      <c r="O799" s="65">
        <f t="shared" si="365"/>
        <v>42.699999999999996</v>
      </c>
      <c r="P799" s="65" t="e">
        <f>IF(B799&lt;&gt;0,VLOOKUP(B799,#REF!,2,FALSE),"")</f>
        <v>#REF!</v>
      </c>
      <c r="R799" s="62">
        <f t="shared" si="357"/>
        <v>-14</v>
      </c>
      <c r="AD799" s="221"/>
      <c r="AE799" s="481"/>
      <c r="AF799" s="481"/>
      <c r="AG799" s="481"/>
      <c r="AH799" s="481"/>
      <c r="AI799" s="873">
        <f t="shared" si="367"/>
        <v>2.68</v>
      </c>
      <c r="AJ799" s="26">
        <f t="shared" si="366"/>
        <v>3.4</v>
      </c>
      <c r="AK799" s="26">
        <f t="shared" si="368"/>
        <v>47.6</v>
      </c>
      <c r="AL799" s="224"/>
    </row>
    <row r="800" spans="1:38" s="62" customFormat="1">
      <c r="A800" s="77" t="s">
        <v>2925</v>
      </c>
      <c r="B800" s="139"/>
      <c r="C800" s="139" t="s">
        <v>2926</v>
      </c>
      <c r="D800" s="341"/>
      <c r="E800" s="341"/>
      <c r="F800" s="341"/>
      <c r="G800" s="26"/>
      <c r="H800" s="341"/>
      <c r="I800" s="96"/>
      <c r="J800" s="65" t="str">
        <f>IF(B800&lt;&gt;0,VLOOKUP(B800,#REF!,4,FALSE),"")</f>
        <v/>
      </c>
      <c r="K800" s="362" t="s">
        <v>1892</v>
      </c>
      <c r="L800" s="65"/>
      <c r="M800" s="65">
        <f t="shared" si="364"/>
        <v>0</v>
      </c>
      <c r="N800" s="65"/>
      <c r="O800" s="65">
        <f t="shared" si="365"/>
        <v>0</v>
      </c>
      <c r="P800" s="65" t="str">
        <f>IF(B800&lt;&gt;0,VLOOKUP(B800,#REF!,2,FALSE),"")</f>
        <v/>
      </c>
      <c r="Q800" s="62">
        <v>1</v>
      </c>
      <c r="R800" s="62">
        <f t="shared" si="357"/>
        <v>1</v>
      </c>
      <c r="AD800" s="221"/>
      <c r="AE800" s="481"/>
      <c r="AF800" s="481"/>
      <c r="AG800" s="481"/>
      <c r="AH800" s="481"/>
      <c r="AI800" s="873"/>
      <c r="AJ800" s="26"/>
      <c r="AK800" s="26"/>
      <c r="AL800" s="224"/>
    </row>
    <row r="801" spans="1:38" s="62" customFormat="1" ht="75">
      <c r="A801" s="250" t="s">
        <v>3618</v>
      </c>
      <c r="B801" s="24">
        <v>101875</v>
      </c>
      <c r="C801" s="470" t="s">
        <v>3769</v>
      </c>
      <c r="D801" s="25" t="s">
        <v>12</v>
      </c>
      <c r="E801" s="25" t="s">
        <v>17</v>
      </c>
      <c r="F801" s="26">
        <v>1</v>
      </c>
      <c r="G801" s="26">
        <f t="shared" si="362"/>
        <v>316.88</v>
      </c>
      <c r="H801" s="26">
        <f>ROUND(G801*(1+$J$13),2)</f>
        <v>401.84</v>
      </c>
      <c r="I801" s="26">
        <f t="shared" ref="I801:I805" si="370">ROUND(H801*F801,2)</f>
        <v>401.84</v>
      </c>
      <c r="J801" s="65" t="e">
        <f>IF(B801&lt;&gt;0,VLOOKUP(B801,#REF!,4,FALSE),"")</f>
        <v>#REF!</v>
      </c>
      <c r="K801" s="362" t="s">
        <v>3248</v>
      </c>
      <c r="L801" s="65">
        <f t="shared" si="363"/>
        <v>-55.920000000000016</v>
      </c>
      <c r="M801" s="65">
        <f t="shared" si="364"/>
        <v>316.88</v>
      </c>
      <c r="N801" s="65"/>
      <c r="O801" s="65">
        <f t="shared" si="365"/>
        <v>401.84</v>
      </c>
      <c r="P801" s="65" t="e">
        <f>IF(B801&lt;&gt;0,VLOOKUP(B801,#REF!,2,FALSE),"")</f>
        <v>#REF!</v>
      </c>
      <c r="Q801" s="62">
        <v>1</v>
      </c>
      <c r="R801" s="62">
        <f t="shared" si="357"/>
        <v>0</v>
      </c>
      <c r="AD801" s="221"/>
      <c r="AE801" s="481"/>
      <c r="AF801" s="481"/>
      <c r="AG801" s="481"/>
      <c r="AH801" s="481"/>
      <c r="AI801" s="873">
        <f t="shared" si="367"/>
        <v>353.01</v>
      </c>
      <c r="AJ801" s="26">
        <f t="shared" si="366"/>
        <v>447.65</v>
      </c>
      <c r="AK801" s="26">
        <f t="shared" si="368"/>
        <v>447.65</v>
      </c>
      <c r="AL801" s="224"/>
    </row>
    <row r="802" spans="1:38" s="62" customFormat="1">
      <c r="A802" s="25" t="s">
        <v>2927</v>
      </c>
      <c r="B802" s="24">
        <v>93668</v>
      </c>
      <c r="C802" s="23" t="s">
        <v>2928</v>
      </c>
      <c r="D802" s="25" t="s">
        <v>12</v>
      </c>
      <c r="E802" s="25" t="s">
        <v>17</v>
      </c>
      <c r="F802" s="26">
        <v>1</v>
      </c>
      <c r="G802" s="26">
        <f t="shared" si="362"/>
        <v>59.202500000000008</v>
      </c>
      <c r="H802" s="26">
        <f>ROUND(G802*(1+$J$13),2)</f>
        <v>75.069999999999993</v>
      </c>
      <c r="I802" s="26">
        <f t="shared" si="370"/>
        <v>75.069999999999993</v>
      </c>
      <c r="J802" s="65" t="e">
        <f>IF(B802&lt;&gt;0,VLOOKUP(B802,#REF!,4,FALSE),"")</f>
        <v>#REF!</v>
      </c>
      <c r="K802" s="362" t="s">
        <v>3244</v>
      </c>
      <c r="L802" s="65">
        <f t="shared" si="363"/>
        <v>-10.447499999999998</v>
      </c>
      <c r="M802" s="65">
        <f t="shared" si="364"/>
        <v>59.202500000000008</v>
      </c>
      <c r="N802" s="65"/>
      <c r="O802" s="65">
        <f t="shared" si="365"/>
        <v>75.069999999999993</v>
      </c>
      <c r="P802" s="65" t="e">
        <f>IF(B802&lt;&gt;0,VLOOKUP(B802,#REF!,2,FALSE),"")</f>
        <v>#REF!</v>
      </c>
      <c r="Q802" s="62">
        <v>2</v>
      </c>
      <c r="R802" s="62">
        <f t="shared" si="357"/>
        <v>1</v>
      </c>
      <c r="AD802" s="221"/>
      <c r="AE802" s="481"/>
      <c r="AF802" s="481"/>
      <c r="AG802" s="481"/>
      <c r="AH802" s="481"/>
      <c r="AI802" s="873">
        <f t="shared" si="367"/>
        <v>65.95</v>
      </c>
      <c r="AJ802" s="26">
        <f t="shared" si="366"/>
        <v>83.63</v>
      </c>
      <c r="AK802" s="26">
        <f t="shared" si="368"/>
        <v>83.63</v>
      </c>
      <c r="AL802" s="224"/>
    </row>
    <row r="803" spans="1:38" s="62" customFormat="1">
      <c r="A803" s="25" t="s">
        <v>2929</v>
      </c>
      <c r="B803" s="24">
        <v>101894</v>
      </c>
      <c r="C803" s="23" t="s">
        <v>2930</v>
      </c>
      <c r="D803" s="25" t="s">
        <v>12</v>
      </c>
      <c r="E803" s="25" t="s">
        <v>17</v>
      </c>
      <c r="F803" s="26">
        <v>2</v>
      </c>
      <c r="G803" s="26">
        <f t="shared" si="362"/>
        <v>120.09649999999999</v>
      </c>
      <c r="H803" s="26">
        <f>ROUND(G803*(1+$J$13),2)</f>
        <v>152.29</v>
      </c>
      <c r="I803" s="26">
        <f t="shared" si="370"/>
        <v>304.58</v>
      </c>
      <c r="J803" s="65" t="e">
        <f>IF(B803&lt;&gt;0,VLOOKUP(B803,#REF!,4,FALSE),"")</f>
        <v>#REF!</v>
      </c>
      <c r="K803" s="362" t="s">
        <v>3253</v>
      </c>
      <c r="L803" s="65">
        <f t="shared" si="363"/>
        <v>-21.1935</v>
      </c>
      <c r="M803" s="65">
        <f t="shared" si="364"/>
        <v>240.19299999999998</v>
      </c>
      <c r="N803" s="65"/>
      <c r="O803" s="65">
        <f t="shared" si="365"/>
        <v>304.58</v>
      </c>
      <c r="P803" s="65" t="e">
        <f>IF(B803&lt;&gt;0,VLOOKUP(B803,#REF!,2,FALSE),"")</f>
        <v>#REF!</v>
      </c>
      <c r="Q803" s="62">
        <v>3</v>
      </c>
      <c r="R803" s="62">
        <f t="shared" si="357"/>
        <v>1</v>
      </c>
      <c r="AD803" s="221"/>
      <c r="AE803" s="481"/>
      <c r="AF803" s="481"/>
      <c r="AG803" s="481"/>
      <c r="AH803" s="481"/>
      <c r="AI803" s="873">
        <f t="shared" si="367"/>
        <v>133.79</v>
      </c>
      <c r="AJ803" s="26">
        <f t="shared" si="366"/>
        <v>169.66</v>
      </c>
      <c r="AK803" s="26">
        <f t="shared" si="368"/>
        <v>339.32</v>
      </c>
      <c r="AL803" s="224"/>
    </row>
    <row r="804" spans="1:38" s="62" customFormat="1" ht="45">
      <c r="A804" s="250" t="s">
        <v>3619</v>
      </c>
      <c r="B804" s="24">
        <v>1575</v>
      </c>
      <c r="C804" s="470" t="s">
        <v>3765</v>
      </c>
      <c r="D804" s="25" t="s">
        <v>12</v>
      </c>
      <c r="E804" s="25" t="s">
        <v>17</v>
      </c>
      <c r="F804" s="26">
        <v>3</v>
      </c>
      <c r="G804" s="26">
        <f t="shared" si="362"/>
        <v>1.5470000000000002</v>
      </c>
      <c r="H804" s="26">
        <f>ROUND(G804*(1+$J$13),2)</f>
        <v>1.96</v>
      </c>
      <c r="I804" s="26">
        <f t="shared" si="370"/>
        <v>5.88</v>
      </c>
      <c r="J804" s="64" t="e">
        <f>IF(B804&lt;&gt;0,VLOOKUP(B804,#REF!,4,FALSE),"")</f>
        <v>#REF!</v>
      </c>
      <c r="K804" s="362" t="s">
        <v>1862</v>
      </c>
      <c r="L804" s="65">
        <f t="shared" si="363"/>
        <v>-0.27299999999999991</v>
      </c>
      <c r="M804" s="65">
        <f t="shared" si="364"/>
        <v>4.641</v>
      </c>
      <c r="N804" s="65"/>
      <c r="O804" s="65">
        <f t="shared" si="365"/>
        <v>5.88</v>
      </c>
      <c r="P804" s="65" t="e">
        <f>IF(B804&lt;&gt;0,VLOOKUP(B804,#REF!,2,FALSE),"")</f>
        <v>#REF!</v>
      </c>
      <c r="Q804" s="62">
        <v>24</v>
      </c>
      <c r="R804" s="62">
        <f t="shared" si="357"/>
        <v>21</v>
      </c>
      <c r="AD804" s="221"/>
      <c r="AE804" s="481"/>
      <c r="AF804" s="481"/>
      <c r="AG804" s="481"/>
      <c r="AH804" s="481"/>
      <c r="AI804" s="873">
        <f t="shared" si="367"/>
        <v>1.72</v>
      </c>
      <c r="AJ804" s="26">
        <f t="shared" si="366"/>
        <v>2.1800000000000002</v>
      </c>
      <c r="AK804" s="26">
        <f t="shared" si="368"/>
        <v>6.54</v>
      </c>
      <c r="AL804" s="224"/>
    </row>
    <row r="805" spans="1:38" s="62" customFormat="1" ht="45">
      <c r="A805" s="250" t="s">
        <v>3620</v>
      </c>
      <c r="B805" s="24">
        <v>1577</v>
      </c>
      <c r="C805" s="470" t="s">
        <v>3753</v>
      </c>
      <c r="D805" s="25" t="s">
        <v>12</v>
      </c>
      <c r="E805" s="25" t="s">
        <v>17</v>
      </c>
      <c r="F805" s="26">
        <v>24</v>
      </c>
      <c r="G805" s="26">
        <f t="shared" si="362"/>
        <v>2.4055</v>
      </c>
      <c r="H805" s="26">
        <f>ROUND(G805*(1+$J$13),2)</f>
        <v>3.05</v>
      </c>
      <c r="I805" s="26">
        <f t="shared" si="370"/>
        <v>73.2</v>
      </c>
      <c r="J805" s="64" t="e">
        <f>IF(B805&lt;&gt;0,VLOOKUP(B805,#REF!,4,FALSE),"")</f>
        <v>#REF!</v>
      </c>
      <c r="K805" s="362" t="s">
        <v>1895</v>
      </c>
      <c r="L805" s="65">
        <f t="shared" si="363"/>
        <v>-0.4245000000000001</v>
      </c>
      <c r="M805" s="65">
        <f t="shared" si="364"/>
        <v>57.731999999999999</v>
      </c>
      <c r="N805" s="65"/>
      <c r="O805" s="65">
        <f t="shared" si="365"/>
        <v>73.199999999999989</v>
      </c>
      <c r="P805" s="65" t="e">
        <f>IF(B805&lt;&gt;0,VLOOKUP(B805,#REF!,2,FALSE),"")</f>
        <v>#REF!</v>
      </c>
      <c r="R805" s="62">
        <f t="shared" si="357"/>
        <v>-24</v>
      </c>
      <c r="AD805" s="221"/>
      <c r="AE805" s="481"/>
      <c r="AF805" s="481"/>
      <c r="AG805" s="481"/>
      <c r="AH805" s="481"/>
      <c r="AI805" s="873">
        <f t="shared" si="367"/>
        <v>2.68</v>
      </c>
      <c r="AJ805" s="26">
        <f t="shared" si="366"/>
        <v>3.4</v>
      </c>
      <c r="AK805" s="26">
        <f t="shared" si="368"/>
        <v>81.599999999999994</v>
      </c>
      <c r="AL805" s="224"/>
    </row>
    <row r="806" spans="1:38" s="62" customFormat="1">
      <c r="A806" s="77" t="s">
        <v>2931</v>
      </c>
      <c r="B806" s="139"/>
      <c r="C806" s="139" t="s">
        <v>2932</v>
      </c>
      <c r="D806" s="341"/>
      <c r="E806" s="341"/>
      <c r="F806" s="341"/>
      <c r="G806" s="26"/>
      <c r="H806" s="341"/>
      <c r="I806" s="96"/>
      <c r="J806" s="65" t="str">
        <f>IF(B806&lt;&gt;0,VLOOKUP(B806,#REF!,4,FALSE),"")</f>
        <v/>
      </c>
      <c r="K806" s="362" t="s">
        <v>1892</v>
      </c>
      <c r="L806" s="65"/>
      <c r="M806" s="65">
        <f t="shared" si="364"/>
        <v>0</v>
      </c>
      <c r="N806" s="65"/>
      <c r="O806" s="65">
        <f t="shared" si="365"/>
        <v>0</v>
      </c>
      <c r="P806" s="65" t="str">
        <f>IF(B806&lt;&gt;0,VLOOKUP(B806,#REF!,2,FALSE),"")</f>
        <v/>
      </c>
      <c r="Q806" s="62">
        <v>1</v>
      </c>
      <c r="R806" s="62">
        <f t="shared" si="357"/>
        <v>1</v>
      </c>
      <c r="AD806" s="221"/>
      <c r="AE806" s="481"/>
      <c r="AF806" s="481"/>
      <c r="AG806" s="481"/>
      <c r="AH806" s="481"/>
      <c r="AI806" s="873"/>
      <c r="AJ806" s="26"/>
      <c r="AK806" s="26"/>
      <c r="AL806" s="224"/>
    </row>
    <row r="807" spans="1:38" s="62" customFormat="1" ht="75">
      <c r="A807" s="250" t="s">
        <v>3621</v>
      </c>
      <c r="B807" s="24">
        <v>101875</v>
      </c>
      <c r="C807" s="470" t="s">
        <v>3769</v>
      </c>
      <c r="D807" s="25" t="s">
        <v>12</v>
      </c>
      <c r="E807" s="25" t="s">
        <v>17</v>
      </c>
      <c r="F807" s="26">
        <v>1</v>
      </c>
      <c r="G807" s="26">
        <f t="shared" si="362"/>
        <v>316.88</v>
      </c>
      <c r="H807" s="26">
        <f>ROUND(G807*(1+$J$13),2)</f>
        <v>401.84</v>
      </c>
      <c r="I807" s="26">
        <f t="shared" ref="I807:I810" si="371">ROUND(H807*F807,2)</f>
        <v>401.84</v>
      </c>
      <c r="J807" s="65" t="e">
        <f>IF(B807&lt;&gt;0,VLOOKUP(B807,#REF!,4,FALSE),"")</f>
        <v>#REF!</v>
      </c>
      <c r="K807" s="362" t="s">
        <v>3248</v>
      </c>
      <c r="L807" s="65">
        <f t="shared" si="363"/>
        <v>-55.920000000000016</v>
      </c>
      <c r="M807" s="65">
        <f t="shared" si="364"/>
        <v>316.88</v>
      </c>
      <c r="N807" s="65"/>
      <c r="O807" s="65">
        <f t="shared" si="365"/>
        <v>401.84</v>
      </c>
      <c r="P807" s="65" t="e">
        <f>IF(B807&lt;&gt;0,VLOOKUP(B807,#REF!,2,FALSE),"")</f>
        <v>#REF!</v>
      </c>
      <c r="Q807" s="62">
        <v>1</v>
      </c>
      <c r="R807" s="62">
        <f t="shared" si="357"/>
        <v>0</v>
      </c>
      <c r="AD807" s="221"/>
      <c r="AE807" s="481"/>
      <c r="AF807" s="481"/>
      <c r="AG807" s="481"/>
      <c r="AH807" s="481"/>
      <c r="AI807" s="873">
        <f t="shared" si="367"/>
        <v>353.01</v>
      </c>
      <c r="AJ807" s="26">
        <f t="shared" si="366"/>
        <v>447.65</v>
      </c>
      <c r="AK807" s="26">
        <f t="shared" si="368"/>
        <v>447.65</v>
      </c>
      <c r="AL807" s="224"/>
    </row>
    <row r="808" spans="1:38" s="62" customFormat="1">
      <c r="A808" s="25" t="s">
        <v>2933</v>
      </c>
      <c r="B808" s="24">
        <v>101894</v>
      </c>
      <c r="C808" s="23" t="s">
        <v>2487</v>
      </c>
      <c r="D808" s="25" t="s">
        <v>12</v>
      </c>
      <c r="E808" s="25" t="s">
        <v>17</v>
      </c>
      <c r="F808" s="26">
        <v>1</v>
      </c>
      <c r="G808" s="26">
        <f t="shared" si="362"/>
        <v>120.09649999999999</v>
      </c>
      <c r="H808" s="26">
        <f>ROUND(G808*(1+$J$13),2)</f>
        <v>152.29</v>
      </c>
      <c r="I808" s="26">
        <f t="shared" si="371"/>
        <v>152.29</v>
      </c>
      <c r="J808" s="65" t="e">
        <f>IF(B808&lt;&gt;0,VLOOKUP(B808,#REF!,4,FALSE),"")</f>
        <v>#REF!</v>
      </c>
      <c r="K808" s="362" t="s">
        <v>3253</v>
      </c>
      <c r="L808" s="65">
        <f t="shared" si="363"/>
        <v>-21.1935</v>
      </c>
      <c r="M808" s="65">
        <f t="shared" si="364"/>
        <v>120.09649999999999</v>
      </c>
      <c r="N808" s="65"/>
      <c r="O808" s="65">
        <f t="shared" si="365"/>
        <v>152.29</v>
      </c>
      <c r="P808" s="65" t="e">
        <f>IF(B808&lt;&gt;0,VLOOKUP(B808,#REF!,2,FALSE),"")</f>
        <v>#REF!</v>
      </c>
      <c r="Q808" s="62">
        <v>2</v>
      </c>
      <c r="R808" s="62">
        <f t="shared" si="357"/>
        <v>1</v>
      </c>
      <c r="AD808" s="221"/>
      <c r="AE808" s="481"/>
      <c r="AF808" s="481"/>
      <c r="AG808" s="481"/>
      <c r="AH808" s="481"/>
      <c r="AI808" s="873">
        <f t="shared" si="367"/>
        <v>133.79</v>
      </c>
      <c r="AJ808" s="26">
        <f t="shared" si="366"/>
        <v>169.66</v>
      </c>
      <c r="AK808" s="26">
        <f t="shared" si="368"/>
        <v>169.66</v>
      </c>
      <c r="AL808" s="224"/>
    </row>
    <row r="809" spans="1:38" s="62" customFormat="1" ht="45">
      <c r="A809" s="250" t="s">
        <v>3622</v>
      </c>
      <c r="B809" s="24">
        <v>1577</v>
      </c>
      <c r="C809" s="470" t="s">
        <v>3753</v>
      </c>
      <c r="D809" s="25" t="s">
        <v>12</v>
      </c>
      <c r="E809" s="25" t="s">
        <v>17</v>
      </c>
      <c r="F809" s="26">
        <v>2</v>
      </c>
      <c r="G809" s="26">
        <f t="shared" si="362"/>
        <v>2.4055</v>
      </c>
      <c r="H809" s="26">
        <f>ROUND(G809*(1+$J$13),2)</f>
        <v>3.05</v>
      </c>
      <c r="I809" s="26">
        <f t="shared" si="371"/>
        <v>6.1</v>
      </c>
      <c r="J809" s="64" t="e">
        <f>IF(B809&lt;&gt;0,VLOOKUP(B809,#REF!,4,FALSE),"")</f>
        <v>#REF!</v>
      </c>
      <c r="K809" s="362" t="s">
        <v>1895</v>
      </c>
      <c r="L809" s="65">
        <f t="shared" si="363"/>
        <v>-0.4245000000000001</v>
      </c>
      <c r="M809" s="65">
        <f t="shared" si="364"/>
        <v>4.8109999999999999</v>
      </c>
      <c r="N809" s="65"/>
      <c r="O809" s="65">
        <f t="shared" si="365"/>
        <v>6.1</v>
      </c>
      <c r="P809" s="65" t="e">
        <f>IF(B809&lt;&gt;0,VLOOKUP(B809,#REF!,2,FALSE),"")</f>
        <v>#REF!</v>
      </c>
      <c r="Q809" s="62">
        <v>14</v>
      </c>
      <c r="R809" s="62">
        <f t="shared" si="357"/>
        <v>12</v>
      </c>
      <c r="AD809" s="221"/>
      <c r="AE809" s="481"/>
      <c r="AF809" s="481"/>
      <c r="AG809" s="481"/>
      <c r="AH809" s="481"/>
      <c r="AI809" s="873">
        <f t="shared" si="367"/>
        <v>2.68</v>
      </c>
      <c r="AJ809" s="26">
        <f t="shared" si="366"/>
        <v>3.4</v>
      </c>
      <c r="AK809" s="26">
        <f t="shared" si="368"/>
        <v>6.8</v>
      </c>
      <c r="AL809" s="224"/>
    </row>
    <row r="810" spans="1:38" s="62" customFormat="1" ht="45">
      <c r="A810" s="250" t="s">
        <v>3623</v>
      </c>
      <c r="B810" s="24">
        <v>1579</v>
      </c>
      <c r="C810" s="470" t="s">
        <v>3761</v>
      </c>
      <c r="D810" s="25" t="s">
        <v>12</v>
      </c>
      <c r="E810" s="25" t="s">
        <v>17</v>
      </c>
      <c r="F810" s="26">
        <v>14</v>
      </c>
      <c r="G810" s="26">
        <f t="shared" si="362"/>
        <v>5.2104999999999997</v>
      </c>
      <c r="H810" s="26">
        <f>ROUND(G810*(1+$J$13),2)</f>
        <v>6.61</v>
      </c>
      <c r="I810" s="26">
        <f t="shared" si="371"/>
        <v>92.54</v>
      </c>
      <c r="J810" s="64" t="e">
        <f>IF(B810&lt;&gt;0,VLOOKUP(B810,#REF!,4,FALSE),"")</f>
        <v>#REF!</v>
      </c>
      <c r="K810" s="362" t="s">
        <v>1847</v>
      </c>
      <c r="L810" s="65">
        <f t="shared" si="363"/>
        <v>-0.91950000000000021</v>
      </c>
      <c r="M810" s="65">
        <f t="shared" si="364"/>
        <v>72.947000000000003</v>
      </c>
      <c r="N810" s="65"/>
      <c r="O810" s="65">
        <f t="shared" si="365"/>
        <v>92.54</v>
      </c>
      <c r="P810" s="65" t="e">
        <f>IF(B810&lt;&gt;0,VLOOKUP(B810,#REF!,2,FALSE),"")</f>
        <v>#REF!</v>
      </c>
      <c r="R810" s="62">
        <f t="shared" si="357"/>
        <v>-14</v>
      </c>
      <c r="AD810" s="221"/>
      <c r="AE810" s="481"/>
      <c r="AF810" s="481"/>
      <c r="AG810" s="481"/>
      <c r="AH810" s="481"/>
      <c r="AI810" s="873">
        <f t="shared" si="367"/>
        <v>5.8</v>
      </c>
      <c r="AJ810" s="26">
        <f t="shared" si="366"/>
        <v>7.35</v>
      </c>
      <c r="AK810" s="26">
        <f t="shared" si="368"/>
        <v>102.9</v>
      </c>
      <c r="AL810" s="224"/>
    </row>
    <row r="811" spans="1:38" s="62" customFormat="1">
      <c r="A811" s="77" t="s">
        <v>2934</v>
      </c>
      <c r="B811" s="139"/>
      <c r="C811" s="139" t="s">
        <v>2935</v>
      </c>
      <c r="D811" s="341"/>
      <c r="E811" s="341"/>
      <c r="F811" s="341"/>
      <c r="G811" s="26"/>
      <c r="H811" s="341"/>
      <c r="I811" s="96"/>
      <c r="J811" s="65" t="str">
        <f>IF(B811&lt;&gt;0,VLOOKUP(B811,#REF!,4,FALSE),"")</f>
        <v/>
      </c>
      <c r="K811" s="362" t="s">
        <v>1892</v>
      </c>
      <c r="L811" s="65"/>
      <c r="M811" s="65">
        <f t="shared" si="364"/>
        <v>0</v>
      </c>
      <c r="N811" s="65"/>
      <c r="O811" s="65">
        <f t="shared" si="365"/>
        <v>0</v>
      </c>
      <c r="P811" s="65" t="str">
        <f>IF(B811&lt;&gt;0,VLOOKUP(B811,#REF!,2,FALSE),"")</f>
        <v/>
      </c>
      <c r="Q811" s="62">
        <v>1</v>
      </c>
      <c r="R811" s="62">
        <f t="shared" si="357"/>
        <v>1</v>
      </c>
      <c r="AD811" s="221"/>
      <c r="AE811" s="481"/>
      <c r="AF811" s="481"/>
      <c r="AG811" s="481"/>
      <c r="AH811" s="481"/>
      <c r="AI811" s="873"/>
      <c r="AJ811" s="26"/>
      <c r="AK811" s="26"/>
      <c r="AL811" s="224"/>
    </row>
    <row r="812" spans="1:38" s="62" customFormat="1" ht="60">
      <c r="A812" s="25" t="s">
        <v>2936</v>
      </c>
      <c r="B812" s="24">
        <v>101875</v>
      </c>
      <c r="C812" s="23" t="s">
        <v>2937</v>
      </c>
      <c r="D812" s="25" t="s">
        <v>12</v>
      </c>
      <c r="E812" s="25" t="s">
        <v>17</v>
      </c>
      <c r="F812" s="26">
        <v>1</v>
      </c>
      <c r="G812" s="26">
        <f t="shared" si="362"/>
        <v>316.88</v>
      </c>
      <c r="H812" s="26">
        <f>ROUND(G812*(1+$J$13),2)</f>
        <v>401.84</v>
      </c>
      <c r="I812" s="26">
        <f t="shared" ref="I812:I815" si="372">ROUND(H812*F812,2)</f>
        <v>401.84</v>
      </c>
      <c r="J812" s="65" t="e">
        <f>IF(B812&lt;&gt;0,VLOOKUP(B812,#REF!,4,FALSE),"")</f>
        <v>#REF!</v>
      </c>
      <c r="K812" s="362" t="s">
        <v>3248</v>
      </c>
      <c r="L812" s="65">
        <f t="shared" si="363"/>
        <v>-55.920000000000016</v>
      </c>
      <c r="M812" s="65">
        <f t="shared" si="364"/>
        <v>316.88</v>
      </c>
      <c r="N812" s="65"/>
      <c r="O812" s="65">
        <f t="shared" si="365"/>
        <v>401.84</v>
      </c>
      <c r="P812" s="65" t="e">
        <f>IF(B812&lt;&gt;0,VLOOKUP(B812,#REF!,2,FALSE),"")</f>
        <v>#REF!</v>
      </c>
      <c r="Q812" s="62">
        <v>1</v>
      </c>
      <c r="R812" s="62">
        <f t="shared" si="357"/>
        <v>0</v>
      </c>
      <c r="AD812" s="221"/>
      <c r="AE812" s="481"/>
      <c r="AF812" s="481"/>
      <c r="AG812" s="481"/>
      <c r="AH812" s="481"/>
      <c r="AI812" s="873">
        <f t="shared" si="367"/>
        <v>353.01</v>
      </c>
      <c r="AJ812" s="26">
        <f t="shared" si="366"/>
        <v>447.65</v>
      </c>
      <c r="AK812" s="26">
        <f t="shared" si="368"/>
        <v>447.65</v>
      </c>
      <c r="AL812" s="224"/>
    </row>
    <row r="813" spans="1:38" s="62" customFormat="1" ht="21.75" customHeight="1">
      <c r="A813" s="25" t="s">
        <v>2938</v>
      </c>
      <c r="B813" s="24">
        <v>101894</v>
      </c>
      <c r="C813" s="23" t="s">
        <v>2488</v>
      </c>
      <c r="D813" s="25" t="s">
        <v>12</v>
      </c>
      <c r="E813" s="25" t="s">
        <v>17</v>
      </c>
      <c r="F813" s="26">
        <v>1</v>
      </c>
      <c r="G813" s="26">
        <f t="shared" si="362"/>
        <v>120.09649999999999</v>
      </c>
      <c r="H813" s="26">
        <f>ROUND(G813*(1+$J$13),2)</f>
        <v>152.29</v>
      </c>
      <c r="I813" s="26">
        <f t="shared" si="372"/>
        <v>152.29</v>
      </c>
      <c r="J813" s="65" t="e">
        <f>IF(B813&lt;&gt;0,VLOOKUP(B813,#REF!,4,FALSE),"")</f>
        <v>#REF!</v>
      </c>
      <c r="K813" s="362" t="s">
        <v>3253</v>
      </c>
      <c r="L813" s="65">
        <f t="shared" si="363"/>
        <v>-21.1935</v>
      </c>
      <c r="M813" s="65">
        <f t="shared" si="364"/>
        <v>120.09649999999999</v>
      </c>
      <c r="N813" s="65"/>
      <c r="O813" s="65">
        <f t="shared" si="365"/>
        <v>152.29</v>
      </c>
      <c r="P813" s="65" t="e">
        <f>IF(B813&lt;&gt;0,VLOOKUP(B813,#REF!,2,FALSE),"")</f>
        <v>#REF!</v>
      </c>
      <c r="Q813" s="62">
        <v>2</v>
      </c>
      <c r="R813" s="62">
        <f t="shared" si="357"/>
        <v>1</v>
      </c>
      <c r="AD813" s="221"/>
      <c r="AE813" s="481"/>
      <c r="AF813" s="481"/>
      <c r="AG813" s="481"/>
      <c r="AH813" s="481"/>
      <c r="AI813" s="873">
        <f t="shared" si="367"/>
        <v>133.79</v>
      </c>
      <c r="AJ813" s="26">
        <f t="shared" si="366"/>
        <v>169.66</v>
      </c>
      <c r="AK813" s="26">
        <f t="shared" si="368"/>
        <v>169.66</v>
      </c>
      <c r="AL813" s="224"/>
    </row>
    <row r="814" spans="1:38" s="62" customFormat="1" ht="45">
      <c r="A814" s="250" t="s">
        <v>3625</v>
      </c>
      <c r="B814" s="24">
        <v>1577</v>
      </c>
      <c r="C814" s="470" t="s">
        <v>3753</v>
      </c>
      <c r="D814" s="25" t="s">
        <v>12</v>
      </c>
      <c r="E814" s="25" t="s">
        <v>17</v>
      </c>
      <c r="F814" s="26">
        <v>2</v>
      </c>
      <c r="G814" s="26">
        <f t="shared" si="362"/>
        <v>2.4055</v>
      </c>
      <c r="H814" s="26">
        <f>ROUND(G814*(1+$J$13),2)</f>
        <v>3.05</v>
      </c>
      <c r="I814" s="26">
        <f t="shared" si="372"/>
        <v>6.1</v>
      </c>
      <c r="J814" s="64" t="e">
        <f>IF(B814&lt;&gt;0,VLOOKUP(B814,#REF!,4,FALSE),"")</f>
        <v>#REF!</v>
      </c>
      <c r="K814" s="362" t="s">
        <v>1895</v>
      </c>
      <c r="L814" s="65">
        <f t="shared" si="363"/>
        <v>-0.4245000000000001</v>
      </c>
      <c r="M814" s="65">
        <f t="shared" si="364"/>
        <v>4.8109999999999999</v>
      </c>
      <c r="N814" s="65"/>
      <c r="O814" s="65">
        <f t="shared" si="365"/>
        <v>6.1</v>
      </c>
      <c r="P814" s="65" t="e">
        <f>IF(B814&lt;&gt;0,VLOOKUP(B814,#REF!,2,FALSE),"")</f>
        <v>#REF!</v>
      </c>
      <c r="Q814" s="62">
        <v>14</v>
      </c>
      <c r="R814" s="62">
        <f t="shared" si="357"/>
        <v>12</v>
      </c>
      <c r="AD814" s="221"/>
      <c r="AE814" s="481"/>
      <c r="AF814" s="481"/>
      <c r="AG814" s="481"/>
      <c r="AH814" s="481"/>
      <c r="AI814" s="873">
        <f t="shared" si="367"/>
        <v>2.68</v>
      </c>
      <c r="AJ814" s="26">
        <f t="shared" si="366"/>
        <v>3.4</v>
      </c>
      <c r="AK814" s="26">
        <f t="shared" si="368"/>
        <v>6.8</v>
      </c>
      <c r="AL814" s="224"/>
    </row>
    <row r="815" spans="1:38" s="62" customFormat="1" ht="45">
      <c r="A815" s="250" t="s">
        <v>3626</v>
      </c>
      <c r="B815" s="24">
        <v>1579</v>
      </c>
      <c r="C815" s="470" t="s">
        <v>3761</v>
      </c>
      <c r="D815" s="25" t="s">
        <v>12</v>
      </c>
      <c r="E815" s="25" t="s">
        <v>17</v>
      </c>
      <c r="F815" s="26">
        <v>14</v>
      </c>
      <c r="G815" s="26">
        <f t="shared" si="362"/>
        <v>5.2104999999999997</v>
      </c>
      <c r="H815" s="26">
        <f>ROUND(G815*(1+$J$13),2)</f>
        <v>6.61</v>
      </c>
      <c r="I815" s="26">
        <f t="shared" si="372"/>
        <v>92.54</v>
      </c>
      <c r="J815" s="64" t="e">
        <f>IF(B815&lt;&gt;0,VLOOKUP(B815,#REF!,4,FALSE),"")</f>
        <v>#REF!</v>
      </c>
      <c r="K815" s="362" t="s">
        <v>1847</v>
      </c>
      <c r="L815" s="65">
        <f t="shared" si="363"/>
        <v>-0.91950000000000021</v>
      </c>
      <c r="M815" s="65">
        <f t="shared" si="364"/>
        <v>72.947000000000003</v>
      </c>
      <c r="N815" s="65"/>
      <c r="O815" s="65">
        <f t="shared" si="365"/>
        <v>92.54</v>
      </c>
      <c r="P815" s="65" t="e">
        <f>IF(B815&lt;&gt;0,VLOOKUP(B815,#REF!,2,FALSE),"")</f>
        <v>#REF!</v>
      </c>
      <c r="R815" s="62">
        <f t="shared" si="357"/>
        <v>-14</v>
      </c>
      <c r="AD815" s="221"/>
      <c r="AE815" s="481"/>
      <c r="AF815" s="481"/>
      <c r="AG815" s="481"/>
      <c r="AH815" s="481"/>
      <c r="AI815" s="873">
        <f t="shared" si="367"/>
        <v>5.8</v>
      </c>
      <c r="AJ815" s="26">
        <f t="shared" si="366"/>
        <v>7.35</v>
      </c>
      <c r="AK815" s="26">
        <f t="shared" si="368"/>
        <v>102.9</v>
      </c>
      <c r="AL815" s="224"/>
    </row>
    <row r="816" spans="1:38" s="62" customFormat="1" ht="15" customHeight="1">
      <c r="A816" s="25"/>
      <c r="B816" s="24"/>
      <c r="C816" s="23"/>
      <c r="D816" s="25"/>
      <c r="E816" s="25"/>
      <c r="F816" s="26"/>
      <c r="G816" s="26"/>
      <c r="H816" s="26"/>
      <c r="I816" s="26"/>
      <c r="J816" s="65" t="str">
        <f>IF(B816&lt;&gt;0,VLOOKUP(B816,#REF!,4,FALSE),"")</f>
        <v/>
      </c>
      <c r="K816" s="362" t="s">
        <v>1892</v>
      </c>
      <c r="L816" s="65"/>
      <c r="M816" s="65">
        <f t="shared" si="364"/>
        <v>0</v>
      </c>
      <c r="N816" s="65"/>
      <c r="O816" s="65">
        <f t="shared" si="365"/>
        <v>0</v>
      </c>
      <c r="P816" s="65" t="str">
        <f>IF(B816&lt;&gt;0,VLOOKUP(B816,#REF!,2,FALSE),"")</f>
        <v/>
      </c>
      <c r="R816" s="62">
        <f t="shared" si="357"/>
        <v>0</v>
      </c>
      <c r="AD816" s="221"/>
      <c r="AE816" s="481"/>
      <c r="AF816" s="481"/>
      <c r="AG816" s="481"/>
      <c r="AH816" s="481"/>
      <c r="AI816" s="873"/>
      <c r="AJ816" s="26"/>
      <c r="AK816" s="26"/>
      <c r="AL816" s="224"/>
    </row>
    <row r="817" spans="1:38" s="62" customFormat="1">
      <c r="A817" s="77" t="s">
        <v>1373</v>
      </c>
      <c r="B817" s="139"/>
      <c r="C817" s="340" t="s">
        <v>294</v>
      </c>
      <c r="D817" s="341"/>
      <c r="E817" s="341"/>
      <c r="F817" s="341"/>
      <c r="G817" s="26"/>
      <c r="H817" s="341"/>
      <c r="I817" s="96">
        <f>ROUND(SUM(I819:I844),2)</f>
        <v>29130.73</v>
      </c>
      <c r="J817" s="65" t="str">
        <f>IF(B817&lt;&gt;0,VLOOKUP(B817,#REF!,4,FALSE),"")</f>
        <v/>
      </c>
      <c r="K817" s="362" t="s">
        <v>1892</v>
      </c>
      <c r="L817" s="65"/>
      <c r="M817" s="65">
        <f t="shared" si="364"/>
        <v>0</v>
      </c>
      <c r="N817" s="65"/>
      <c r="O817" s="65">
        <f t="shared" si="365"/>
        <v>0</v>
      </c>
      <c r="P817" s="65" t="str">
        <f>IF(B817&lt;&gt;0,VLOOKUP(B817,#REF!,2,FALSE),"")</f>
        <v/>
      </c>
      <c r="R817" s="62">
        <f t="shared" si="357"/>
        <v>0</v>
      </c>
      <c r="AD817" s="221"/>
      <c r="AE817" s="481"/>
      <c r="AF817" s="481"/>
      <c r="AG817" s="481"/>
      <c r="AH817" s="481"/>
      <c r="AI817" s="873"/>
      <c r="AJ817" s="26"/>
      <c r="AK817" s="96">
        <f>ROUND(SUM(AK819:AK844),2)</f>
        <v>32449.97</v>
      </c>
      <c r="AL817" s="224"/>
    </row>
    <row r="818" spans="1:38" s="62" customFormat="1">
      <c r="A818" s="77" t="s">
        <v>1374</v>
      </c>
      <c r="B818" s="139"/>
      <c r="C818" s="340" t="s">
        <v>193</v>
      </c>
      <c r="D818" s="341"/>
      <c r="E818" s="341"/>
      <c r="F818" s="341"/>
      <c r="G818" s="26"/>
      <c r="H818" s="341"/>
      <c r="I818" s="96"/>
      <c r="J818" s="65" t="str">
        <f>IF(B818&lt;&gt;0,VLOOKUP(B818,#REF!,4,FALSE),"")</f>
        <v/>
      </c>
      <c r="K818" s="362" t="s">
        <v>1892</v>
      </c>
      <c r="L818" s="65"/>
      <c r="M818" s="65">
        <f t="shared" si="364"/>
        <v>0</v>
      </c>
      <c r="N818" s="65"/>
      <c r="O818" s="65">
        <f t="shared" si="365"/>
        <v>0</v>
      </c>
      <c r="P818" s="65" t="str">
        <f>IF(B818&lt;&gt;0,VLOOKUP(B818,#REF!,2,FALSE),"")</f>
        <v/>
      </c>
      <c r="Q818" s="62">
        <v>115</v>
      </c>
      <c r="R818" s="62">
        <f t="shared" si="357"/>
        <v>115</v>
      </c>
      <c r="AD818" s="221"/>
      <c r="AE818" s="481"/>
      <c r="AF818" s="481"/>
      <c r="AG818" s="481"/>
      <c r="AH818" s="481"/>
      <c r="AI818" s="873"/>
      <c r="AJ818" s="26"/>
      <c r="AK818" s="26"/>
      <c r="AL818" s="224"/>
    </row>
    <row r="819" spans="1:38" s="62" customFormat="1" ht="45">
      <c r="A819" s="25" t="s">
        <v>1375</v>
      </c>
      <c r="B819" s="24">
        <v>91863</v>
      </c>
      <c r="C819" s="23" t="s">
        <v>1692</v>
      </c>
      <c r="D819" s="25" t="s">
        <v>12</v>
      </c>
      <c r="E819" s="25" t="s">
        <v>52</v>
      </c>
      <c r="F819" s="26">
        <v>115</v>
      </c>
      <c r="G819" s="26">
        <f t="shared" si="362"/>
        <v>6.8849999999999998</v>
      </c>
      <c r="H819" s="26">
        <f t="shared" ref="H819:H825" si="373">ROUND(G819*(1+$J$13),2)</f>
        <v>8.73</v>
      </c>
      <c r="I819" s="26">
        <f t="shared" ref="I819:I825" si="374">ROUND(H819*F819,2)</f>
        <v>1003.95</v>
      </c>
      <c r="J819" s="65" t="e">
        <f>IF(B819&lt;&gt;0,VLOOKUP(B819,#REF!,4,FALSE),"")</f>
        <v>#REF!</v>
      </c>
      <c r="K819" s="362" t="s">
        <v>1886</v>
      </c>
      <c r="L819" s="65">
        <f t="shared" si="363"/>
        <v>-1.2149999999999999</v>
      </c>
      <c r="M819" s="65">
        <f t="shared" si="364"/>
        <v>791.77499999999998</v>
      </c>
      <c r="N819" s="65"/>
      <c r="O819" s="65">
        <f t="shared" si="365"/>
        <v>1003.95</v>
      </c>
      <c r="P819" s="65" t="e">
        <f>IF(B819&lt;&gt;0,VLOOKUP(B819,#REF!,2,FALSE),"")</f>
        <v>#REF!</v>
      </c>
      <c r="Q819" s="62">
        <v>39</v>
      </c>
      <c r="R819" s="62">
        <f t="shared" si="357"/>
        <v>-76</v>
      </c>
      <c r="AD819" s="221"/>
      <c r="AE819" s="481"/>
      <c r="AF819" s="481"/>
      <c r="AG819" s="481"/>
      <c r="AH819" s="481"/>
      <c r="AI819" s="873">
        <f t="shared" si="367"/>
        <v>7.67</v>
      </c>
      <c r="AJ819" s="26">
        <f t="shared" si="366"/>
        <v>9.73</v>
      </c>
      <c r="AK819" s="26">
        <f t="shared" si="368"/>
        <v>1118.95</v>
      </c>
      <c r="AL819" s="224"/>
    </row>
    <row r="820" spans="1:38" s="62" customFormat="1" ht="60">
      <c r="A820" s="25" t="s">
        <v>1376</v>
      </c>
      <c r="B820" s="24">
        <v>91875</v>
      </c>
      <c r="C820" s="23" t="s">
        <v>1694</v>
      </c>
      <c r="D820" s="25" t="s">
        <v>12</v>
      </c>
      <c r="E820" s="25" t="s">
        <v>17</v>
      </c>
      <c r="F820" s="26">
        <v>39</v>
      </c>
      <c r="G820" s="26">
        <f t="shared" si="362"/>
        <v>3.7654999999999998</v>
      </c>
      <c r="H820" s="26">
        <f t="shared" si="373"/>
        <v>4.78</v>
      </c>
      <c r="I820" s="26">
        <f t="shared" si="374"/>
        <v>186.42</v>
      </c>
      <c r="J820" s="65" t="e">
        <f>IF(B820&lt;&gt;0,VLOOKUP(B820,#REF!,4,FALSE),"")</f>
        <v>#REF!</v>
      </c>
      <c r="K820" s="362" t="s">
        <v>1865</v>
      </c>
      <c r="L820" s="65">
        <f t="shared" si="363"/>
        <v>-0.66449999999999987</v>
      </c>
      <c r="M820" s="65">
        <f t="shared" si="364"/>
        <v>146.8545</v>
      </c>
      <c r="N820" s="65"/>
      <c r="O820" s="65">
        <f t="shared" si="365"/>
        <v>186.42000000000002</v>
      </c>
      <c r="P820" s="65" t="e">
        <f>IF(B820&lt;&gt;0,VLOOKUP(B820,#REF!,2,FALSE),"")</f>
        <v>#REF!</v>
      </c>
      <c r="Q820" s="62">
        <v>32</v>
      </c>
      <c r="R820" s="62">
        <f t="shared" si="357"/>
        <v>-7</v>
      </c>
      <c r="AD820" s="221"/>
      <c r="AE820" s="481"/>
      <c r="AF820" s="481"/>
      <c r="AG820" s="481"/>
      <c r="AH820" s="481"/>
      <c r="AI820" s="873">
        <f t="shared" si="367"/>
        <v>4.1900000000000004</v>
      </c>
      <c r="AJ820" s="26">
        <f t="shared" si="366"/>
        <v>5.31</v>
      </c>
      <c r="AK820" s="26">
        <f t="shared" si="368"/>
        <v>207.09</v>
      </c>
      <c r="AL820" s="224"/>
    </row>
    <row r="821" spans="1:38" s="62" customFormat="1" ht="45">
      <c r="A821" s="25" t="s">
        <v>1377</v>
      </c>
      <c r="B821" s="24">
        <v>91871</v>
      </c>
      <c r="C821" s="23" t="s">
        <v>1695</v>
      </c>
      <c r="D821" s="25" t="s">
        <v>12</v>
      </c>
      <c r="E821" s="25" t="s">
        <v>52</v>
      </c>
      <c r="F821" s="26">
        <v>32</v>
      </c>
      <c r="G821" s="26">
        <f t="shared" si="362"/>
        <v>7.3949999999999996</v>
      </c>
      <c r="H821" s="26">
        <f t="shared" si="373"/>
        <v>9.3800000000000008</v>
      </c>
      <c r="I821" s="26">
        <f t="shared" si="374"/>
        <v>300.16000000000003</v>
      </c>
      <c r="J821" s="65" t="e">
        <f>IF(B821&lt;&gt;0,VLOOKUP(B821,#REF!,4,FALSE),"")</f>
        <v>#REF!</v>
      </c>
      <c r="K821" s="362" t="s">
        <v>2648</v>
      </c>
      <c r="L821" s="65">
        <f t="shared" si="363"/>
        <v>-1.3049999999999997</v>
      </c>
      <c r="M821" s="65">
        <f t="shared" si="364"/>
        <v>236.64</v>
      </c>
      <c r="N821" s="65"/>
      <c r="O821" s="65">
        <f t="shared" si="365"/>
        <v>300.16000000000003</v>
      </c>
      <c r="P821" s="65" t="e">
        <f>IF(B821&lt;&gt;0,VLOOKUP(B821,#REF!,2,FALSE),"")</f>
        <v>#REF!</v>
      </c>
      <c r="Q821" s="62">
        <v>31</v>
      </c>
      <c r="R821" s="62">
        <f t="shared" si="357"/>
        <v>-1</v>
      </c>
      <c r="AD821" s="221"/>
      <c r="AE821" s="481"/>
      <c r="AF821" s="481"/>
      <c r="AG821" s="481"/>
      <c r="AH821" s="481"/>
      <c r="AI821" s="873">
        <f t="shared" si="367"/>
        <v>8.24</v>
      </c>
      <c r="AJ821" s="26">
        <f t="shared" si="366"/>
        <v>10.45</v>
      </c>
      <c r="AK821" s="26">
        <f t="shared" si="368"/>
        <v>334.4</v>
      </c>
      <c r="AL821" s="224"/>
    </row>
    <row r="822" spans="1:38" s="62" customFormat="1" ht="60">
      <c r="A822" s="25" t="s">
        <v>1378</v>
      </c>
      <c r="B822" s="24">
        <v>91884</v>
      </c>
      <c r="C822" s="23" t="s">
        <v>1697</v>
      </c>
      <c r="D822" s="25" t="s">
        <v>12</v>
      </c>
      <c r="E822" s="25" t="s">
        <v>17</v>
      </c>
      <c r="F822" s="26">
        <v>31</v>
      </c>
      <c r="G822" s="26">
        <f t="shared" si="362"/>
        <v>5.1849999999999996</v>
      </c>
      <c r="H822" s="26">
        <f t="shared" si="373"/>
        <v>6.58</v>
      </c>
      <c r="I822" s="26">
        <f t="shared" si="374"/>
        <v>203.98</v>
      </c>
      <c r="J822" s="65" t="e">
        <f>IF(B822&lt;&gt;0,VLOOKUP(B822,#REF!,4,FALSE),"")</f>
        <v>#REF!</v>
      </c>
      <c r="K822" s="362" t="s">
        <v>3141</v>
      </c>
      <c r="L822" s="65">
        <f t="shared" si="363"/>
        <v>-0.91500000000000004</v>
      </c>
      <c r="M822" s="65">
        <f t="shared" si="364"/>
        <v>160.73499999999999</v>
      </c>
      <c r="N822" s="65"/>
      <c r="O822" s="65">
        <f t="shared" si="365"/>
        <v>203.98</v>
      </c>
      <c r="P822" s="65" t="e">
        <f>IF(B822&lt;&gt;0,VLOOKUP(B822,#REF!,2,FALSE),"")</f>
        <v>#REF!</v>
      </c>
      <c r="Q822" s="62">
        <v>10</v>
      </c>
      <c r="R822" s="62">
        <f t="shared" si="357"/>
        <v>-21</v>
      </c>
      <c r="AD822" s="221"/>
      <c r="AE822" s="481"/>
      <c r="AF822" s="481"/>
      <c r="AG822" s="481"/>
      <c r="AH822" s="481"/>
      <c r="AI822" s="873">
        <f>ROUND(G822*$AM$11,2)</f>
        <v>5.78</v>
      </c>
      <c r="AJ822" s="26">
        <f t="shared" si="366"/>
        <v>7.33</v>
      </c>
      <c r="AK822" s="26">
        <f t="shared" si="368"/>
        <v>227.23</v>
      </c>
      <c r="AL822" s="224"/>
    </row>
    <row r="823" spans="1:38" s="62" customFormat="1" ht="60">
      <c r="A823" s="25" t="s">
        <v>1379</v>
      </c>
      <c r="B823" s="24">
        <v>91914</v>
      </c>
      <c r="C823" s="23" t="s">
        <v>1696</v>
      </c>
      <c r="D823" s="25" t="s">
        <v>12</v>
      </c>
      <c r="E823" s="25" t="s">
        <v>17</v>
      </c>
      <c r="F823" s="26">
        <v>10</v>
      </c>
      <c r="G823" s="26">
        <f t="shared" si="362"/>
        <v>8.5084999999999997</v>
      </c>
      <c r="H823" s="26">
        <f t="shared" si="373"/>
        <v>10.79</v>
      </c>
      <c r="I823" s="26">
        <f t="shared" si="374"/>
        <v>107.9</v>
      </c>
      <c r="J823" s="65" t="e">
        <f>IF(B823&lt;&gt;0,VLOOKUP(B823,#REF!,4,FALSE),"")</f>
        <v>#REF!</v>
      </c>
      <c r="K823" s="362" t="s">
        <v>1908</v>
      </c>
      <c r="L823" s="65">
        <f t="shared" si="363"/>
        <v>-1.5015000000000001</v>
      </c>
      <c r="M823" s="65">
        <f t="shared" si="364"/>
        <v>85.084999999999994</v>
      </c>
      <c r="N823" s="65"/>
      <c r="O823" s="65">
        <f t="shared" si="365"/>
        <v>107.89999999999999</v>
      </c>
      <c r="P823" s="65" t="e">
        <f>IF(B823&lt;&gt;0,VLOOKUP(B823,#REF!,2,FALSE),"")</f>
        <v>#REF!</v>
      </c>
      <c r="Q823" s="62">
        <v>17</v>
      </c>
      <c r="R823" s="62">
        <f t="shared" si="357"/>
        <v>7</v>
      </c>
      <c r="AD823" s="221"/>
      <c r="AE823" s="481"/>
      <c r="AF823" s="481"/>
      <c r="AG823" s="481"/>
      <c r="AH823" s="481"/>
      <c r="AI823" s="873">
        <f>ROUND(G823*$AM$11,2)</f>
        <v>9.48</v>
      </c>
      <c r="AJ823" s="26">
        <f t="shared" si="366"/>
        <v>12.02</v>
      </c>
      <c r="AK823" s="26">
        <f t="shared" si="368"/>
        <v>120.2</v>
      </c>
      <c r="AL823" s="224"/>
    </row>
    <row r="824" spans="1:38" s="62" customFormat="1" ht="30">
      <c r="A824" s="25" t="s">
        <v>1380</v>
      </c>
      <c r="B824" s="24">
        <v>91864</v>
      </c>
      <c r="C824" s="23" t="s">
        <v>194</v>
      </c>
      <c r="D824" s="25" t="s">
        <v>12</v>
      </c>
      <c r="E824" s="25" t="s">
        <v>52</v>
      </c>
      <c r="F824" s="26">
        <v>17</v>
      </c>
      <c r="G824" s="26">
        <f t="shared" si="362"/>
        <v>9.1204999999999998</v>
      </c>
      <c r="H824" s="26">
        <f t="shared" si="373"/>
        <v>11.57</v>
      </c>
      <c r="I824" s="26">
        <f t="shared" si="374"/>
        <v>196.69</v>
      </c>
      <c r="J824" s="65" t="e">
        <f>IF(B824&lt;&gt;0,VLOOKUP(B824,#REF!,4,FALSE),"")</f>
        <v>#REF!</v>
      </c>
      <c r="K824" s="362" t="s">
        <v>1837</v>
      </c>
      <c r="L824" s="65">
        <f t="shared" si="363"/>
        <v>-1.6095000000000006</v>
      </c>
      <c r="M824" s="65">
        <f t="shared" si="364"/>
        <v>155.04849999999999</v>
      </c>
      <c r="N824" s="65"/>
      <c r="O824" s="65">
        <f t="shared" si="365"/>
        <v>196.69</v>
      </c>
      <c r="P824" s="65" t="e">
        <f>IF(B824&lt;&gt;0,VLOOKUP(B824,#REF!,2,FALSE),"")</f>
        <v>#REF!</v>
      </c>
      <c r="Q824" s="62">
        <v>6</v>
      </c>
      <c r="R824" s="62">
        <f t="shared" si="357"/>
        <v>-11</v>
      </c>
      <c r="AD824" s="221"/>
      <c r="AE824" s="481"/>
      <c r="AF824" s="481"/>
      <c r="AG824" s="481"/>
      <c r="AH824" s="481"/>
      <c r="AI824" s="873">
        <f t="shared" si="367"/>
        <v>10.16</v>
      </c>
      <c r="AJ824" s="26">
        <f t="shared" si="366"/>
        <v>12.88</v>
      </c>
      <c r="AK824" s="26">
        <f t="shared" si="368"/>
        <v>218.96</v>
      </c>
      <c r="AL824" s="224"/>
    </row>
    <row r="825" spans="1:38" s="62" customFormat="1" ht="30">
      <c r="A825" s="25" t="s">
        <v>1381</v>
      </c>
      <c r="B825" s="24">
        <v>91876</v>
      </c>
      <c r="C825" s="23" t="s">
        <v>195</v>
      </c>
      <c r="D825" s="25" t="s">
        <v>12</v>
      </c>
      <c r="E825" s="25" t="s">
        <v>17</v>
      </c>
      <c r="F825" s="26">
        <v>6</v>
      </c>
      <c r="G825" s="26">
        <f t="shared" si="362"/>
        <v>4.9980000000000002</v>
      </c>
      <c r="H825" s="26">
        <f t="shared" si="373"/>
        <v>6.34</v>
      </c>
      <c r="I825" s="26">
        <f t="shared" si="374"/>
        <v>38.04</v>
      </c>
      <c r="J825" s="65" t="e">
        <f>IF(B825&lt;&gt;0,VLOOKUP(B825,#REF!,4,FALSE),"")</f>
        <v>#REF!</v>
      </c>
      <c r="K825" s="362" t="s">
        <v>3194</v>
      </c>
      <c r="L825" s="65">
        <f t="shared" si="363"/>
        <v>-0.88199999999999967</v>
      </c>
      <c r="M825" s="65">
        <f t="shared" si="364"/>
        <v>29.988</v>
      </c>
      <c r="N825" s="65"/>
      <c r="O825" s="65">
        <f t="shared" si="365"/>
        <v>38.04</v>
      </c>
      <c r="P825" s="65" t="e">
        <f>IF(B825&lt;&gt;0,VLOOKUP(B825,#REF!,2,FALSE),"")</f>
        <v>#REF!</v>
      </c>
      <c r="R825" s="62">
        <f t="shared" si="357"/>
        <v>-6</v>
      </c>
      <c r="AD825" s="221"/>
      <c r="AE825" s="481"/>
      <c r="AF825" s="481"/>
      <c r="AG825" s="481"/>
      <c r="AH825" s="481"/>
      <c r="AI825" s="873">
        <f t="shared" si="367"/>
        <v>5.57</v>
      </c>
      <c r="AJ825" s="26">
        <f t="shared" si="366"/>
        <v>7.06</v>
      </c>
      <c r="AK825" s="26">
        <f t="shared" si="368"/>
        <v>42.36</v>
      </c>
      <c r="AL825" s="224"/>
    </row>
    <row r="826" spans="1:38" s="62" customFormat="1">
      <c r="A826" s="77" t="s">
        <v>1382</v>
      </c>
      <c r="B826" s="139"/>
      <c r="C826" s="340" t="s">
        <v>214</v>
      </c>
      <c r="D826" s="341"/>
      <c r="E826" s="341"/>
      <c r="F826" s="341"/>
      <c r="G826" s="26"/>
      <c r="H826" s="341"/>
      <c r="I826" s="96"/>
      <c r="J826" s="65" t="str">
        <f>IF(B826&lt;&gt;0,VLOOKUP(B826,#REF!,4,FALSE),"")</f>
        <v/>
      </c>
      <c r="K826" s="362" t="s">
        <v>1892</v>
      </c>
      <c r="L826" s="65"/>
      <c r="M826" s="65">
        <f t="shared" si="364"/>
        <v>0</v>
      </c>
      <c r="N826" s="65"/>
      <c r="O826" s="65">
        <f t="shared" si="365"/>
        <v>0</v>
      </c>
      <c r="P826" s="65" t="str">
        <f>IF(B826&lt;&gt;0,VLOOKUP(B826,#REF!,2,FALSE),"")</f>
        <v/>
      </c>
      <c r="Q826" s="62">
        <v>279</v>
      </c>
      <c r="R826" s="62">
        <f t="shared" si="357"/>
        <v>279</v>
      </c>
      <c r="AD826" s="221"/>
      <c r="AE826" s="481"/>
      <c r="AF826" s="481"/>
      <c r="AG826" s="481"/>
      <c r="AH826" s="481"/>
      <c r="AI826" s="873">
        <f t="shared" si="367"/>
        <v>0</v>
      </c>
      <c r="AJ826" s="26">
        <f t="shared" si="366"/>
        <v>0</v>
      </c>
      <c r="AK826" s="26">
        <f t="shared" si="368"/>
        <v>0</v>
      </c>
      <c r="AL826" s="224"/>
    </row>
    <row r="827" spans="1:38" s="62" customFormat="1">
      <c r="A827" s="25" t="s">
        <v>1383</v>
      </c>
      <c r="B827" s="24">
        <v>416</v>
      </c>
      <c r="C827" s="23" t="s">
        <v>295</v>
      </c>
      <c r="D827" s="25" t="s">
        <v>44</v>
      </c>
      <c r="E827" s="25" t="s">
        <v>52</v>
      </c>
      <c r="F827" s="26">
        <v>279</v>
      </c>
      <c r="G827" s="26">
        <f t="shared" si="362"/>
        <v>7.4969999999999999</v>
      </c>
      <c r="H827" s="26">
        <f>ROUND(G827*(1+$J$13),2)</f>
        <v>9.51</v>
      </c>
      <c r="I827" s="26">
        <f t="shared" ref="I827:I828" si="375">ROUND(H827*F827,2)</f>
        <v>2653.29</v>
      </c>
      <c r="J827" s="65">
        <f>'COMPOSIÇÃO DE CUSTOS'!G1928</f>
        <v>7.5</v>
      </c>
      <c r="K827" s="362">
        <v>8.82</v>
      </c>
      <c r="L827" s="65">
        <f t="shared" si="363"/>
        <v>-1.3230000000000004</v>
      </c>
      <c r="M827" s="65">
        <f t="shared" si="364"/>
        <v>2091.663</v>
      </c>
      <c r="N827" s="65"/>
      <c r="O827" s="65">
        <f t="shared" si="365"/>
        <v>2653.29</v>
      </c>
      <c r="P827" s="65" t="e">
        <f>IF(B827&lt;&gt;0,VLOOKUP(B827,#REF!,2,FALSE),"")</f>
        <v>#REF!</v>
      </c>
      <c r="Q827" s="62">
        <v>242</v>
      </c>
      <c r="R827" s="62">
        <f t="shared" si="357"/>
        <v>-37</v>
      </c>
      <c r="AD827" s="221"/>
      <c r="AE827" s="481"/>
      <c r="AF827" s="481"/>
      <c r="AG827" s="481"/>
      <c r="AH827" s="481"/>
      <c r="AI827" s="873">
        <f t="shared" si="367"/>
        <v>8.35</v>
      </c>
      <c r="AJ827" s="26">
        <f t="shared" si="366"/>
        <v>10.59</v>
      </c>
      <c r="AK827" s="26">
        <f t="shared" si="368"/>
        <v>2954.61</v>
      </c>
      <c r="AL827" s="224"/>
    </row>
    <row r="828" spans="1:38" s="62" customFormat="1" ht="15" customHeight="1">
      <c r="A828" s="25" t="s">
        <v>1384</v>
      </c>
      <c r="B828" s="24">
        <v>11752</v>
      </c>
      <c r="C828" s="23" t="s">
        <v>587</v>
      </c>
      <c r="D828" s="25" t="s">
        <v>44</v>
      </c>
      <c r="E828" s="25" t="s">
        <v>52</v>
      </c>
      <c r="F828" s="26">
        <v>242</v>
      </c>
      <c r="G828" s="26">
        <f t="shared" si="362"/>
        <v>8.109</v>
      </c>
      <c r="H828" s="26">
        <f>ROUND(G828*(1+$J$13),2)</f>
        <v>10.28</v>
      </c>
      <c r="I828" s="26">
        <f t="shared" si="375"/>
        <v>2487.7600000000002</v>
      </c>
      <c r="J828" s="65">
        <f>'COMPOSIÇÃO DE CUSTOS'!G1967</f>
        <v>8.11</v>
      </c>
      <c r="K828" s="362">
        <v>9.5399999999999991</v>
      </c>
      <c r="L828" s="65">
        <f t="shared" si="363"/>
        <v>-1.4309999999999992</v>
      </c>
      <c r="M828" s="65">
        <f t="shared" si="364"/>
        <v>1962.3779999999999</v>
      </c>
      <c r="N828" s="65"/>
      <c r="O828" s="65">
        <f t="shared" si="365"/>
        <v>2487.7599999999998</v>
      </c>
      <c r="P828" s="65" t="e">
        <f>IF(B828&lt;&gt;0,VLOOKUP(B828,#REF!,2,FALSE),"")</f>
        <v>#REF!</v>
      </c>
      <c r="R828" s="62">
        <f t="shared" si="357"/>
        <v>-242</v>
      </c>
      <c r="AD828" s="221"/>
      <c r="AE828" s="481"/>
      <c r="AF828" s="481"/>
      <c r="AG828" s="481"/>
      <c r="AH828" s="481"/>
      <c r="AI828" s="873">
        <f t="shared" si="367"/>
        <v>9.0299999999999994</v>
      </c>
      <c r="AJ828" s="26">
        <f t="shared" si="366"/>
        <v>11.45</v>
      </c>
      <c r="AK828" s="26">
        <f t="shared" si="368"/>
        <v>2770.9</v>
      </c>
      <c r="AL828" s="224"/>
    </row>
    <row r="829" spans="1:38" s="62" customFormat="1">
      <c r="A829" s="77" t="s">
        <v>1385</v>
      </c>
      <c r="B829" s="139"/>
      <c r="C829" s="340" t="s">
        <v>216</v>
      </c>
      <c r="D829" s="341"/>
      <c r="E829" s="341"/>
      <c r="F829" s="341"/>
      <c r="G829" s="26"/>
      <c r="H829" s="341"/>
      <c r="I829" s="96"/>
      <c r="J829" s="65" t="str">
        <f>IF(B829&lt;&gt;0,VLOOKUP(B829,#REF!,4,FALSE),"")</f>
        <v/>
      </c>
      <c r="K829" s="362" t="s">
        <v>1892</v>
      </c>
      <c r="L829" s="65"/>
      <c r="M829" s="65">
        <f t="shared" si="364"/>
        <v>0</v>
      </c>
      <c r="N829" s="65"/>
      <c r="O829" s="65">
        <f t="shared" si="365"/>
        <v>0</v>
      </c>
      <c r="P829" s="65" t="str">
        <f>IF(B829&lt;&gt;0,VLOOKUP(B829,#REF!,2,FALSE),"")</f>
        <v/>
      </c>
      <c r="Q829" s="62">
        <v>5</v>
      </c>
      <c r="R829" s="62">
        <f t="shared" ref="R829:R850" si="376">Q829-F829</f>
        <v>5</v>
      </c>
      <c r="AD829" s="221"/>
      <c r="AE829" s="481"/>
      <c r="AF829" s="481"/>
      <c r="AG829" s="481"/>
      <c r="AH829" s="481"/>
      <c r="AI829" s="873"/>
      <c r="AJ829" s="26"/>
      <c r="AK829" s="26"/>
      <c r="AL829" s="224"/>
    </row>
    <row r="830" spans="1:38" s="62" customFormat="1" ht="45">
      <c r="A830" s="25" t="s">
        <v>1386</v>
      </c>
      <c r="B830" s="24">
        <v>95795</v>
      </c>
      <c r="C830" s="23" t="s">
        <v>1707</v>
      </c>
      <c r="D830" s="25" t="s">
        <v>12</v>
      </c>
      <c r="E830" s="25" t="s">
        <v>17</v>
      </c>
      <c r="F830" s="26">
        <v>5</v>
      </c>
      <c r="G830" s="26">
        <f t="shared" si="362"/>
        <v>21.488</v>
      </c>
      <c r="H830" s="26">
        <f>ROUND(G830*(1+$J$13),2)</f>
        <v>27.25</v>
      </c>
      <c r="I830" s="26">
        <f t="shared" ref="I830:I833" si="377">ROUND(H830*F830,2)</f>
        <v>136.25</v>
      </c>
      <c r="J830" s="65" t="e">
        <f>IF(B830&lt;&gt;0,VLOOKUP(B830,#REF!,4,FALSE),"")</f>
        <v>#REF!</v>
      </c>
      <c r="K830" s="362" t="s">
        <v>3238</v>
      </c>
      <c r="L830" s="65">
        <f t="shared" si="363"/>
        <v>-3.7920000000000016</v>
      </c>
      <c r="M830" s="65">
        <f t="shared" si="364"/>
        <v>107.44</v>
      </c>
      <c r="N830" s="65"/>
      <c r="O830" s="65">
        <f t="shared" si="365"/>
        <v>136.25</v>
      </c>
      <c r="P830" s="65" t="e">
        <f>IF(B830&lt;&gt;0,VLOOKUP(B830,#REF!,2,FALSE),"")</f>
        <v>#REF!</v>
      </c>
      <c r="Q830" s="62">
        <v>8</v>
      </c>
      <c r="R830" s="62">
        <f t="shared" si="376"/>
        <v>3</v>
      </c>
      <c r="AD830" s="221"/>
      <c r="AE830" s="481"/>
      <c r="AF830" s="481"/>
      <c r="AG830" s="481"/>
      <c r="AH830" s="481"/>
      <c r="AI830" s="873">
        <f t="shared" si="367"/>
        <v>23.94</v>
      </c>
      <c r="AJ830" s="26">
        <f t="shared" si="366"/>
        <v>30.36</v>
      </c>
      <c r="AK830" s="26">
        <f t="shared" si="368"/>
        <v>151.80000000000001</v>
      </c>
      <c r="AL830" s="224"/>
    </row>
    <row r="831" spans="1:38" s="62" customFormat="1" ht="45">
      <c r="A831" s="25" t="s">
        <v>1387</v>
      </c>
      <c r="B831" s="24">
        <v>95787</v>
      </c>
      <c r="C831" s="23" t="s">
        <v>1708</v>
      </c>
      <c r="D831" s="25" t="s">
        <v>12</v>
      </c>
      <c r="E831" s="25" t="s">
        <v>17</v>
      </c>
      <c r="F831" s="26">
        <v>8</v>
      </c>
      <c r="G831" s="26">
        <f t="shared" si="362"/>
        <v>18.614999999999998</v>
      </c>
      <c r="H831" s="26">
        <f>ROUND(G831*(1+$J$13),2)</f>
        <v>23.61</v>
      </c>
      <c r="I831" s="26">
        <f t="shared" si="377"/>
        <v>188.88</v>
      </c>
      <c r="J831" s="65" t="e">
        <f>IF(B831&lt;&gt;0,VLOOKUP(B831,#REF!,4,FALSE),"")</f>
        <v>#REF!</v>
      </c>
      <c r="K831" s="362" t="s">
        <v>1888</v>
      </c>
      <c r="L831" s="65">
        <f t="shared" si="363"/>
        <v>-3.2850000000000001</v>
      </c>
      <c r="M831" s="65">
        <f t="shared" si="364"/>
        <v>148.91999999999999</v>
      </c>
      <c r="N831" s="65"/>
      <c r="O831" s="65">
        <f t="shared" si="365"/>
        <v>188.88</v>
      </c>
      <c r="P831" s="65" t="e">
        <f>IF(B831&lt;&gt;0,VLOOKUP(B831,#REF!,2,FALSE),"")</f>
        <v>#REF!</v>
      </c>
      <c r="Q831" s="62">
        <v>15</v>
      </c>
      <c r="R831" s="62">
        <f t="shared" si="376"/>
        <v>7</v>
      </c>
      <c r="AD831" s="221"/>
      <c r="AE831" s="481"/>
      <c r="AF831" s="481"/>
      <c r="AG831" s="481"/>
      <c r="AH831" s="481"/>
      <c r="AI831" s="873">
        <f t="shared" si="367"/>
        <v>20.74</v>
      </c>
      <c r="AJ831" s="26">
        <f t="shared" si="366"/>
        <v>26.3</v>
      </c>
      <c r="AK831" s="26">
        <f t="shared" si="368"/>
        <v>210.4</v>
      </c>
      <c r="AL831" s="224"/>
    </row>
    <row r="832" spans="1:38" s="62" customFormat="1" ht="45">
      <c r="A832" s="25" t="s">
        <v>1388</v>
      </c>
      <c r="B832" s="24">
        <v>95778</v>
      </c>
      <c r="C832" s="23" t="s">
        <v>1709</v>
      </c>
      <c r="D832" s="25" t="s">
        <v>12</v>
      </c>
      <c r="E832" s="25" t="s">
        <v>17</v>
      </c>
      <c r="F832" s="26">
        <v>15</v>
      </c>
      <c r="G832" s="26">
        <f t="shared" si="362"/>
        <v>19.3035</v>
      </c>
      <c r="H832" s="26">
        <f>ROUND(G832*(1+$J$13),2)</f>
        <v>24.48</v>
      </c>
      <c r="I832" s="26">
        <f t="shared" si="377"/>
        <v>367.2</v>
      </c>
      <c r="J832" s="65" t="e">
        <f>IF(B832&lt;&gt;0,VLOOKUP(B832,#REF!,4,FALSE),"")</f>
        <v>#REF!</v>
      </c>
      <c r="K832" s="362" t="s">
        <v>3137</v>
      </c>
      <c r="L832" s="65">
        <f t="shared" si="363"/>
        <v>-3.4065000000000012</v>
      </c>
      <c r="M832" s="65">
        <f t="shared" si="364"/>
        <v>289.55250000000001</v>
      </c>
      <c r="N832" s="65"/>
      <c r="O832" s="65">
        <f t="shared" si="365"/>
        <v>367.2</v>
      </c>
      <c r="P832" s="65" t="e">
        <f>IF(B832&lt;&gt;0,VLOOKUP(B832,#REF!,2,FALSE),"")</f>
        <v>#REF!</v>
      </c>
      <c r="Q832" s="62">
        <v>7</v>
      </c>
      <c r="R832" s="62">
        <f t="shared" si="376"/>
        <v>-8</v>
      </c>
      <c r="AD832" s="221"/>
      <c r="AE832" s="481"/>
      <c r="AF832" s="481"/>
      <c r="AG832" s="481"/>
      <c r="AH832" s="481"/>
      <c r="AI832" s="873">
        <f t="shared" si="367"/>
        <v>21.5</v>
      </c>
      <c r="AJ832" s="26">
        <f t="shared" si="366"/>
        <v>27.26</v>
      </c>
      <c r="AK832" s="26">
        <f t="shared" si="368"/>
        <v>408.9</v>
      </c>
      <c r="AL832" s="224"/>
    </row>
    <row r="833" spans="1:38" s="62" customFormat="1" ht="30">
      <c r="A833" s="25" t="s">
        <v>1389</v>
      </c>
      <c r="B833" s="24" t="s">
        <v>2755</v>
      </c>
      <c r="C833" s="280" t="str">
        <f>C423</f>
        <v>CAIXA DE PASSAGEM COM TAMPA PARAFUSADA 600X600X150MM</v>
      </c>
      <c r="D833" s="25" t="str">
        <f>D423</f>
        <v>SEINFRA</v>
      </c>
      <c r="E833" s="25" t="s">
        <v>17</v>
      </c>
      <c r="F833" s="26">
        <v>7</v>
      </c>
      <c r="G833" s="26">
        <f t="shared" si="362"/>
        <v>223.31200000000001</v>
      </c>
      <c r="H833" s="26">
        <f>ROUND(G833*(1+$J$13),2)</f>
        <v>283.18</v>
      </c>
      <c r="I833" s="26">
        <f t="shared" si="377"/>
        <v>1982.26</v>
      </c>
      <c r="J833" s="65">
        <f>'COMPOSIÇÃO DE CUSTOS'!G2463</f>
        <v>223.32</v>
      </c>
      <c r="K833" s="362">
        <v>262.72000000000003</v>
      </c>
      <c r="L833" s="65">
        <f t="shared" si="363"/>
        <v>-39.408000000000015</v>
      </c>
      <c r="M833" s="65">
        <f t="shared" si="364"/>
        <v>1563.1840000000002</v>
      </c>
      <c r="N833" s="65"/>
      <c r="O833" s="65">
        <f t="shared" si="365"/>
        <v>1982.26</v>
      </c>
      <c r="P833" s="65" t="e">
        <f>IF(B833&lt;&gt;0,VLOOKUP(B833,#REF!,2,FALSE),"")</f>
        <v>#REF!</v>
      </c>
      <c r="R833" s="62">
        <f t="shared" si="376"/>
        <v>-7</v>
      </c>
      <c r="AD833" s="221"/>
      <c r="AE833" s="481"/>
      <c r="AF833" s="481"/>
      <c r="AG833" s="481"/>
      <c r="AH833" s="481"/>
      <c r="AI833" s="873">
        <f t="shared" si="367"/>
        <v>248.77</v>
      </c>
      <c r="AJ833" s="26">
        <f t="shared" si="366"/>
        <v>315.47000000000003</v>
      </c>
      <c r="AK833" s="26">
        <f t="shared" si="368"/>
        <v>2208.29</v>
      </c>
      <c r="AL833" s="224"/>
    </row>
    <row r="834" spans="1:38" s="62" customFormat="1">
      <c r="A834" s="77" t="s">
        <v>2939</v>
      </c>
      <c r="B834" s="139"/>
      <c r="C834" s="340" t="s">
        <v>296</v>
      </c>
      <c r="D834" s="341"/>
      <c r="E834" s="341"/>
      <c r="F834" s="341"/>
      <c r="G834" s="26"/>
      <c r="H834" s="341"/>
      <c r="I834" s="96"/>
      <c r="J834" s="65" t="str">
        <f>IF(B834&lt;&gt;0,VLOOKUP(B834,#REF!,4,FALSE),"")</f>
        <v/>
      </c>
      <c r="K834" s="362" t="s">
        <v>1892</v>
      </c>
      <c r="L834" s="65"/>
      <c r="M834" s="65">
        <f t="shared" si="364"/>
        <v>0</v>
      </c>
      <c r="N834" s="65"/>
      <c r="O834" s="65">
        <f t="shared" si="365"/>
        <v>0</v>
      </c>
      <c r="P834" s="65" t="str">
        <f>IF(B834&lt;&gt;0,VLOOKUP(B834,#REF!,2,FALSE),"")</f>
        <v/>
      </c>
      <c r="Q834" s="62">
        <v>23</v>
      </c>
      <c r="R834" s="62">
        <f t="shared" si="376"/>
        <v>23</v>
      </c>
      <c r="AD834" s="221"/>
      <c r="AE834" s="481"/>
      <c r="AF834" s="481"/>
      <c r="AG834" s="481"/>
      <c r="AH834" s="481"/>
      <c r="AI834" s="873"/>
      <c r="AJ834" s="26"/>
      <c r="AK834" s="26"/>
      <c r="AL834" s="224"/>
    </row>
    <row r="835" spans="1:38" s="62" customFormat="1">
      <c r="A835" s="25" t="s">
        <v>2940</v>
      </c>
      <c r="B835" s="24">
        <v>4439</v>
      </c>
      <c r="C835" s="23" t="s">
        <v>1950</v>
      </c>
      <c r="D835" s="25" t="s">
        <v>44</v>
      </c>
      <c r="E835" s="25" t="s">
        <v>17</v>
      </c>
      <c r="F835" s="26">
        <v>23</v>
      </c>
      <c r="G835" s="26">
        <f t="shared" si="362"/>
        <v>71.722999999999999</v>
      </c>
      <c r="H835" s="26">
        <f t="shared" ref="H835:H844" si="378">ROUND(G835*(1+$J$13),2)</f>
        <v>90.95</v>
      </c>
      <c r="I835" s="26">
        <f t="shared" ref="I835:I844" si="379">ROUND(H835*F835,2)</f>
        <v>2091.85</v>
      </c>
      <c r="J835" s="64">
        <f>'COMPOSIÇÃO DE CUSTOS'!G1947</f>
        <v>71.73</v>
      </c>
      <c r="K835" s="362">
        <v>84.38</v>
      </c>
      <c r="L835" s="65">
        <f t="shared" si="363"/>
        <v>-12.656999999999996</v>
      </c>
      <c r="M835" s="65">
        <f t="shared" si="364"/>
        <v>1649.6289999999999</v>
      </c>
      <c r="N835" s="65"/>
      <c r="O835" s="65">
        <f t="shared" si="365"/>
        <v>2091.85</v>
      </c>
      <c r="P835" s="65" t="e">
        <f>IF(B835&lt;&gt;0,VLOOKUP(B835,#REF!,2,FALSE),"")</f>
        <v>#REF!</v>
      </c>
      <c r="Q835" s="62">
        <v>2</v>
      </c>
      <c r="R835" s="62">
        <f t="shared" si="376"/>
        <v>-21</v>
      </c>
      <c r="AD835" s="221"/>
      <c r="AE835" s="481"/>
      <c r="AF835" s="481"/>
      <c r="AG835" s="481"/>
      <c r="AH835" s="481"/>
      <c r="AI835" s="873">
        <f t="shared" si="367"/>
        <v>79.900000000000006</v>
      </c>
      <c r="AJ835" s="26">
        <f t="shared" si="366"/>
        <v>101.32</v>
      </c>
      <c r="AK835" s="26">
        <f t="shared" si="368"/>
        <v>2330.36</v>
      </c>
      <c r="AL835" s="224"/>
    </row>
    <row r="836" spans="1:38" s="62" customFormat="1">
      <c r="A836" s="25" t="s">
        <v>2941</v>
      </c>
      <c r="B836" s="24">
        <v>11527</v>
      </c>
      <c r="C836" s="23" t="s">
        <v>297</v>
      </c>
      <c r="D836" s="25" t="s">
        <v>44</v>
      </c>
      <c r="E836" s="25" t="s">
        <v>17</v>
      </c>
      <c r="F836" s="26">
        <v>7</v>
      </c>
      <c r="G836" s="26">
        <f t="shared" si="362"/>
        <v>1156.9860000000001</v>
      </c>
      <c r="H836" s="26">
        <f t="shared" si="378"/>
        <v>1467.17</v>
      </c>
      <c r="I836" s="26">
        <f t="shared" si="379"/>
        <v>10270.19</v>
      </c>
      <c r="J836" s="64">
        <f>'COMPOSIÇÃO DE CUSTOS'!G2175</f>
        <v>1156.99</v>
      </c>
      <c r="K836" s="362">
        <v>1361.16</v>
      </c>
      <c r="L836" s="65">
        <f t="shared" si="363"/>
        <v>-204.17399999999998</v>
      </c>
      <c r="M836" s="65">
        <f t="shared" si="364"/>
        <v>8098.902000000001</v>
      </c>
      <c r="N836" s="65"/>
      <c r="O836" s="65">
        <f t="shared" si="365"/>
        <v>10270.19</v>
      </c>
      <c r="P836" s="65" t="e">
        <f>IF(B836&lt;&gt;0,VLOOKUP(B836,#REF!,2,FALSE),"")</f>
        <v>#REF!</v>
      </c>
      <c r="Q836" s="62">
        <v>4</v>
      </c>
      <c r="R836" s="62">
        <f t="shared" si="376"/>
        <v>-3</v>
      </c>
      <c r="AD836" s="221"/>
      <c r="AE836" s="481"/>
      <c r="AF836" s="481"/>
      <c r="AG836" s="481"/>
      <c r="AH836" s="481"/>
      <c r="AI836" s="873">
        <f t="shared" si="367"/>
        <v>1288.8900000000001</v>
      </c>
      <c r="AJ836" s="26">
        <f t="shared" si="366"/>
        <v>1634.44</v>
      </c>
      <c r="AK836" s="26">
        <f t="shared" si="368"/>
        <v>11441.08</v>
      </c>
      <c r="AL836" s="224"/>
    </row>
    <row r="837" spans="1:38" s="62" customFormat="1">
      <c r="A837" s="25" t="s">
        <v>2942</v>
      </c>
      <c r="B837" s="160">
        <v>4436</v>
      </c>
      <c r="C837" s="161" t="s">
        <v>2342</v>
      </c>
      <c r="D837" s="162" t="s">
        <v>44</v>
      </c>
      <c r="E837" s="25" t="s">
        <v>17</v>
      </c>
      <c r="F837" s="26">
        <v>7</v>
      </c>
      <c r="G837" s="26">
        <f t="shared" si="362"/>
        <v>126.65</v>
      </c>
      <c r="H837" s="26">
        <f t="shared" si="378"/>
        <v>160.6</v>
      </c>
      <c r="I837" s="26">
        <f t="shared" si="379"/>
        <v>1124.2</v>
      </c>
      <c r="J837" s="64">
        <f>'COMPOSIÇÃO DE CUSTOS'!G2170</f>
        <v>126.65</v>
      </c>
      <c r="K837" s="362">
        <v>149</v>
      </c>
      <c r="L837" s="65">
        <f t="shared" si="363"/>
        <v>-22.349999999999994</v>
      </c>
      <c r="M837" s="65">
        <f t="shared" si="364"/>
        <v>886.55000000000007</v>
      </c>
      <c r="N837" s="65"/>
      <c r="O837" s="65">
        <f t="shared" si="365"/>
        <v>1124.2</v>
      </c>
      <c r="P837" s="65" t="e">
        <f>IF(B837&lt;&gt;0,VLOOKUP(B837,#REF!,2,FALSE),"")</f>
        <v>#REF!</v>
      </c>
      <c r="Q837" s="62">
        <v>6</v>
      </c>
      <c r="R837" s="62">
        <f t="shared" si="376"/>
        <v>-1</v>
      </c>
      <c r="AD837" s="221"/>
      <c r="AE837" s="481"/>
      <c r="AF837" s="481"/>
      <c r="AG837" s="481"/>
      <c r="AH837" s="481"/>
      <c r="AI837" s="873">
        <f t="shared" si="367"/>
        <v>141.09</v>
      </c>
      <c r="AJ837" s="26">
        <f t="shared" si="366"/>
        <v>178.92</v>
      </c>
      <c r="AK837" s="26">
        <f t="shared" si="368"/>
        <v>1252.44</v>
      </c>
      <c r="AL837" s="224"/>
    </row>
    <row r="838" spans="1:38" s="62" customFormat="1">
      <c r="A838" s="25" t="s">
        <v>2943</v>
      </c>
      <c r="B838" s="148">
        <v>10243</v>
      </c>
      <c r="C838" s="149" t="s">
        <v>2035</v>
      </c>
      <c r="D838" s="141" t="s">
        <v>44</v>
      </c>
      <c r="E838" s="25" t="s">
        <v>17</v>
      </c>
      <c r="F838" s="26">
        <v>6</v>
      </c>
      <c r="G838" s="26">
        <f t="shared" si="362"/>
        <v>12.75</v>
      </c>
      <c r="H838" s="26">
        <f t="shared" si="378"/>
        <v>16.170000000000002</v>
      </c>
      <c r="I838" s="26">
        <f t="shared" si="379"/>
        <v>97.02</v>
      </c>
      <c r="J838" s="64">
        <f>'COMPOSIÇÃO DE CUSTOS'!G2180</f>
        <v>12.75</v>
      </c>
      <c r="K838" s="362">
        <v>15</v>
      </c>
      <c r="L838" s="65">
        <f t="shared" si="363"/>
        <v>-2.25</v>
      </c>
      <c r="M838" s="65">
        <f t="shared" si="364"/>
        <v>76.5</v>
      </c>
      <c r="N838" s="65"/>
      <c r="O838" s="65">
        <f t="shared" si="365"/>
        <v>97.02000000000001</v>
      </c>
      <c r="P838" s="65" t="e">
        <f>IF(B838&lt;&gt;0,VLOOKUP(B838,#REF!,2,FALSE),"")</f>
        <v>#REF!</v>
      </c>
      <c r="Q838" s="62">
        <v>6</v>
      </c>
      <c r="R838" s="62">
        <f t="shared" si="376"/>
        <v>0</v>
      </c>
      <c r="AD838" s="221"/>
      <c r="AE838" s="481"/>
      <c r="AF838" s="481"/>
      <c r="AG838" s="481"/>
      <c r="AH838" s="481"/>
      <c r="AI838" s="873">
        <f t="shared" si="367"/>
        <v>14.2</v>
      </c>
      <c r="AJ838" s="26">
        <f t="shared" si="366"/>
        <v>18.010000000000002</v>
      </c>
      <c r="AK838" s="26">
        <f t="shared" si="368"/>
        <v>108.06</v>
      </c>
      <c r="AL838" s="224"/>
    </row>
    <row r="839" spans="1:38" s="62" customFormat="1" ht="30">
      <c r="A839" s="25" t="s">
        <v>2944</v>
      </c>
      <c r="B839" s="148" t="s">
        <v>2447</v>
      </c>
      <c r="C839" s="149" t="s">
        <v>1957</v>
      </c>
      <c r="D839" s="141" t="s">
        <v>1915</v>
      </c>
      <c r="E839" s="25" t="s">
        <v>17</v>
      </c>
      <c r="F839" s="26">
        <v>6</v>
      </c>
      <c r="G839" s="26">
        <f t="shared" si="362"/>
        <v>35.453499999999998</v>
      </c>
      <c r="H839" s="26">
        <f t="shared" si="378"/>
        <v>44.96</v>
      </c>
      <c r="I839" s="26">
        <f t="shared" si="379"/>
        <v>269.76</v>
      </c>
      <c r="J839" s="64">
        <f>'COMPOSIÇÃO DE CUSTOS'!G2238</f>
        <v>35.44</v>
      </c>
      <c r="K839" s="362">
        <v>41.71</v>
      </c>
      <c r="L839" s="65">
        <f t="shared" si="363"/>
        <v>-6.2565000000000026</v>
      </c>
      <c r="M839" s="65">
        <f t="shared" si="364"/>
        <v>212.721</v>
      </c>
      <c r="N839" s="65"/>
      <c r="O839" s="65">
        <f t="shared" si="365"/>
        <v>269.76</v>
      </c>
      <c r="P839" s="65" t="e">
        <f>IF(B839&lt;&gt;0,VLOOKUP(B839,#REF!,2,FALSE),"")</f>
        <v>#REF!</v>
      </c>
      <c r="Q839" s="62">
        <v>1</v>
      </c>
      <c r="R839" s="62">
        <f t="shared" si="376"/>
        <v>-5</v>
      </c>
      <c r="AD839" s="221"/>
      <c r="AE839" s="481"/>
      <c r="AF839" s="481"/>
      <c r="AG839" s="481"/>
      <c r="AH839" s="481"/>
      <c r="AI839" s="873">
        <f t="shared" si="367"/>
        <v>39.5</v>
      </c>
      <c r="AJ839" s="26">
        <f t="shared" si="366"/>
        <v>50.09</v>
      </c>
      <c r="AK839" s="26">
        <f t="shared" si="368"/>
        <v>300.54000000000002</v>
      </c>
      <c r="AL839" s="224"/>
    </row>
    <row r="840" spans="1:38" s="62" customFormat="1" ht="30.75" customHeight="1">
      <c r="A840" s="25" t="s">
        <v>2945</v>
      </c>
      <c r="B840" s="24">
        <v>8681</v>
      </c>
      <c r="C840" s="23" t="s">
        <v>2206</v>
      </c>
      <c r="D840" s="25" t="s">
        <v>44</v>
      </c>
      <c r="E840" s="25" t="s">
        <v>17</v>
      </c>
      <c r="F840" s="26">
        <v>1</v>
      </c>
      <c r="G840" s="26">
        <f t="shared" si="362"/>
        <v>387.66800000000001</v>
      </c>
      <c r="H840" s="26">
        <f t="shared" si="378"/>
        <v>491.6</v>
      </c>
      <c r="I840" s="26">
        <f t="shared" si="379"/>
        <v>491.6</v>
      </c>
      <c r="J840" s="64">
        <f>'COMPOSIÇÃO DE CUSTOS'!G1940</f>
        <v>387.68</v>
      </c>
      <c r="K840" s="362">
        <v>456.08</v>
      </c>
      <c r="L840" s="65">
        <f t="shared" si="363"/>
        <v>-68.411999999999978</v>
      </c>
      <c r="M840" s="65">
        <f t="shared" si="364"/>
        <v>387.66800000000001</v>
      </c>
      <c r="N840" s="65"/>
      <c r="O840" s="65">
        <f t="shared" si="365"/>
        <v>491.6</v>
      </c>
      <c r="P840" s="65" t="e">
        <f>IF(B840&lt;&gt;0,VLOOKUP(B840,#REF!,2,FALSE),"")</f>
        <v>#REF!</v>
      </c>
      <c r="Q840" s="62">
        <v>1</v>
      </c>
      <c r="R840" s="62">
        <f t="shared" si="376"/>
        <v>0</v>
      </c>
      <c r="AD840" s="221"/>
      <c r="AE840" s="481"/>
      <c r="AF840" s="481"/>
      <c r="AG840" s="481"/>
      <c r="AH840" s="481"/>
      <c r="AI840" s="873">
        <f t="shared" si="367"/>
        <v>431.87</v>
      </c>
      <c r="AJ840" s="26">
        <f t="shared" si="366"/>
        <v>547.65</v>
      </c>
      <c r="AK840" s="26">
        <f t="shared" si="368"/>
        <v>547.65</v>
      </c>
      <c r="AL840" s="224"/>
    </row>
    <row r="841" spans="1:38" s="62" customFormat="1" ht="30">
      <c r="A841" s="25" t="s">
        <v>2946</v>
      </c>
      <c r="B841" s="154">
        <v>13247</v>
      </c>
      <c r="C841" s="153" t="s">
        <v>1952</v>
      </c>
      <c r="D841" s="164" t="s">
        <v>44</v>
      </c>
      <c r="E841" s="25" t="s">
        <v>17</v>
      </c>
      <c r="F841" s="26">
        <v>1</v>
      </c>
      <c r="G841" s="26">
        <f t="shared" si="362"/>
        <v>759.39</v>
      </c>
      <c r="H841" s="26">
        <f t="shared" si="378"/>
        <v>962.98</v>
      </c>
      <c r="I841" s="26">
        <f t="shared" si="379"/>
        <v>962.98</v>
      </c>
      <c r="J841" s="64">
        <f>'COMPOSIÇÃO DE CUSTOS'!G1954</f>
        <v>759.4</v>
      </c>
      <c r="K841" s="362">
        <v>893.4</v>
      </c>
      <c r="L841" s="65">
        <f t="shared" si="363"/>
        <v>-134.01</v>
      </c>
      <c r="M841" s="65">
        <f t="shared" si="364"/>
        <v>759.39</v>
      </c>
      <c r="N841" s="65"/>
      <c r="O841" s="65">
        <f t="shared" si="365"/>
        <v>962.98</v>
      </c>
      <c r="P841" s="65" t="e">
        <f>IF(B841&lt;&gt;0,VLOOKUP(B841,#REF!,2,FALSE),"")</f>
        <v>#REF!</v>
      </c>
      <c r="Q841" s="62">
        <v>1</v>
      </c>
      <c r="R841" s="62">
        <f t="shared" si="376"/>
        <v>0</v>
      </c>
      <c r="AD841" s="221"/>
      <c r="AE841" s="481"/>
      <c r="AF841" s="481"/>
      <c r="AG841" s="481"/>
      <c r="AH841" s="481"/>
      <c r="AI841" s="873">
        <f t="shared" si="367"/>
        <v>845.97</v>
      </c>
      <c r="AJ841" s="26">
        <f t="shared" si="366"/>
        <v>1072.77</v>
      </c>
      <c r="AK841" s="26">
        <f t="shared" si="368"/>
        <v>1072.77</v>
      </c>
      <c r="AL841" s="224"/>
    </row>
    <row r="842" spans="1:38" s="62" customFormat="1" ht="30">
      <c r="A842" s="25" t="s">
        <v>2947</v>
      </c>
      <c r="B842" s="24">
        <v>4350</v>
      </c>
      <c r="C842" s="23" t="s">
        <v>1954</v>
      </c>
      <c r="D842" s="25" t="s">
        <v>44</v>
      </c>
      <c r="E842" s="25" t="s">
        <v>17</v>
      </c>
      <c r="F842" s="26">
        <v>1</v>
      </c>
      <c r="G842" s="26">
        <f t="shared" si="362"/>
        <v>1506.4634999999998</v>
      </c>
      <c r="H842" s="26">
        <f t="shared" si="378"/>
        <v>1910.35</v>
      </c>
      <c r="I842" s="26">
        <f t="shared" si="379"/>
        <v>1910.35</v>
      </c>
      <c r="J842" s="64">
        <f>'COMPOSIÇÃO DE CUSTOS'!G1960</f>
        <v>1506.47</v>
      </c>
      <c r="K842" s="362">
        <v>1772.31</v>
      </c>
      <c r="L842" s="65">
        <f t="shared" si="363"/>
        <v>-265.84650000000011</v>
      </c>
      <c r="M842" s="65">
        <f t="shared" si="364"/>
        <v>1506.4634999999998</v>
      </c>
      <c r="N842" s="65"/>
      <c r="O842" s="65">
        <f t="shared" si="365"/>
        <v>1910.35</v>
      </c>
      <c r="P842" s="65" t="e">
        <f>IF(B842&lt;&gt;0,VLOOKUP(B842,#REF!,2,FALSE),"")</f>
        <v>#REF!</v>
      </c>
      <c r="Q842" s="62">
        <v>4</v>
      </c>
      <c r="R842" s="62">
        <f t="shared" si="376"/>
        <v>3</v>
      </c>
      <c r="AD842" s="221"/>
      <c r="AE842" s="481"/>
      <c r="AF842" s="481"/>
      <c r="AG842" s="481"/>
      <c r="AH842" s="481"/>
      <c r="AI842" s="873">
        <f t="shared" si="367"/>
        <v>1678.21</v>
      </c>
      <c r="AJ842" s="26">
        <f t="shared" si="366"/>
        <v>2128.14</v>
      </c>
      <c r="AK842" s="26">
        <f t="shared" si="368"/>
        <v>2128.14</v>
      </c>
      <c r="AL842" s="224"/>
    </row>
    <row r="843" spans="1:38" s="62" customFormat="1">
      <c r="A843" s="25" t="s">
        <v>2948</v>
      </c>
      <c r="B843" s="24">
        <v>8914</v>
      </c>
      <c r="C843" s="23" t="s">
        <v>298</v>
      </c>
      <c r="D843" s="25" t="s">
        <v>44</v>
      </c>
      <c r="E843" s="25" t="s">
        <v>17</v>
      </c>
      <c r="F843" s="26">
        <v>4</v>
      </c>
      <c r="G843" s="26">
        <f t="shared" si="362"/>
        <v>401.625</v>
      </c>
      <c r="H843" s="26">
        <f t="shared" si="378"/>
        <v>509.3</v>
      </c>
      <c r="I843" s="26">
        <f t="shared" si="379"/>
        <v>2037.2</v>
      </c>
      <c r="J843" s="64">
        <f>'COMPOSIÇÃO DE CUSTOS'!G2143</f>
        <v>401.63</v>
      </c>
      <c r="K843" s="362">
        <v>472.5</v>
      </c>
      <c r="L843" s="65">
        <f t="shared" si="363"/>
        <v>-70.875</v>
      </c>
      <c r="M843" s="65">
        <f t="shared" si="364"/>
        <v>1606.5</v>
      </c>
      <c r="N843" s="65"/>
      <c r="O843" s="65">
        <f t="shared" si="365"/>
        <v>2037.2</v>
      </c>
      <c r="P843" s="65" t="e">
        <f>IF(B843&lt;&gt;0,VLOOKUP(B843,#REF!,2,FALSE),"")</f>
        <v>#REF!</v>
      </c>
      <c r="Q843" s="62">
        <v>1</v>
      </c>
      <c r="R843" s="62">
        <f t="shared" si="376"/>
        <v>-3</v>
      </c>
      <c r="AD843" s="221"/>
      <c r="AE843" s="481"/>
      <c r="AF843" s="481"/>
      <c r="AG843" s="481"/>
      <c r="AH843" s="481"/>
      <c r="AI843" s="873">
        <f t="shared" si="367"/>
        <v>447.41</v>
      </c>
      <c r="AJ843" s="26">
        <f t="shared" si="366"/>
        <v>567.36</v>
      </c>
      <c r="AK843" s="26">
        <f t="shared" si="368"/>
        <v>2269.44</v>
      </c>
      <c r="AL843" s="224"/>
    </row>
    <row r="844" spans="1:38" s="62" customFormat="1" ht="30">
      <c r="A844" s="25" t="s">
        <v>2949</v>
      </c>
      <c r="B844" s="24">
        <v>11419</v>
      </c>
      <c r="C844" s="23" t="s">
        <v>220</v>
      </c>
      <c r="D844" s="25" t="s">
        <v>44</v>
      </c>
      <c r="E844" s="25" t="s">
        <v>17</v>
      </c>
      <c r="F844" s="26">
        <v>1</v>
      </c>
      <c r="G844" s="26">
        <f t="shared" si="362"/>
        <v>17.977499999999999</v>
      </c>
      <c r="H844" s="26">
        <f t="shared" si="378"/>
        <v>22.8</v>
      </c>
      <c r="I844" s="26">
        <f t="shared" si="379"/>
        <v>22.8</v>
      </c>
      <c r="J844" s="64">
        <f>'COMPOSIÇÃO DE CUSTOS'!G1933</f>
        <v>21.15</v>
      </c>
      <c r="K844" s="362">
        <v>21.15</v>
      </c>
      <c r="L844" s="65">
        <f t="shared" si="363"/>
        <v>-3.1724999999999994</v>
      </c>
      <c r="M844" s="65">
        <f t="shared" si="364"/>
        <v>17.977499999999999</v>
      </c>
      <c r="N844" s="65"/>
      <c r="O844" s="65">
        <f t="shared" si="365"/>
        <v>22.8</v>
      </c>
      <c r="P844" s="65" t="e">
        <f>IF(B844&lt;&gt;0,VLOOKUP(B844,#REF!,2,FALSE),"")</f>
        <v>#REF!</v>
      </c>
      <c r="R844" s="62">
        <f t="shared" si="376"/>
        <v>-1</v>
      </c>
      <c r="AD844" s="221"/>
      <c r="AE844" s="481"/>
      <c r="AF844" s="481"/>
      <c r="AG844" s="481"/>
      <c r="AH844" s="481"/>
      <c r="AI844" s="873">
        <f t="shared" si="367"/>
        <v>20.03</v>
      </c>
      <c r="AJ844" s="26">
        <f t="shared" si="366"/>
        <v>25.4</v>
      </c>
      <c r="AK844" s="26">
        <f t="shared" si="368"/>
        <v>25.4</v>
      </c>
      <c r="AL844" s="224"/>
    </row>
    <row r="845" spans="1:38" s="62" customFormat="1">
      <c r="A845" s="25"/>
      <c r="B845" s="24"/>
      <c r="C845" s="23"/>
      <c r="D845" s="25"/>
      <c r="E845" s="25"/>
      <c r="F845" s="26"/>
      <c r="G845" s="26"/>
      <c r="H845" s="26"/>
      <c r="I845" s="26"/>
      <c r="J845" s="65" t="str">
        <f>IF(B845&lt;&gt;0,VLOOKUP(B845,#REF!,4,FALSE),"")</f>
        <v/>
      </c>
      <c r="K845" s="362" t="s">
        <v>1892</v>
      </c>
      <c r="L845" s="65"/>
      <c r="M845" s="65">
        <f t="shared" si="364"/>
        <v>0</v>
      </c>
      <c r="N845" s="65"/>
      <c r="O845" s="65">
        <f t="shared" si="365"/>
        <v>0</v>
      </c>
      <c r="P845" s="65" t="str">
        <f>IF(B845&lt;&gt;0,VLOOKUP(B845,#REF!,2,FALSE),"")</f>
        <v/>
      </c>
      <c r="R845" s="62">
        <f t="shared" si="376"/>
        <v>0</v>
      </c>
      <c r="AD845" s="221"/>
      <c r="AE845" s="481"/>
      <c r="AF845" s="481"/>
      <c r="AG845" s="481"/>
      <c r="AH845" s="481"/>
      <c r="AI845" s="552"/>
      <c r="AJ845" s="27"/>
      <c r="AK845" s="27"/>
      <c r="AL845" s="224"/>
    </row>
    <row r="846" spans="1:38" s="62" customFormat="1">
      <c r="A846" s="77" t="s">
        <v>1390</v>
      </c>
      <c r="B846" s="139"/>
      <c r="C846" s="340" t="s">
        <v>299</v>
      </c>
      <c r="D846" s="341"/>
      <c r="E846" s="341"/>
      <c r="F846" s="341"/>
      <c r="G846" s="26"/>
      <c r="H846" s="341"/>
      <c r="I846" s="96">
        <f>ROUND(SUM(I848:I863),2)</f>
        <v>43692.65</v>
      </c>
      <c r="J846" s="65" t="str">
        <f>IF(B846&lt;&gt;0,VLOOKUP(B846,#REF!,4,FALSE),"")</f>
        <v/>
      </c>
      <c r="K846" s="362" t="s">
        <v>1892</v>
      </c>
      <c r="L846" s="65"/>
      <c r="M846" s="65">
        <f t="shared" si="364"/>
        <v>0</v>
      </c>
      <c r="N846" s="65"/>
      <c r="O846" s="65">
        <f t="shared" si="365"/>
        <v>0</v>
      </c>
      <c r="P846" s="65" t="str">
        <f>IF(B846&lt;&gt;0,VLOOKUP(B846,#REF!,2,FALSE),"")</f>
        <v/>
      </c>
      <c r="R846" s="62">
        <f t="shared" si="376"/>
        <v>0</v>
      </c>
      <c r="AD846" s="221"/>
      <c r="AE846" s="481"/>
      <c r="AF846" s="481"/>
      <c r="AG846" s="481"/>
      <c r="AH846" s="481"/>
      <c r="AI846" s="855"/>
      <c r="AJ846" s="481"/>
      <c r="AK846" s="548">
        <f>ROUND(SUM(AK848:AK863),2)</f>
        <v>50290.64</v>
      </c>
      <c r="AL846" s="224"/>
    </row>
    <row r="847" spans="1:38" s="62" customFormat="1">
      <c r="A847" s="77" t="s">
        <v>1391</v>
      </c>
      <c r="B847" s="139"/>
      <c r="C847" s="340" t="s">
        <v>300</v>
      </c>
      <c r="D847" s="341"/>
      <c r="E847" s="341"/>
      <c r="F847" s="341"/>
      <c r="G847" s="26"/>
      <c r="H847" s="341"/>
      <c r="I847" s="96"/>
      <c r="J847" s="65" t="str">
        <f>IF(B847&lt;&gt;0,VLOOKUP(B847,#REF!,4,FALSE),"")</f>
        <v/>
      </c>
      <c r="K847" s="362" t="s">
        <v>1892</v>
      </c>
      <c r="L847" s="65"/>
      <c r="M847" s="65">
        <f t="shared" si="364"/>
        <v>0</v>
      </c>
      <c r="N847" s="65"/>
      <c r="O847" s="65">
        <f t="shared" si="365"/>
        <v>0</v>
      </c>
      <c r="P847" s="65" t="str">
        <f>IF(B847&lt;&gt;0,VLOOKUP(B847,#REF!,2,FALSE),"")</f>
        <v/>
      </c>
      <c r="Q847" s="62">
        <v>312</v>
      </c>
      <c r="R847" s="62">
        <f t="shared" si="376"/>
        <v>312</v>
      </c>
      <c r="AD847" s="221"/>
      <c r="AE847" s="481"/>
      <c r="AF847" s="481"/>
      <c r="AG847" s="481"/>
      <c r="AH847" s="481"/>
      <c r="AI847" s="871"/>
      <c r="AJ847" s="158"/>
      <c r="AK847" s="158"/>
      <c r="AL847" s="224"/>
    </row>
    <row r="848" spans="1:38" s="34" customFormat="1" ht="45">
      <c r="A848" s="472" t="s">
        <v>2950</v>
      </c>
      <c r="B848" s="475">
        <v>96973</v>
      </c>
      <c r="C848" s="471" t="s">
        <v>2509</v>
      </c>
      <c r="D848" s="472" t="s">
        <v>12</v>
      </c>
      <c r="E848" s="472" t="s">
        <v>52</v>
      </c>
      <c r="F848" s="473">
        <v>312</v>
      </c>
      <c r="G848" s="473">
        <f t="shared" si="362"/>
        <v>49.376500000000007</v>
      </c>
      <c r="H848" s="473">
        <f t="shared" ref="H848:H853" si="380">ROUND(G848*(1+$J$13),2)</f>
        <v>62.61</v>
      </c>
      <c r="I848" s="473">
        <f t="shared" ref="I848:I853" si="381">ROUND(H848*F848,2)</f>
        <v>19534.32</v>
      </c>
      <c r="J848" s="47" t="e">
        <f>IF(B848&lt;&gt;0,VLOOKUP(B848,#REF!,4,FALSE),"")</f>
        <v>#REF!</v>
      </c>
      <c r="K848" s="378" t="s">
        <v>3260</v>
      </c>
      <c r="L848" s="47">
        <f t="shared" si="363"/>
        <v>-8.7134999999999962</v>
      </c>
      <c r="M848" s="47">
        <f t="shared" si="364"/>
        <v>15405.468000000003</v>
      </c>
      <c r="N848" s="47"/>
      <c r="O848" s="47">
        <f t="shared" si="365"/>
        <v>19534.32</v>
      </c>
      <c r="P848" s="47" t="e">
        <f>IF(B848&lt;&gt;0,VLOOKUP(B848,#REF!,2,FALSE),"")</f>
        <v>#REF!</v>
      </c>
      <c r="Q848" s="34">
        <v>18</v>
      </c>
      <c r="R848" s="34">
        <f t="shared" si="376"/>
        <v>-294</v>
      </c>
      <c r="AD848" s="577"/>
      <c r="AE848" s="502"/>
      <c r="AF848" s="502"/>
      <c r="AG848" s="502"/>
      <c r="AH848" s="502"/>
      <c r="AI848" s="879">
        <f>AL848</f>
        <v>59.09</v>
      </c>
      <c r="AJ848" s="473">
        <f>ROUND(AI848*(1+$J$13),2)</f>
        <v>74.930000000000007</v>
      </c>
      <c r="AK848" s="562">
        <f>ROUND(AJ848*F848,2)</f>
        <v>23378.16</v>
      </c>
      <c r="AL848" s="788">
        <f>'COMPOSIÇÃO AB'!G630</f>
        <v>59.09</v>
      </c>
    </row>
    <row r="849" spans="1:38" s="62" customFormat="1" ht="30">
      <c r="A849" s="25" t="s">
        <v>2951</v>
      </c>
      <c r="B849" s="24">
        <v>8795</v>
      </c>
      <c r="C849" s="23" t="s">
        <v>301</v>
      </c>
      <c r="D849" s="25" t="s">
        <v>44</v>
      </c>
      <c r="E849" s="25" t="s">
        <v>17</v>
      </c>
      <c r="F849" s="26">
        <v>18</v>
      </c>
      <c r="G849" s="26">
        <f t="shared" si="362"/>
        <v>19.473500000000001</v>
      </c>
      <c r="H849" s="26">
        <f t="shared" si="380"/>
        <v>24.69</v>
      </c>
      <c r="I849" s="26">
        <f t="shared" si="381"/>
        <v>444.42</v>
      </c>
      <c r="J849" s="65">
        <f>'COMPOSIÇÃO DE CUSTOS'!G2150</f>
        <v>19.47</v>
      </c>
      <c r="K849" s="362">
        <v>22.91</v>
      </c>
      <c r="L849" s="65">
        <f t="shared" si="363"/>
        <v>-3.4364999999999988</v>
      </c>
      <c r="M849" s="65">
        <f t="shared" si="364"/>
        <v>350.52300000000002</v>
      </c>
      <c r="N849" s="65"/>
      <c r="O849" s="65">
        <f t="shared" si="365"/>
        <v>444.42</v>
      </c>
      <c r="P849" s="65" t="e">
        <f>IF(B849&lt;&gt;0,VLOOKUP(B849,#REF!,2,FALSE),"")</f>
        <v>#REF!</v>
      </c>
      <c r="Q849" s="62">
        <v>1</v>
      </c>
      <c r="R849" s="62">
        <f t="shared" si="376"/>
        <v>-17</v>
      </c>
      <c r="AD849" s="221"/>
      <c r="AE849" s="481"/>
      <c r="AF849" s="481"/>
      <c r="AG849" s="481"/>
      <c r="AH849" s="481"/>
      <c r="AI849" s="878">
        <f t="shared" ref="AI849" si="382">ROUND(G849*$AM$11,2)</f>
        <v>21.69</v>
      </c>
      <c r="AJ849" s="159">
        <f t="shared" ref="AJ849:AJ874" si="383">ROUND(AI849*(1+$J$13),2)</f>
        <v>27.51</v>
      </c>
      <c r="AK849" s="159">
        <f t="shared" ref="AK849" si="384">ROUND(AJ849*F849,2)</f>
        <v>495.18</v>
      </c>
      <c r="AL849" s="224"/>
    </row>
    <row r="850" spans="1:38" s="27" customFormat="1" ht="30">
      <c r="A850" s="25" t="s">
        <v>2952</v>
      </c>
      <c r="B850" s="24">
        <v>96989</v>
      </c>
      <c r="C850" s="23" t="s">
        <v>2510</v>
      </c>
      <c r="D850" s="25" t="s">
        <v>12</v>
      </c>
      <c r="E850" s="25" t="s">
        <v>17</v>
      </c>
      <c r="F850" s="26">
        <v>1</v>
      </c>
      <c r="G850" s="26">
        <f t="shared" si="362"/>
        <v>103.10499999999999</v>
      </c>
      <c r="H850" s="26">
        <f t="shared" si="380"/>
        <v>130.75</v>
      </c>
      <c r="I850" s="26">
        <f t="shared" si="381"/>
        <v>130.75</v>
      </c>
      <c r="J850" s="42" t="e">
        <f>IF(B850&lt;&gt;0,VLOOKUP(B850,#REF!,4,FALSE),"")</f>
        <v>#REF!</v>
      </c>
      <c r="K850" s="365" t="s">
        <v>3264</v>
      </c>
      <c r="L850" s="65">
        <f t="shared" si="363"/>
        <v>-18.195000000000007</v>
      </c>
      <c r="M850" s="65">
        <f t="shared" si="364"/>
        <v>103.10499999999999</v>
      </c>
      <c r="N850" s="65"/>
      <c r="O850" s="65">
        <f t="shared" si="365"/>
        <v>130.75</v>
      </c>
      <c r="P850" s="42" t="e">
        <f>IF(B850&lt;&gt;0,VLOOKUP(B850,#REF!,2,FALSE),"")</f>
        <v>#REF!</v>
      </c>
      <c r="Q850" s="27">
        <v>245</v>
      </c>
      <c r="R850" s="27">
        <f t="shared" si="376"/>
        <v>244</v>
      </c>
      <c r="AD850" s="552"/>
      <c r="AE850" s="481"/>
      <c r="AF850" s="481"/>
      <c r="AG850" s="481"/>
      <c r="AH850" s="481"/>
      <c r="AI850" s="873">
        <f t="shared" ref="AI850:AI874" si="385">ROUND(G850*$AM$11,2)</f>
        <v>114.86</v>
      </c>
      <c r="AJ850" s="26">
        <f t="shared" si="383"/>
        <v>145.65</v>
      </c>
      <c r="AK850" s="26">
        <f t="shared" ref="AK850:AK874" si="386">ROUND(AJ850*F850,2)</f>
        <v>145.65</v>
      </c>
      <c r="AL850" s="790"/>
    </row>
    <row r="851" spans="1:38" s="27" customFormat="1" ht="30">
      <c r="A851" s="25" t="s">
        <v>2953</v>
      </c>
      <c r="B851" s="24">
        <v>96987</v>
      </c>
      <c r="C851" s="23" t="s">
        <v>3091</v>
      </c>
      <c r="D851" s="25" t="s">
        <v>12</v>
      </c>
      <c r="E851" s="25" t="s">
        <v>17</v>
      </c>
      <c r="F851" s="26">
        <v>1</v>
      </c>
      <c r="G851" s="26">
        <f t="shared" si="362"/>
        <v>97.393000000000001</v>
      </c>
      <c r="H851" s="26">
        <f t="shared" si="380"/>
        <v>123.5</v>
      </c>
      <c r="I851" s="26">
        <f t="shared" ref="I851:I852" si="387">ROUND(H851*F851,2)</f>
        <v>123.5</v>
      </c>
      <c r="J851" s="42" t="e">
        <f>IF(B851&lt;&gt;0,VLOOKUP(B851,#REF!,4,FALSE),"")</f>
        <v>#REF!</v>
      </c>
      <c r="K851" s="365" t="s">
        <v>3262</v>
      </c>
      <c r="L851" s="65">
        <f t="shared" si="363"/>
        <v>-17.186999999999998</v>
      </c>
      <c r="M851" s="65">
        <f t="shared" si="364"/>
        <v>97.393000000000001</v>
      </c>
      <c r="N851" s="65"/>
      <c r="O851" s="65">
        <f t="shared" si="365"/>
        <v>123.5</v>
      </c>
      <c r="P851" s="42" t="e">
        <f>IF(B851&lt;&gt;0,VLOOKUP(B851,#REF!,2,FALSE),"")</f>
        <v>#REF!</v>
      </c>
      <c r="AD851" s="552"/>
      <c r="AE851" s="481"/>
      <c r="AF851" s="481"/>
      <c r="AG851" s="481"/>
      <c r="AH851" s="481"/>
      <c r="AI851" s="873">
        <f t="shared" si="385"/>
        <v>108.5</v>
      </c>
      <c r="AJ851" s="26">
        <f t="shared" si="383"/>
        <v>137.59</v>
      </c>
      <c r="AK851" s="26">
        <f t="shared" si="386"/>
        <v>137.59</v>
      </c>
      <c r="AL851" s="790"/>
    </row>
    <row r="852" spans="1:38" s="27" customFormat="1" ht="30">
      <c r="A852" s="25" t="s">
        <v>3086</v>
      </c>
      <c r="B852" s="24">
        <v>96988</v>
      </c>
      <c r="C852" s="23" t="s">
        <v>3092</v>
      </c>
      <c r="D852" s="25" t="s">
        <v>12</v>
      </c>
      <c r="E852" s="25" t="s">
        <v>17</v>
      </c>
      <c r="F852" s="26">
        <v>1</v>
      </c>
      <c r="G852" s="26">
        <f t="shared" si="362"/>
        <v>156.995</v>
      </c>
      <c r="H852" s="26">
        <f t="shared" si="380"/>
        <v>199.09</v>
      </c>
      <c r="I852" s="26">
        <f t="shared" si="387"/>
        <v>199.09</v>
      </c>
      <c r="J852" s="42" t="e">
        <f>IF(B852&lt;&gt;0,VLOOKUP(B852,#REF!,4,FALSE),"")</f>
        <v>#REF!</v>
      </c>
      <c r="K852" s="365" t="s">
        <v>3263</v>
      </c>
      <c r="L852" s="65">
        <f t="shared" si="363"/>
        <v>-27.704999999999984</v>
      </c>
      <c r="M852" s="65">
        <f t="shared" si="364"/>
        <v>156.995</v>
      </c>
      <c r="N852" s="65"/>
      <c r="O852" s="65">
        <f t="shared" si="365"/>
        <v>199.09</v>
      </c>
      <c r="P852" s="42" t="e">
        <f>IF(B852&lt;&gt;0,VLOOKUP(B852,#REF!,2,FALSE),"")</f>
        <v>#REF!</v>
      </c>
      <c r="AD852" s="552"/>
      <c r="AE852" s="481"/>
      <c r="AF852" s="481"/>
      <c r="AG852" s="481"/>
      <c r="AH852" s="481"/>
      <c r="AI852" s="873">
        <f t="shared" si="385"/>
        <v>174.89</v>
      </c>
      <c r="AJ852" s="26">
        <f t="shared" si="383"/>
        <v>221.78</v>
      </c>
      <c r="AK852" s="26">
        <f t="shared" si="386"/>
        <v>221.78</v>
      </c>
      <c r="AL852" s="790"/>
    </row>
    <row r="853" spans="1:38" s="27" customFormat="1" ht="30">
      <c r="A853" s="25" t="s">
        <v>3087</v>
      </c>
      <c r="B853" s="24">
        <v>10694</v>
      </c>
      <c r="C853" s="23" t="s">
        <v>302</v>
      </c>
      <c r="D853" s="25" t="s">
        <v>44</v>
      </c>
      <c r="E853" s="25" t="s">
        <v>17</v>
      </c>
      <c r="F853" s="26">
        <v>245</v>
      </c>
      <c r="G853" s="26">
        <f t="shared" si="362"/>
        <v>19.694500000000001</v>
      </c>
      <c r="H853" s="26">
        <f t="shared" si="380"/>
        <v>24.97</v>
      </c>
      <c r="I853" s="26">
        <f t="shared" si="381"/>
        <v>6117.65</v>
      </c>
      <c r="J853" s="42">
        <f>'COMPOSIÇÃO DE CUSTOS'!G1921</f>
        <v>19.690000000000001</v>
      </c>
      <c r="K853" s="365">
        <v>23.17</v>
      </c>
      <c r="L853" s="65">
        <f t="shared" si="363"/>
        <v>-3.4755000000000003</v>
      </c>
      <c r="M853" s="65">
        <f t="shared" si="364"/>
        <v>4825.1525000000001</v>
      </c>
      <c r="N853" s="65"/>
      <c r="O853" s="65">
        <f t="shared" si="365"/>
        <v>6117.65</v>
      </c>
      <c r="P853" s="42" t="e">
        <f>IF(B853&lt;&gt;0,VLOOKUP(B853,#REF!,2,FALSE),"")</f>
        <v>#REF!</v>
      </c>
      <c r="R853" s="27">
        <f t="shared" ref="R853:R868" si="388">Q853-F853</f>
        <v>-245</v>
      </c>
      <c r="AD853" s="552"/>
      <c r="AE853" s="481"/>
      <c r="AF853" s="481"/>
      <c r="AG853" s="481"/>
      <c r="AH853" s="481"/>
      <c r="AI853" s="873">
        <f t="shared" si="385"/>
        <v>21.94</v>
      </c>
      <c r="AJ853" s="26">
        <f t="shared" si="383"/>
        <v>27.82</v>
      </c>
      <c r="AK853" s="26">
        <f t="shared" si="386"/>
        <v>6815.9</v>
      </c>
      <c r="AL853" s="790"/>
    </row>
    <row r="854" spans="1:38" s="62" customFormat="1">
      <c r="A854" s="77" t="s">
        <v>1398</v>
      </c>
      <c r="B854" s="139"/>
      <c r="C854" s="340" t="s">
        <v>303</v>
      </c>
      <c r="D854" s="341"/>
      <c r="E854" s="341"/>
      <c r="F854" s="341"/>
      <c r="G854" s="26"/>
      <c r="H854" s="341"/>
      <c r="I854" s="96"/>
      <c r="J854" s="65" t="str">
        <f>IF(B854&lt;&gt;0,VLOOKUP(B854,#REF!,4,FALSE),"")</f>
        <v/>
      </c>
      <c r="K854" s="362" t="s">
        <v>1892</v>
      </c>
      <c r="L854" s="65"/>
      <c r="M854" s="65">
        <f t="shared" ref="M854:M917" si="389">F854*G854</f>
        <v>0</v>
      </c>
      <c r="N854" s="65"/>
      <c r="O854" s="65">
        <f t="shared" ref="O854:O917" si="390">F854*H854</f>
        <v>0</v>
      </c>
      <c r="P854" s="65" t="str">
        <f>IF(B854&lt;&gt;0,VLOOKUP(B854,#REF!,2,FALSE),"")</f>
        <v/>
      </c>
      <c r="Q854" s="62">
        <v>77</v>
      </c>
      <c r="R854" s="62">
        <f t="shared" si="388"/>
        <v>77</v>
      </c>
      <c r="AD854" s="221"/>
      <c r="AE854" s="481"/>
      <c r="AF854" s="481"/>
      <c r="AG854" s="481"/>
      <c r="AH854" s="481"/>
      <c r="AI854" s="873"/>
      <c r="AJ854" s="26"/>
      <c r="AK854" s="26"/>
      <c r="AL854" s="224"/>
    </row>
    <row r="855" spans="1:38" s="62" customFormat="1" ht="45">
      <c r="A855" s="25" t="s">
        <v>1399</v>
      </c>
      <c r="B855" s="24"/>
      <c r="C855" s="23" t="s">
        <v>304</v>
      </c>
      <c r="D855" s="25" t="s">
        <v>44</v>
      </c>
      <c r="E855" s="25" t="s">
        <v>17</v>
      </c>
      <c r="F855" s="26">
        <v>77</v>
      </c>
      <c r="G855" s="26">
        <f t="shared" ref="G855:G916" si="391">K855-(K855*$L$14)</f>
        <v>52.003</v>
      </c>
      <c r="H855" s="26">
        <f>ROUND(G855*(1+$J$13),2)</f>
        <v>65.95</v>
      </c>
      <c r="I855" s="26">
        <f t="shared" ref="I855:I856" si="392">ROUND(H855*F855,2)</f>
        <v>5078.1499999999996</v>
      </c>
      <c r="J855" s="65">
        <f>'COMPOSIÇÃO DE CUSTOS'!G1479</f>
        <v>52</v>
      </c>
      <c r="K855" s="362">
        <v>61.18</v>
      </c>
      <c r="L855" s="65">
        <f t="shared" ref="L855:L916" si="393">G855-K855</f>
        <v>-9.1769999999999996</v>
      </c>
      <c r="M855" s="65">
        <f t="shared" si="389"/>
        <v>4004.2310000000002</v>
      </c>
      <c r="N855" s="65"/>
      <c r="O855" s="65">
        <f t="shared" si="390"/>
        <v>5078.1500000000005</v>
      </c>
      <c r="P855" s="65" t="str">
        <f>IF(B855&lt;&gt;0,VLOOKUP(B855,#REF!,2,FALSE),"")</f>
        <v/>
      </c>
      <c r="Q855" s="62">
        <v>32</v>
      </c>
      <c r="R855" s="62">
        <f t="shared" si="388"/>
        <v>-45</v>
      </c>
      <c r="AD855" s="221"/>
      <c r="AE855" s="481"/>
      <c r="AF855" s="481"/>
      <c r="AG855" s="481"/>
      <c r="AH855" s="481"/>
      <c r="AI855" s="873">
        <f t="shared" si="385"/>
        <v>57.93</v>
      </c>
      <c r="AJ855" s="26">
        <f t="shared" si="383"/>
        <v>73.459999999999994</v>
      </c>
      <c r="AK855" s="26">
        <f t="shared" si="386"/>
        <v>5656.42</v>
      </c>
      <c r="AL855" s="224"/>
    </row>
    <row r="856" spans="1:38" s="62" customFormat="1" ht="30">
      <c r="A856" s="25" t="s">
        <v>1400</v>
      </c>
      <c r="B856" s="24"/>
      <c r="C856" s="23" t="s">
        <v>3084</v>
      </c>
      <c r="D856" s="25" t="s">
        <v>44</v>
      </c>
      <c r="E856" s="25" t="s">
        <v>17</v>
      </c>
      <c r="F856" s="26">
        <v>32</v>
      </c>
      <c r="G856" s="26">
        <f t="shared" si="391"/>
        <v>7.6754999999999995</v>
      </c>
      <c r="H856" s="26">
        <f>ROUND(G856*(1+$J$13),2)</f>
        <v>9.73</v>
      </c>
      <c r="I856" s="26">
        <f t="shared" si="392"/>
        <v>311.36</v>
      </c>
      <c r="J856" s="65">
        <f>'COMPOSIÇÃO DE CUSTOS'!G1486</f>
        <v>7.67</v>
      </c>
      <c r="K856" s="362">
        <v>9.0299999999999994</v>
      </c>
      <c r="L856" s="65">
        <f t="shared" si="393"/>
        <v>-1.3544999999999998</v>
      </c>
      <c r="M856" s="65">
        <f t="shared" si="389"/>
        <v>245.61599999999999</v>
      </c>
      <c r="N856" s="65"/>
      <c r="O856" s="65">
        <f t="shared" si="390"/>
        <v>311.36</v>
      </c>
      <c r="P856" s="65" t="str">
        <f>IF(B856&lt;&gt;0,VLOOKUP(B856,#REF!,2,FALSE),"")</f>
        <v/>
      </c>
      <c r="R856" s="62">
        <f t="shared" si="388"/>
        <v>-32</v>
      </c>
      <c r="AD856" s="221"/>
      <c r="AE856" s="481"/>
      <c r="AF856" s="481"/>
      <c r="AG856" s="481"/>
      <c r="AH856" s="481"/>
      <c r="AI856" s="873">
        <f t="shared" si="385"/>
        <v>8.5500000000000007</v>
      </c>
      <c r="AJ856" s="26">
        <f t="shared" si="383"/>
        <v>10.84</v>
      </c>
      <c r="AK856" s="26">
        <f t="shared" si="386"/>
        <v>346.88</v>
      </c>
      <c r="AL856" s="224"/>
    </row>
    <row r="857" spans="1:38" s="62" customFormat="1" ht="15" customHeight="1">
      <c r="A857" s="77" t="s">
        <v>1407</v>
      </c>
      <c r="B857" s="139"/>
      <c r="C857" s="340" t="s">
        <v>305</v>
      </c>
      <c r="D857" s="341"/>
      <c r="E857" s="341"/>
      <c r="F857" s="341"/>
      <c r="G857" s="26"/>
      <c r="H857" s="341"/>
      <c r="I857" s="96"/>
      <c r="J857" s="65" t="str">
        <f>IF(B857&lt;&gt;0,VLOOKUP(B857,#REF!,4,FALSE),"")</f>
        <v/>
      </c>
      <c r="K857" s="362" t="s">
        <v>1892</v>
      </c>
      <c r="L857" s="65"/>
      <c r="M857" s="65">
        <f t="shared" si="389"/>
        <v>0</v>
      </c>
      <c r="N857" s="65"/>
      <c r="O857" s="65">
        <f t="shared" si="390"/>
        <v>0</v>
      </c>
      <c r="P857" s="65" t="str">
        <f>IF(B857&lt;&gt;0,VLOOKUP(B857,#REF!,2,FALSE),"")</f>
        <v/>
      </c>
      <c r="Q857" s="62">
        <v>41</v>
      </c>
      <c r="R857" s="62">
        <f t="shared" si="388"/>
        <v>41</v>
      </c>
      <c r="AD857" s="221"/>
      <c r="AE857" s="481"/>
      <c r="AF857" s="481"/>
      <c r="AG857" s="481"/>
      <c r="AH857" s="481"/>
      <c r="AI857" s="873"/>
      <c r="AJ857" s="26"/>
      <c r="AK857" s="26"/>
      <c r="AL857" s="224"/>
    </row>
    <row r="858" spans="1:38" s="62" customFormat="1" ht="45">
      <c r="A858" s="250" t="s">
        <v>2954</v>
      </c>
      <c r="B858" s="24">
        <v>98111</v>
      </c>
      <c r="C858" s="470" t="s">
        <v>3779</v>
      </c>
      <c r="D858" s="25" t="s">
        <v>12</v>
      </c>
      <c r="E858" s="25" t="s">
        <v>17</v>
      </c>
      <c r="F858" s="26">
        <f>16+25</f>
        <v>41</v>
      </c>
      <c r="G858" s="26">
        <f t="shared" si="391"/>
        <v>15.359500000000001</v>
      </c>
      <c r="H858" s="26">
        <f t="shared" ref="H858:H863" si="394">ROUND(G858*(1+$J$13),2)</f>
        <v>19.48</v>
      </c>
      <c r="I858" s="26">
        <f t="shared" ref="I858:I863" si="395">ROUND(H858*F858,2)</f>
        <v>798.68</v>
      </c>
      <c r="J858" s="65" t="e">
        <f>IF(B858&lt;&gt;0,VLOOKUP(B858,#REF!,4,FALSE),"")</f>
        <v>#REF!</v>
      </c>
      <c r="K858" s="362" t="s">
        <v>3136</v>
      </c>
      <c r="L858" s="65">
        <f t="shared" si="393"/>
        <v>-2.7104999999999997</v>
      </c>
      <c r="M858" s="65">
        <f t="shared" si="389"/>
        <v>629.73950000000002</v>
      </c>
      <c r="N858" s="65"/>
      <c r="O858" s="65">
        <f t="shared" si="390"/>
        <v>798.68000000000006</v>
      </c>
      <c r="P858" s="65" t="e">
        <f>IF(B858&lt;&gt;0,VLOOKUP(B858,#REF!,2,FALSE),"")</f>
        <v>#REF!</v>
      </c>
      <c r="Q858" s="62">
        <v>41</v>
      </c>
      <c r="R858" s="62">
        <f t="shared" si="388"/>
        <v>0</v>
      </c>
      <c r="AD858" s="221"/>
      <c r="AE858" s="481"/>
      <c r="AF858" s="481"/>
      <c r="AG858" s="481"/>
      <c r="AH858" s="481"/>
      <c r="AI858" s="873">
        <f t="shared" si="385"/>
        <v>17.11</v>
      </c>
      <c r="AJ858" s="26">
        <f t="shared" si="383"/>
        <v>21.7</v>
      </c>
      <c r="AK858" s="26">
        <f t="shared" si="386"/>
        <v>889.7</v>
      </c>
      <c r="AL858" s="224"/>
    </row>
    <row r="859" spans="1:38" s="62" customFormat="1" ht="30">
      <c r="A859" s="250" t="s">
        <v>2955</v>
      </c>
      <c r="B859" s="24">
        <v>96985</v>
      </c>
      <c r="C859" s="23" t="s">
        <v>2512</v>
      </c>
      <c r="D859" s="25" t="s">
        <v>12</v>
      </c>
      <c r="E859" s="25" t="s">
        <v>17</v>
      </c>
      <c r="F859" s="26">
        <f>16+25</f>
        <v>41</v>
      </c>
      <c r="G859" s="26">
        <f t="shared" si="391"/>
        <v>48.637</v>
      </c>
      <c r="H859" s="26">
        <f t="shared" si="394"/>
        <v>61.68</v>
      </c>
      <c r="I859" s="26">
        <f t="shared" si="395"/>
        <v>2528.88</v>
      </c>
      <c r="J859" s="65" t="e">
        <f>IF(B859&lt;&gt;0,VLOOKUP(B859,#REF!,4,FALSE),"")</f>
        <v>#REF!</v>
      </c>
      <c r="K859" s="362" t="s">
        <v>1884</v>
      </c>
      <c r="L859" s="65">
        <f t="shared" si="393"/>
        <v>-8.5829999999999984</v>
      </c>
      <c r="M859" s="65">
        <f t="shared" si="389"/>
        <v>1994.117</v>
      </c>
      <c r="N859" s="65"/>
      <c r="O859" s="65">
        <f t="shared" si="390"/>
        <v>2528.88</v>
      </c>
      <c r="P859" s="65" t="e">
        <f>IF(B859&lt;&gt;0,VLOOKUP(B859,#REF!,2,FALSE),"")</f>
        <v>#REF!</v>
      </c>
      <c r="Q859" s="62">
        <v>112</v>
      </c>
      <c r="R859" s="62">
        <f t="shared" si="388"/>
        <v>71</v>
      </c>
      <c r="AD859" s="221"/>
      <c r="AE859" s="481"/>
      <c r="AF859" s="481"/>
      <c r="AG859" s="481"/>
      <c r="AH859" s="481"/>
      <c r="AI859" s="873">
        <f t="shared" si="385"/>
        <v>54.18</v>
      </c>
      <c r="AJ859" s="26">
        <f t="shared" si="383"/>
        <v>68.709999999999994</v>
      </c>
      <c r="AK859" s="26">
        <f t="shared" si="386"/>
        <v>2817.11</v>
      </c>
      <c r="AL859" s="224"/>
    </row>
    <row r="860" spans="1:38" s="62" customFormat="1" ht="45">
      <c r="A860" s="250" t="s">
        <v>2956</v>
      </c>
      <c r="B860" s="24">
        <v>96977</v>
      </c>
      <c r="C860" s="470" t="s">
        <v>3780</v>
      </c>
      <c r="D860" s="25" t="s">
        <v>12</v>
      </c>
      <c r="E860" s="25" t="s">
        <v>52</v>
      </c>
      <c r="F860" s="26">
        <v>112</v>
      </c>
      <c r="G860" s="26">
        <f t="shared" si="391"/>
        <v>50.226500000000001</v>
      </c>
      <c r="H860" s="26">
        <f t="shared" si="394"/>
        <v>63.69</v>
      </c>
      <c r="I860" s="26">
        <f t="shared" si="395"/>
        <v>7133.28</v>
      </c>
      <c r="J860" s="65" t="e">
        <f>IF(B860&lt;&gt;0,VLOOKUP(B860,#REF!,4,FALSE),"")</f>
        <v>#REF!</v>
      </c>
      <c r="K860" s="362" t="s">
        <v>3261</v>
      </c>
      <c r="L860" s="65">
        <f t="shared" si="393"/>
        <v>-8.8635000000000019</v>
      </c>
      <c r="M860" s="65">
        <f t="shared" si="389"/>
        <v>5625.3680000000004</v>
      </c>
      <c r="N860" s="65"/>
      <c r="O860" s="65">
        <f t="shared" si="390"/>
        <v>7133.28</v>
      </c>
      <c r="P860" s="65" t="e">
        <f>IF(B860&lt;&gt;0,VLOOKUP(B860,#REF!,2,FALSE),"")</f>
        <v>#REF!</v>
      </c>
      <c r="Q860" s="62">
        <v>41</v>
      </c>
      <c r="R860" s="62">
        <f t="shared" si="388"/>
        <v>-71</v>
      </c>
      <c r="AD860" s="221"/>
      <c r="AE860" s="481"/>
      <c r="AF860" s="481"/>
      <c r="AG860" s="481"/>
      <c r="AH860" s="481"/>
      <c r="AI860" s="873">
        <f t="shared" si="385"/>
        <v>55.95</v>
      </c>
      <c r="AJ860" s="26">
        <f t="shared" si="383"/>
        <v>70.95</v>
      </c>
      <c r="AK860" s="26">
        <f t="shared" si="386"/>
        <v>7946.4</v>
      </c>
      <c r="AL860" s="224"/>
    </row>
    <row r="861" spans="1:38" s="62" customFormat="1" ht="30">
      <c r="A861" s="250" t="s">
        <v>2957</v>
      </c>
      <c r="B861" s="24">
        <v>10694</v>
      </c>
      <c r="C861" s="23" t="s">
        <v>302</v>
      </c>
      <c r="D861" s="25" t="s">
        <v>44</v>
      </c>
      <c r="E861" s="25" t="s">
        <v>17</v>
      </c>
      <c r="F861" s="26">
        <v>41</v>
      </c>
      <c r="G861" s="26">
        <f t="shared" si="391"/>
        <v>19.694500000000001</v>
      </c>
      <c r="H861" s="26">
        <f t="shared" si="394"/>
        <v>24.97</v>
      </c>
      <c r="I861" s="26">
        <f>ROUND(H861*F861,2)</f>
        <v>1023.77</v>
      </c>
      <c r="J861" s="65">
        <f>'COMPOSIÇÃO DE CUSTOS'!G1921</f>
        <v>19.690000000000001</v>
      </c>
      <c r="K861" s="362">
        <v>23.17</v>
      </c>
      <c r="L861" s="65">
        <f t="shared" si="393"/>
        <v>-3.4755000000000003</v>
      </c>
      <c r="M861" s="65">
        <f t="shared" si="389"/>
        <v>807.47450000000003</v>
      </c>
      <c r="N861" s="65"/>
      <c r="O861" s="65">
        <f t="shared" si="390"/>
        <v>1023.77</v>
      </c>
      <c r="P861" s="65" t="e">
        <f>IF(B861&lt;&gt;0,VLOOKUP(B861,#REF!,2,FALSE),"")</f>
        <v>#REF!</v>
      </c>
      <c r="Q861" s="62">
        <v>21</v>
      </c>
      <c r="R861" s="62">
        <f t="shared" si="388"/>
        <v>-20</v>
      </c>
      <c r="AD861" s="221"/>
      <c r="AE861" s="481"/>
      <c r="AF861" s="481"/>
      <c r="AG861" s="481"/>
      <c r="AH861" s="481"/>
      <c r="AI861" s="873">
        <f t="shared" si="385"/>
        <v>21.94</v>
      </c>
      <c r="AJ861" s="26">
        <f t="shared" si="383"/>
        <v>27.82</v>
      </c>
      <c r="AK861" s="26">
        <f t="shared" si="386"/>
        <v>1140.6199999999999</v>
      </c>
      <c r="AL861" s="224"/>
    </row>
    <row r="862" spans="1:38" s="62" customFormat="1" ht="114" customHeight="1">
      <c r="A862" s="250" t="s">
        <v>2958</v>
      </c>
      <c r="B862" s="24">
        <v>90092</v>
      </c>
      <c r="C862" s="23" t="s">
        <v>1679</v>
      </c>
      <c r="D862" s="25" t="s">
        <v>12</v>
      </c>
      <c r="E862" s="25" t="s">
        <v>35</v>
      </c>
      <c r="F862" s="26">
        <v>21</v>
      </c>
      <c r="G862" s="26">
        <f t="shared" si="391"/>
        <v>3.4595000000000002</v>
      </c>
      <c r="H862" s="26">
        <f t="shared" si="394"/>
        <v>4.3899999999999997</v>
      </c>
      <c r="I862" s="26">
        <f>ROUND(H862*F862,2)</f>
        <v>92.19</v>
      </c>
      <c r="J862" s="65" t="e">
        <f>IF(B862&lt;&gt;0,VLOOKUP(B862,#REF!,4,FALSE),"")</f>
        <v>#REF!</v>
      </c>
      <c r="K862" s="362" t="s">
        <v>1855</v>
      </c>
      <c r="L862" s="65">
        <f t="shared" si="393"/>
        <v>-0.61050000000000004</v>
      </c>
      <c r="M862" s="65">
        <f t="shared" si="389"/>
        <v>72.649500000000003</v>
      </c>
      <c r="N862" s="65"/>
      <c r="O862" s="65">
        <f t="shared" si="390"/>
        <v>92.19</v>
      </c>
      <c r="P862" s="65" t="e">
        <f>IF(B862&lt;&gt;0,VLOOKUP(B862,#REF!,2,FALSE),"")</f>
        <v>#REF!</v>
      </c>
      <c r="Q862" s="62">
        <v>21</v>
      </c>
      <c r="R862" s="62">
        <f t="shared" si="388"/>
        <v>0</v>
      </c>
      <c r="AD862" s="221"/>
      <c r="AE862" s="481"/>
      <c r="AF862" s="481"/>
      <c r="AG862" s="481"/>
      <c r="AH862" s="481"/>
      <c r="AI862" s="873">
        <f t="shared" si="385"/>
        <v>3.85</v>
      </c>
      <c r="AJ862" s="26">
        <f t="shared" si="383"/>
        <v>4.88</v>
      </c>
      <c r="AK862" s="26">
        <f t="shared" si="386"/>
        <v>102.48</v>
      </c>
      <c r="AL862" s="224"/>
    </row>
    <row r="863" spans="1:38" s="62" customFormat="1" ht="90">
      <c r="A863" s="250" t="s">
        <v>2959</v>
      </c>
      <c r="B863" s="24">
        <v>93381</v>
      </c>
      <c r="C863" s="23" t="s">
        <v>1680</v>
      </c>
      <c r="D863" s="25" t="s">
        <v>12</v>
      </c>
      <c r="E863" s="25" t="s">
        <v>35</v>
      </c>
      <c r="F863" s="26">
        <v>21</v>
      </c>
      <c r="G863" s="26">
        <f t="shared" si="391"/>
        <v>6.63</v>
      </c>
      <c r="H863" s="26">
        <f t="shared" si="394"/>
        <v>8.41</v>
      </c>
      <c r="I863" s="26">
        <f t="shared" si="395"/>
        <v>176.61</v>
      </c>
      <c r="J863" s="65" t="e">
        <f>IF(B863&lt;&gt;0,VLOOKUP(B863,#REF!,4,FALSE),"")</f>
        <v>#REF!</v>
      </c>
      <c r="K863" s="362" t="s">
        <v>3117</v>
      </c>
      <c r="L863" s="65">
        <f t="shared" si="393"/>
        <v>-1.17</v>
      </c>
      <c r="M863" s="65">
        <f t="shared" si="389"/>
        <v>139.22999999999999</v>
      </c>
      <c r="N863" s="65"/>
      <c r="O863" s="65">
        <f t="shared" si="390"/>
        <v>176.61</v>
      </c>
      <c r="P863" s="65" t="e">
        <f>IF(B863&lt;&gt;0,VLOOKUP(B863,#REF!,2,FALSE),"")</f>
        <v>#REF!</v>
      </c>
      <c r="R863" s="62">
        <f t="shared" si="388"/>
        <v>-21</v>
      </c>
      <c r="AD863" s="221"/>
      <c r="AE863" s="481"/>
      <c r="AF863" s="481"/>
      <c r="AG863" s="481"/>
      <c r="AH863" s="481"/>
      <c r="AI863" s="873">
        <f t="shared" si="385"/>
        <v>7.39</v>
      </c>
      <c r="AJ863" s="26">
        <f t="shared" si="383"/>
        <v>9.3699999999999992</v>
      </c>
      <c r="AK863" s="26">
        <f t="shared" si="386"/>
        <v>196.77</v>
      </c>
      <c r="AL863" s="224"/>
    </row>
    <row r="864" spans="1:38" s="62" customFormat="1">
      <c r="A864" s="25"/>
      <c r="B864" s="24"/>
      <c r="C864" s="23"/>
      <c r="D864" s="25"/>
      <c r="E864" s="25"/>
      <c r="F864" s="26"/>
      <c r="G864" s="26"/>
      <c r="H864" s="26"/>
      <c r="I864" s="26"/>
      <c r="J864" s="65" t="str">
        <f>IF(B864&lt;&gt;0,VLOOKUP(B864,#REF!,4,FALSE),"")</f>
        <v/>
      </c>
      <c r="K864" s="362" t="s">
        <v>1892</v>
      </c>
      <c r="L864" s="65"/>
      <c r="M864" s="65">
        <f t="shared" si="389"/>
        <v>0</v>
      </c>
      <c r="N864" s="65"/>
      <c r="O864" s="65">
        <f t="shared" si="390"/>
        <v>0</v>
      </c>
      <c r="P864" s="65" t="str">
        <f>IF(B864&lt;&gt;0,VLOOKUP(B864,#REF!,2,FALSE),"")</f>
        <v/>
      </c>
      <c r="R864" s="62">
        <f t="shared" si="388"/>
        <v>0</v>
      </c>
      <c r="AD864" s="221"/>
      <c r="AE864" s="481"/>
      <c r="AF864" s="481"/>
      <c r="AG864" s="481"/>
      <c r="AH864" s="481"/>
      <c r="AI864" s="873"/>
      <c r="AJ864" s="26"/>
      <c r="AK864" s="26"/>
      <c r="AL864" s="224"/>
    </row>
    <row r="865" spans="1:38" s="62" customFormat="1">
      <c r="A865" s="77" t="s">
        <v>1437</v>
      </c>
      <c r="B865" s="139"/>
      <c r="C865" s="340" t="s">
        <v>321</v>
      </c>
      <c r="D865" s="341"/>
      <c r="E865" s="341"/>
      <c r="F865" s="341"/>
      <c r="G865" s="26"/>
      <c r="H865" s="341"/>
      <c r="I865" s="96">
        <f>ROUND(SUM(I868:I904),2)</f>
        <v>837062.44</v>
      </c>
      <c r="J865" s="65" t="str">
        <f>IF(B865&lt;&gt;0,VLOOKUP(B865,#REF!,4,FALSE),"")</f>
        <v/>
      </c>
      <c r="K865" s="362" t="s">
        <v>1892</v>
      </c>
      <c r="L865" s="65"/>
      <c r="M865" s="65">
        <f t="shared" si="389"/>
        <v>0</v>
      </c>
      <c r="N865" s="65"/>
      <c r="O865" s="65">
        <f t="shared" si="390"/>
        <v>0</v>
      </c>
      <c r="P865" s="65" t="str">
        <f>IF(B865&lt;&gt;0,VLOOKUP(B865,#REF!,2,FALSE),"")</f>
        <v/>
      </c>
      <c r="R865" s="62">
        <f t="shared" si="388"/>
        <v>0</v>
      </c>
      <c r="AD865" s="221"/>
      <c r="AE865" s="481"/>
      <c r="AF865" s="481"/>
      <c r="AG865" s="481"/>
      <c r="AH865" s="481"/>
      <c r="AI865" s="873"/>
      <c r="AJ865" s="26"/>
      <c r="AK865" s="96">
        <f>ROUND(SUM(AK868:AK904),2)</f>
        <v>958454.35</v>
      </c>
      <c r="AL865" s="224"/>
    </row>
    <row r="866" spans="1:38" s="62" customFormat="1">
      <c r="A866" s="77" t="s">
        <v>1438</v>
      </c>
      <c r="B866" s="139"/>
      <c r="C866" s="340" t="s">
        <v>322</v>
      </c>
      <c r="D866" s="341"/>
      <c r="E866" s="341"/>
      <c r="F866" s="341"/>
      <c r="G866" s="26"/>
      <c r="H866" s="341"/>
      <c r="I866" s="96"/>
      <c r="J866" s="65" t="str">
        <f>IF(B866&lt;&gt;0,VLOOKUP(B866,#REF!,4,FALSE),"")</f>
        <v/>
      </c>
      <c r="K866" s="362" t="s">
        <v>1892</v>
      </c>
      <c r="L866" s="65"/>
      <c r="M866" s="65">
        <f t="shared" si="389"/>
        <v>0</v>
      </c>
      <c r="N866" s="65"/>
      <c r="O866" s="65">
        <f t="shared" si="390"/>
        <v>0</v>
      </c>
      <c r="P866" s="65" t="str">
        <f>IF(B866&lt;&gt;0,VLOOKUP(B866,#REF!,2,FALSE),"")</f>
        <v/>
      </c>
      <c r="R866" s="62">
        <f t="shared" si="388"/>
        <v>0</v>
      </c>
      <c r="AD866" s="221"/>
      <c r="AE866" s="481"/>
      <c r="AF866" s="481"/>
      <c r="AG866" s="481"/>
      <c r="AH866" s="481"/>
      <c r="AI866" s="873"/>
      <c r="AJ866" s="26"/>
      <c r="AK866" s="26"/>
      <c r="AL866" s="224"/>
    </row>
    <row r="867" spans="1:38" s="62" customFormat="1" ht="15" customHeight="1">
      <c r="A867" s="77" t="s">
        <v>1439</v>
      </c>
      <c r="B867" s="139"/>
      <c r="C867" s="340" t="s">
        <v>323</v>
      </c>
      <c r="D867" s="341"/>
      <c r="E867" s="341"/>
      <c r="F867" s="341"/>
      <c r="G867" s="26"/>
      <c r="H867" s="341"/>
      <c r="I867" s="96"/>
      <c r="J867" s="65" t="str">
        <f>IF(B867&lt;&gt;0,VLOOKUP(B867,#REF!,4,FALSE),"")</f>
        <v/>
      </c>
      <c r="K867" s="362" t="s">
        <v>1892</v>
      </c>
      <c r="L867" s="65"/>
      <c r="M867" s="65">
        <f t="shared" si="389"/>
        <v>0</v>
      </c>
      <c r="N867" s="65"/>
      <c r="O867" s="65">
        <f t="shared" si="390"/>
        <v>0</v>
      </c>
      <c r="P867" s="65" t="str">
        <f>IF(B867&lt;&gt;0,VLOOKUP(B867,#REF!,2,FALSE),"")</f>
        <v/>
      </c>
      <c r="Q867" s="62">
        <v>406</v>
      </c>
      <c r="R867" s="62">
        <f t="shared" si="388"/>
        <v>406</v>
      </c>
      <c r="AD867" s="221"/>
      <c r="AE867" s="481"/>
      <c r="AF867" s="481"/>
      <c r="AG867" s="481"/>
      <c r="AH867" s="481"/>
      <c r="AI867" s="873"/>
      <c r="AJ867" s="26"/>
      <c r="AK867" s="26"/>
      <c r="AL867" s="224"/>
    </row>
    <row r="868" spans="1:38" s="62" customFormat="1" ht="30">
      <c r="A868" s="25" t="s">
        <v>1440</v>
      </c>
      <c r="B868" s="24">
        <v>10754</v>
      </c>
      <c r="C868" s="23" t="s">
        <v>324</v>
      </c>
      <c r="D868" s="25" t="s">
        <v>44</v>
      </c>
      <c r="E868" s="25" t="s">
        <v>52</v>
      </c>
      <c r="F868" s="26">
        <v>406</v>
      </c>
      <c r="G868" s="26">
        <f t="shared" si="391"/>
        <v>15.589</v>
      </c>
      <c r="H868" s="26">
        <f>ROUND(G868*(1+$J$13),2)</f>
        <v>19.77</v>
      </c>
      <c r="I868" s="26">
        <f t="shared" ref="I868" si="396">ROUND(H868*F868,2)</f>
        <v>8026.62</v>
      </c>
      <c r="J868" s="64">
        <f>'COMPOSIÇÃO DE CUSTOS'!G1596</f>
        <v>15.59</v>
      </c>
      <c r="K868" s="362">
        <v>18.34</v>
      </c>
      <c r="L868" s="65">
        <f t="shared" si="393"/>
        <v>-2.7509999999999994</v>
      </c>
      <c r="M868" s="65">
        <f t="shared" si="389"/>
        <v>6329.134</v>
      </c>
      <c r="N868" s="65"/>
      <c r="O868" s="65">
        <f t="shared" si="390"/>
        <v>8026.62</v>
      </c>
      <c r="P868" s="65" t="e">
        <f>IF(B868&lt;&gt;0,VLOOKUP(B868,#REF!,2,FALSE),"")</f>
        <v>#REF!</v>
      </c>
      <c r="R868" s="62">
        <f t="shared" si="388"/>
        <v>-406</v>
      </c>
      <c r="AD868" s="221"/>
      <c r="AE868" s="481"/>
      <c r="AF868" s="481"/>
      <c r="AG868" s="481"/>
      <c r="AH868" s="481"/>
      <c r="AI868" s="873">
        <f t="shared" si="385"/>
        <v>17.37</v>
      </c>
      <c r="AJ868" s="26">
        <f t="shared" si="383"/>
        <v>22.03</v>
      </c>
      <c r="AK868" s="26">
        <f t="shared" si="386"/>
        <v>8944.18</v>
      </c>
      <c r="AL868" s="224"/>
    </row>
    <row r="869" spans="1:38" s="62" customFormat="1" ht="30">
      <c r="A869" s="25" t="s">
        <v>3420</v>
      </c>
      <c r="B869" s="24">
        <v>4235</v>
      </c>
      <c r="C869" s="23" t="str">
        <f>'COMPOSIÇÃO DE CUSTOS'!A2563</f>
        <v>CABO DE COBRE PP CORDPLAST 5 X 4.0 MM2, 450/750V</v>
      </c>
      <c r="D869" s="25" t="s">
        <v>44</v>
      </c>
      <c r="E869" s="25" t="s">
        <v>52</v>
      </c>
      <c r="F869" s="26">
        <v>406</v>
      </c>
      <c r="G869" s="26">
        <f t="shared" si="391"/>
        <v>23.766000000000002</v>
      </c>
      <c r="H869" s="26">
        <f>ROUND(G869*(1+$J$13),2)</f>
        <v>30.14</v>
      </c>
      <c r="I869" s="26">
        <f t="shared" ref="I869" si="397">ROUND(H869*F869,2)</f>
        <v>12236.84</v>
      </c>
      <c r="J869" s="64">
        <f>'COMPOSIÇÃO DE CUSTOS'!G2568</f>
        <v>23.78</v>
      </c>
      <c r="K869" s="362">
        <v>27.96</v>
      </c>
      <c r="L869" s="65">
        <f t="shared" si="393"/>
        <v>-4.1939999999999991</v>
      </c>
      <c r="M869" s="65">
        <f t="shared" si="389"/>
        <v>9648.996000000001</v>
      </c>
      <c r="N869" s="65"/>
      <c r="O869" s="65">
        <f t="shared" si="390"/>
        <v>12236.84</v>
      </c>
      <c r="P869" s="65"/>
      <c r="AD869" s="221"/>
      <c r="AE869" s="481"/>
      <c r="AF869" s="481"/>
      <c r="AG869" s="481"/>
      <c r="AH869" s="481"/>
      <c r="AI869" s="873">
        <f t="shared" si="385"/>
        <v>26.48</v>
      </c>
      <c r="AJ869" s="26">
        <f t="shared" si="383"/>
        <v>33.58</v>
      </c>
      <c r="AK869" s="26">
        <f t="shared" si="386"/>
        <v>13633.48</v>
      </c>
      <c r="AL869" s="224"/>
    </row>
    <row r="870" spans="1:38" s="62" customFormat="1" ht="30">
      <c r="A870" s="25" t="s">
        <v>3426</v>
      </c>
      <c r="B870" s="24">
        <v>93655</v>
      </c>
      <c r="C870" s="23" t="s">
        <v>2852</v>
      </c>
      <c r="D870" s="25" t="s">
        <v>12</v>
      </c>
      <c r="E870" s="25" t="s">
        <v>17</v>
      </c>
      <c r="F870" s="26">
        <v>42</v>
      </c>
      <c r="G870" s="26">
        <f t="shared" si="391"/>
        <v>10.3445</v>
      </c>
      <c r="H870" s="26">
        <f>ROUND(G870*(1+$J$13),2)</f>
        <v>13.12</v>
      </c>
      <c r="I870" s="26">
        <f t="shared" ref="I870:I871" si="398">ROUND(H870*F870,2)</f>
        <v>551.04</v>
      </c>
      <c r="J870" s="65" t="e">
        <f>IF(B870&lt;&gt;0,VLOOKUP(B870,#REF!,4,FALSE),"")</f>
        <v>#REF!</v>
      </c>
      <c r="K870" s="362" t="s">
        <v>1879</v>
      </c>
      <c r="L870" s="65">
        <f t="shared" si="393"/>
        <v>-1.8254999999999999</v>
      </c>
      <c r="M870" s="65">
        <f t="shared" si="389"/>
        <v>434.46899999999999</v>
      </c>
      <c r="N870" s="65"/>
      <c r="O870" s="65">
        <f t="shared" si="390"/>
        <v>551.04</v>
      </c>
      <c r="P870" s="65" t="e">
        <f>IF(B870&lt;&gt;0,VLOOKUP(B870,#REF!,2,FALSE),"")</f>
        <v>#REF!</v>
      </c>
      <c r="AD870" s="221"/>
      <c r="AE870" s="481"/>
      <c r="AF870" s="481"/>
      <c r="AG870" s="481"/>
      <c r="AH870" s="481"/>
      <c r="AI870" s="873">
        <f t="shared" si="385"/>
        <v>11.52</v>
      </c>
      <c r="AJ870" s="26">
        <f t="shared" si="383"/>
        <v>14.61</v>
      </c>
      <c r="AK870" s="26">
        <f t="shared" si="386"/>
        <v>613.62</v>
      </c>
      <c r="AL870" s="224"/>
    </row>
    <row r="871" spans="1:38" s="62" customFormat="1" ht="60">
      <c r="A871" s="25" t="s">
        <v>3427</v>
      </c>
      <c r="B871" s="24">
        <v>101881</v>
      </c>
      <c r="C871" s="23" t="s">
        <v>3428</v>
      </c>
      <c r="D871" s="25" t="s">
        <v>12</v>
      </c>
      <c r="E871" s="25" t="s">
        <v>17</v>
      </c>
      <c r="F871" s="26">
        <v>2</v>
      </c>
      <c r="G871" s="26">
        <f t="shared" si="391"/>
        <v>765.94350000000009</v>
      </c>
      <c r="H871" s="26">
        <f>ROUND(G871*(1+$J$13),2)</f>
        <v>971.29</v>
      </c>
      <c r="I871" s="26">
        <f t="shared" si="398"/>
        <v>1942.58</v>
      </c>
      <c r="J871" s="65" t="e">
        <f>IF(B871&lt;&gt;0,VLOOKUP(B871,#REF!,4,FALSE),"")</f>
        <v>#REF!</v>
      </c>
      <c r="K871" s="362" t="s">
        <v>3251</v>
      </c>
      <c r="L871" s="65">
        <f t="shared" si="393"/>
        <v>-135.16649999999993</v>
      </c>
      <c r="M871" s="65">
        <f t="shared" si="389"/>
        <v>1531.8870000000002</v>
      </c>
      <c r="N871" s="65"/>
      <c r="O871" s="65">
        <f t="shared" si="390"/>
        <v>1942.58</v>
      </c>
      <c r="P871" s="65" t="e">
        <f>IF(B871&lt;&gt;0,VLOOKUP(B871,#REF!,2,FALSE),"")</f>
        <v>#REF!</v>
      </c>
      <c r="AD871" s="221"/>
      <c r="AE871" s="481"/>
      <c r="AF871" s="481"/>
      <c r="AG871" s="481"/>
      <c r="AH871" s="481"/>
      <c r="AI871" s="873">
        <f t="shared" si="385"/>
        <v>853.27</v>
      </c>
      <c r="AJ871" s="26">
        <f t="shared" si="383"/>
        <v>1082.03</v>
      </c>
      <c r="AK871" s="26">
        <f t="shared" si="386"/>
        <v>2164.06</v>
      </c>
      <c r="AL871" s="224"/>
    </row>
    <row r="872" spans="1:38" s="62" customFormat="1">
      <c r="A872" s="77" t="s">
        <v>1441</v>
      </c>
      <c r="B872" s="139"/>
      <c r="C872" s="340" t="s">
        <v>325</v>
      </c>
      <c r="D872" s="341"/>
      <c r="E872" s="341"/>
      <c r="F872" s="341"/>
      <c r="G872" s="26"/>
      <c r="H872" s="341"/>
      <c r="I872" s="96"/>
      <c r="J872" s="64" t="str">
        <f>IF(B872&lt;&gt;0,VLOOKUP(B872,#REF!,4,FALSE),"")</f>
        <v/>
      </c>
      <c r="K872" s="362" t="s">
        <v>1892</v>
      </c>
      <c r="L872" s="65"/>
      <c r="M872" s="65">
        <f t="shared" si="389"/>
        <v>0</v>
      </c>
      <c r="N872" s="65"/>
      <c r="O872" s="65">
        <f t="shared" si="390"/>
        <v>0</v>
      </c>
      <c r="P872" s="65" t="str">
        <f>IF(B872&lt;&gt;0,VLOOKUP(B872,#REF!,2,FALSE),"")</f>
        <v/>
      </c>
      <c r="Q872" s="62">
        <v>107</v>
      </c>
      <c r="R872" s="62">
        <f t="shared" ref="R872:R883" si="399">Q872-F872</f>
        <v>107</v>
      </c>
      <c r="AD872" s="221"/>
      <c r="AE872" s="481"/>
      <c r="AF872" s="481"/>
      <c r="AG872" s="481"/>
      <c r="AH872" s="481"/>
      <c r="AI872" s="873"/>
      <c r="AJ872" s="26"/>
      <c r="AK872" s="26"/>
      <c r="AL872" s="224"/>
    </row>
    <row r="873" spans="1:38" s="62" customFormat="1">
      <c r="A873" s="25" t="s">
        <v>1442</v>
      </c>
      <c r="B873" s="24">
        <v>70473</v>
      </c>
      <c r="C873" s="23" t="s">
        <v>2625</v>
      </c>
      <c r="D873" s="25" t="s">
        <v>1915</v>
      </c>
      <c r="E873" s="25" t="s">
        <v>52</v>
      </c>
      <c r="F873" s="26">
        <v>107</v>
      </c>
      <c r="G873" s="26">
        <f t="shared" si="391"/>
        <v>89.0715</v>
      </c>
      <c r="H873" s="26">
        <f>ROUND(G873*(1+$J$13),2)</f>
        <v>112.95</v>
      </c>
      <c r="I873" s="26">
        <f t="shared" ref="I873:I874" si="400">ROUND(H873*F873,2)</f>
        <v>12085.65</v>
      </c>
      <c r="J873" s="64">
        <f>'COMPOSIÇÃO DE CUSTOS'!G1602</f>
        <v>89.07</v>
      </c>
      <c r="K873" s="362">
        <v>104.79</v>
      </c>
      <c r="L873" s="65">
        <f t="shared" si="393"/>
        <v>-15.718500000000006</v>
      </c>
      <c r="M873" s="65">
        <f t="shared" si="389"/>
        <v>9530.6504999999997</v>
      </c>
      <c r="N873" s="65"/>
      <c r="O873" s="65">
        <f t="shared" si="390"/>
        <v>12085.65</v>
      </c>
      <c r="P873" s="65" t="e">
        <f>IF(B873&lt;&gt;0,VLOOKUP(B873,#REF!,2,FALSE),"")</f>
        <v>#REF!</v>
      </c>
      <c r="Q873" s="62">
        <v>4</v>
      </c>
      <c r="R873" s="62">
        <f t="shared" si="399"/>
        <v>-103</v>
      </c>
      <c r="AD873" s="221"/>
      <c r="AE873" s="481"/>
      <c r="AF873" s="481"/>
      <c r="AG873" s="481"/>
      <c r="AH873" s="481"/>
      <c r="AI873" s="873">
        <f t="shared" si="385"/>
        <v>99.23</v>
      </c>
      <c r="AJ873" s="26">
        <f t="shared" si="383"/>
        <v>125.83</v>
      </c>
      <c r="AK873" s="26">
        <f t="shared" si="386"/>
        <v>13463.81</v>
      </c>
      <c r="AL873" s="224"/>
    </row>
    <row r="874" spans="1:38" s="62" customFormat="1" ht="30">
      <c r="A874" s="25" t="s">
        <v>2960</v>
      </c>
      <c r="B874" s="24" t="s">
        <v>3369</v>
      </c>
      <c r="C874" s="23" t="s">
        <v>2961</v>
      </c>
      <c r="D874" s="25" t="s">
        <v>3049</v>
      </c>
      <c r="E874" s="25" t="s">
        <v>17</v>
      </c>
      <c r="F874" s="26">
        <v>4</v>
      </c>
      <c r="G874" s="26">
        <f t="shared" si="391"/>
        <v>65.858000000000004</v>
      </c>
      <c r="H874" s="26">
        <f>ROUND(G874*(1+$J$13),2)</f>
        <v>83.51</v>
      </c>
      <c r="I874" s="26">
        <f t="shared" si="400"/>
        <v>334.04</v>
      </c>
      <c r="J874" s="64">
        <f>'COMPOSIÇÃO DE CUSTOS'!G2532</f>
        <v>77.48</v>
      </c>
      <c r="K874" s="362">
        <v>77.48</v>
      </c>
      <c r="L874" s="65">
        <f t="shared" si="393"/>
        <v>-11.622</v>
      </c>
      <c r="M874" s="65">
        <f t="shared" si="389"/>
        <v>263.43200000000002</v>
      </c>
      <c r="N874" s="65"/>
      <c r="O874" s="65">
        <f t="shared" si="390"/>
        <v>334.04</v>
      </c>
      <c r="P874" s="65" t="e">
        <f>IF(B874&lt;&gt;0,VLOOKUP(B874,#REF!,2,FALSE),"")</f>
        <v>#REF!</v>
      </c>
      <c r="R874" s="62">
        <f t="shared" si="399"/>
        <v>-4</v>
      </c>
      <c r="AD874" s="221"/>
      <c r="AE874" s="481"/>
      <c r="AF874" s="481"/>
      <c r="AG874" s="481"/>
      <c r="AH874" s="481"/>
      <c r="AI874" s="873">
        <f t="shared" si="385"/>
        <v>73.37</v>
      </c>
      <c r="AJ874" s="26">
        <f t="shared" si="383"/>
        <v>93.04</v>
      </c>
      <c r="AK874" s="26">
        <f t="shared" si="386"/>
        <v>372.16</v>
      </c>
      <c r="AL874" s="224"/>
    </row>
    <row r="875" spans="1:38" s="62" customFormat="1" ht="15" customHeight="1">
      <c r="A875" s="77" t="s">
        <v>1443</v>
      </c>
      <c r="B875" s="139"/>
      <c r="C875" s="340" t="s">
        <v>135</v>
      </c>
      <c r="D875" s="341"/>
      <c r="E875" s="341"/>
      <c r="F875" s="341"/>
      <c r="G875" s="26"/>
      <c r="H875" s="341"/>
      <c r="I875" s="96"/>
      <c r="J875" s="64" t="str">
        <f>IF(B875&lt;&gt;0,VLOOKUP(B875,#REF!,4,FALSE),"")</f>
        <v/>
      </c>
      <c r="K875" s="362" t="s">
        <v>1892</v>
      </c>
      <c r="L875" s="65"/>
      <c r="M875" s="65">
        <f t="shared" si="389"/>
        <v>0</v>
      </c>
      <c r="N875" s="65"/>
      <c r="O875" s="65">
        <f t="shared" si="390"/>
        <v>0</v>
      </c>
      <c r="P875" s="65" t="str">
        <f>IF(B875&lt;&gt;0,VLOOKUP(B875,#REF!,2,FALSE),"")</f>
        <v/>
      </c>
      <c r="Q875" s="62">
        <v>1</v>
      </c>
      <c r="R875" s="62">
        <f t="shared" si="399"/>
        <v>1</v>
      </c>
      <c r="AD875" s="221"/>
      <c r="AE875" s="481"/>
      <c r="AF875" s="481"/>
      <c r="AG875" s="481"/>
      <c r="AH875" s="481"/>
      <c r="AI875" s="873"/>
      <c r="AJ875" s="26"/>
      <c r="AK875" s="26"/>
      <c r="AL875" s="224"/>
    </row>
    <row r="876" spans="1:38" s="34" customFormat="1" ht="30">
      <c r="A876" s="472" t="s">
        <v>1444</v>
      </c>
      <c r="B876" s="475" t="s">
        <v>3353</v>
      </c>
      <c r="C876" s="471" t="s">
        <v>3074</v>
      </c>
      <c r="D876" s="472" t="s">
        <v>3049</v>
      </c>
      <c r="E876" s="472" t="s">
        <v>17</v>
      </c>
      <c r="F876" s="473">
        <v>1</v>
      </c>
      <c r="G876" s="473">
        <f t="shared" si="391"/>
        <v>82280.934999999998</v>
      </c>
      <c r="H876" s="473">
        <f t="shared" ref="H876:H883" si="401">ROUND(G876*(1+$J$14),2)</f>
        <v>97651.01</v>
      </c>
      <c r="I876" s="473">
        <f t="shared" ref="I876:I888" si="402">ROUND(H876*F876,2)</f>
        <v>97651.01</v>
      </c>
      <c r="J876" s="474">
        <f>'COMPOSIÇÃO DE CUSTOS'!G2517</f>
        <v>82280.94</v>
      </c>
      <c r="K876" s="378">
        <v>96801.1</v>
      </c>
      <c r="L876" s="47">
        <f t="shared" si="393"/>
        <v>-14520.165000000008</v>
      </c>
      <c r="M876" s="47">
        <f t="shared" si="389"/>
        <v>82280.934999999998</v>
      </c>
      <c r="N876" s="47"/>
      <c r="O876" s="47">
        <f t="shared" si="390"/>
        <v>97651.01</v>
      </c>
      <c r="P876" s="47" t="e">
        <f>IF(B876&lt;&gt;0,VLOOKUP(B876,#REF!,2,FALSE),"")</f>
        <v>#REF!</v>
      </c>
      <c r="Q876" s="34">
        <v>1</v>
      </c>
      <c r="R876" s="34">
        <f t="shared" si="399"/>
        <v>0</v>
      </c>
      <c r="AD876" s="577"/>
      <c r="AE876" s="502"/>
      <c r="AF876" s="502"/>
      <c r="AG876" s="502"/>
      <c r="AH876" s="502"/>
      <c r="AI876" s="872">
        <f t="shared" ref="AI876:AI883" si="403">AL876</f>
        <v>69108.47</v>
      </c>
      <c r="AJ876" s="473">
        <f>ROUND(AI876*(1+$J$14),2)</f>
        <v>82017.929999999993</v>
      </c>
      <c r="AK876" s="473">
        <f t="shared" ref="AK876:AK883" si="404">ROUND(AJ876*F876,2)</f>
        <v>82017.929999999993</v>
      </c>
      <c r="AL876" s="788">
        <f>'COMPOSIÇÃO AB'!G821</f>
        <v>69108.47</v>
      </c>
    </row>
    <row r="877" spans="1:38" s="34" customFormat="1" ht="30">
      <c r="A877" s="472" t="s">
        <v>1445</v>
      </c>
      <c r="B877" s="475" t="s">
        <v>3438</v>
      </c>
      <c r="C877" s="471" t="s">
        <v>3075</v>
      </c>
      <c r="D877" s="472" t="s">
        <v>3049</v>
      </c>
      <c r="E877" s="472" t="s">
        <v>17</v>
      </c>
      <c r="F877" s="473">
        <v>1</v>
      </c>
      <c r="G877" s="473">
        <f t="shared" si="391"/>
        <v>91692.79800000001</v>
      </c>
      <c r="H877" s="473">
        <f t="shared" si="401"/>
        <v>108821.01</v>
      </c>
      <c r="I877" s="473">
        <f t="shared" si="402"/>
        <v>108821.01</v>
      </c>
      <c r="J877" s="474">
        <f>'COMPOSIÇÃO DE CUSTOS'!G2522</f>
        <v>91692.800000000003</v>
      </c>
      <c r="K877" s="378">
        <v>107873.88</v>
      </c>
      <c r="L877" s="47">
        <f t="shared" si="393"/>
        <v>-16181.081999999995</v>
      </c>
      <c r="M877" s="47">
        <f t="shared" si="389"/>
        <v>91692.79800000001</v>
      </c>
      <c r="N877" s="47"/>
      <c r="O877" s="47">
        <f t="shared" si="390"/>
        <v>108821.01</v>
      </c>
      <c r="P877" s="47" t="e">
        <f>IF(B877&lt;&gt;0,VLOOKUP(B877,#REF!,2,FALSE),"")</f>
        <v>#REF!</v>
      </c>
      <c r="Q877" s="34">
        <v>1</v>
      </c>
      <c r="R877" s="34">
        <f t="shared" si="399"/>
        <v>0</v>
      </c>
      <c r="AD877" s="577"/>
      <c r="AE877" s="502"/>
      <c r="AF877" s="502"/>
      <c r="AG877" s="502"/>
      <c r="AH877" s="502"/>
      <c r="AI877" s="872">
        <f t="shared" si="403"/>
        <v>80450.570000000007</v>
      </c>
      <c r="AJ877" s="473">
        <f t="shared" ref="AJ877:AJ883" si="405">ROUND(AI877*(1+$J$14),2)</f>
        <v>95478.74</v>
      </c>
      <c r="AK877" s="473">
        <f t="shared" si="404"/>
        <v>95478.74</v>
      </c>
      <c r="AL877" s="788">
        <f>'COMPOSIÇÃO AB'!G826</f>
        <v>80450.570000000007</v>
      </c>
    </row>
    <row r="878" spans="1:38" s="34" customFormat="1" ht="30">
      <c r="A878" s="472" t="s">
        <v>1446</v>
      </c>
      <c r="B878" s="475" t="s">
        <v>3365</v>
      </c>
      <c r="C878" s="471" t="s">
        <v>3080</v>
      </c>
      <c r="D878" s="472" t="s">
        <v>3049</v>
      </c>
      <c r="E878" s="472" t="s">
        <v>17</v>
      </c>
      <c r="F878" s="473">
        <v>1</v>
      </c>
      <c r="G878" s="473">
        <f t="shared" si="391"/>
        <v>137539.19700000001</v>
      </c>
      <c r="H878" s="473">
        <f t="shared" si="401"/>
        <v>163231.51999999999</v>
      </c>
      <c r="I878" s="473">
        <f t="shared" si="402"/>
        <v>163231.51999999999</v>
      </c>
      <c r="J878" s="474">
        <f>'COMPOSIÇÃO DE CUSTOS'!G2527</f>
        <v>137539.20000000001</v>
      </c>
      <c r="K878" s="378">
        <v>161810.82</v>
      </c>
      <c r="L878" s="47">
        <f t="shared" si="393"/>
        <v>-24271.622999999992</v>
      </c>
      <c r="M878" s="47">
        <f t="shared" si="389"/>
        <v>137539.19700000001</v>
      </c>
      <c r="N878" s="47"/>
      <c r="O878" s="47">
        <f t="shared" si="390"/>
        <v>163231.51999999999</v>
      </c>
      <c r="P878" s="47" t="e">
        <f>IF(B878&lt;&gt;0,VLOOKUP(B878,#REF!,2,FALSE),"")</f>
        <v>#REF!</v>
      </c>
      <c r="Q878" s="34">
        <v>21</v>
      </c>
      <c r="R878" s="34">
        <f t="shared" si="399"/>
        <v>20</v>
      </c>
      <c r="AD878" s="577"/>
      <c r="AE878" s="502"/>
      <c r="AF878" s="502"/>
      <c r="AG878" s="502"/>
      <c r="AH878" s="502"/>
      <c r="AI878" s="872">
        <f t="shared" si="403"/>
        <v>127198.67</v>
      </c>
      <c r="AJ878" s="473">
        <f t="shared" si="405"/>
        <v>150959.38</v>
      </c>
      <c r="AK878" s="473">
        <f t="shared" si="404"/>
        <v>150959.38</v>
      </c>
      <c r="AL878" s="788">
        <f>'COMPOSIÇÃO AB'!G831</f>
        <v>127198.67</v>
      </c>
    </row>
    <row r="879" spans="1:38" s="34" customFormat="1" ht="30">
      <c r="A879" s="472" t="s">
        <v>1447</v>
      </c>
      <c r="B879" s="475" t="s">
        <v>3335</v>
      </c>
      <c r="C879" s="471" t="s">
        <v>3055</v>
      </c>
      <c r="D879" s="472" t="s">
        <v>3049</v>
      </c>
      <c r="E879" s="472" t="s">
        <v>17</v>
      </c>
      <c r="F879" s="473">
        <v>21</v>
      </c>
      <c r="G879" s="473">
        <f t="shared" si="391"/>
        <v>3752.2655000000004</v>
      </c>
      <c r="H879" s="473">
        <f t="shared" si="401"/>
        <v>4453.1899999999996</v>
      </c>
      <c r="I879" s="473">
        <f t="shared" si="402"/>
        <v>93516.99</v>
      </c>
      <c r="J879" s="474">
        <f>'COMPOSIÇÃO DE CUSTOS'!G1636</f>
        <v>3752.27</v>
      </c>
      <c r="K879" s="378">
        <v>4414.43</v>
      </c>
      <c r="L879" s="47">
        <f t="shared" si="393"/>
        <v>-662.16449999999986</v>
      </c>
      <c r="M879" s="47">
        <f t="shared" si="389"/>
        <v>78797.575500000006</v>
      </c>
      <c r="N879" s="47"/>
      <c r="O879" s="47">
        <f t="shared" si="390"/>
        <v>93516.989999999991</v>
      </c>
      <c r="P879" s="47" t="e">
        <f>IF(B879&lt;&gt;0,VLOOKUP(B879,#REF!,2,FALSE),"")</f>
        <v>#REF!</v>
      </c>
      <c r="Q879" s="34">
        <v>5</v>
      </c>
      <c r="R879" s="34">
        <f t="shared" si="399"/>
        <v>-16</v>
      </c>
      <c r="AD879" s="577"/>
      <c r="AE879" s="502"/>
      <c r="AF879" s="502"/>
      <c r="AG879" s="502"/>
      <c r="AH879" s="502"/>
      <c r="AI879" s="872">
        <f t="shared" si="403"/>
        <v>4149.95</v>
      </c>
      <c r="AJ879" s="473">
        <f t="shared" si="405"/>
        <v>4925.16</v>
      </c>
      <c r="AK879" s="473">
        <f t="shared" si="404"/>
        <v>103428.36</v>
      </c>
      <c r="AL879" s="788">
        <f>'PLANILHA ORÇA - CORREGEDORIA'!BG1075</f>
        <v>4149.95</v>
      </c>
    </row>
    <row r="880" spans="1:38" s="34" customFormat="1" ht="38.25" customHeight="1">
      <c r="A880" s="472" t="s">
        <v>1448</v>
      </c>
      <c r="B880" s="475" t="s">
        <v>3334</v>
      </c>
      <c r="C880" s="471" t="s">
        <v>3077</v>
      </c>
      <c r="D880" s="472" t="s">
        <v>3049</v>
      </c>
      <c r="E880" s="472" t="s">
        <v>17</v>
      </c>
      <c r="F880" s="473">
        <v>5</v>
      </c>
      <c r="G880" s="473">
        <f t="shared" si="391"/>
        <v>3457.069</v>
      </c>
      <c r="H880" s="473">
        <f t="shared" si="401"/>
        <v>4102.8500000000004</v>
      </c>
      <c r="I880" s="473">
        <f t="shared" si="402"/>
        <v>20514.25</v>
      </c>
      <c r="J880" s="474">
        <f>J881</f>
        <v>3457.07</v>
      </c>
      <c r="K880" s="378">
        <v>4067.14</v>
      </c>
      <c r="L880" s="47">
        <f t="shared" si="393"/>
        <v>-610.07099999999991</v>
      </c>
      <c r="M880" s="47">
        <f t="shared" si="389"/>
        <v>17285.345000000001</v>
      </c>
      <c r="N880" s="47"/>
      <c r="O880" s="47">
        <f t="shared" si="390"/>
        <v>20514.25</v>
      </c>
      <c r="P880" s="47" t="e">
        <f>IF(B880&lt;&gt;0,VLOOKUP(B880,#REF!,2,FALSE),"")</f>
        <v>#REF!</v>
      </c>
      <c r="Q880" s="34">
        <v>7</v>
      </c>
      <c r="R880" s="34">
        <f t="shared" si="399"/>
        <v>2</v>
      </c>
      <c r="AD880" s="577"/>
      <c r="AE880" s="502"/>
      <c r="AF880" s="502"/>
      <c r="AG880" s="502"/>
      <c r="AH880" s="502"/>
      <c r="AI880" s="872">
        <f t="shared" si="403"/>
        <v>4051.47</v>
      </c>
      <c r="AJ880" s="473">
        <f t="shared" si="405"/>
        <v>4808.28</v>
      </c>
      <c r="AK880" s="473">
        <f t="shared" si="404"/>
        <v>24041.4</v>
      </c>
      <c r="AL880" s="788">
        <f>AL881</f>
        <v>4051.47</v>
      </c>
    </row>
    <row r="881" spans="1:38" s="34" customFormat="1" ht="30">
      <c r="A881" s="472" t="s">
        <v>1449</v>
      </c>
      <c r="B881" s="475" t="s">
        <v>3334</v>
      </c>
      <c r="C881" s="471" t="s">
        <v>3078</v>
      </c>
      <c r="D881" s="472" t="s">
        <v>3049</v>
      </c>
      <c r="E881" s="472" t="s">
        <v>17</v>
      </c>
      <c r="F881" s="473">
        <v>7</v>
      </c>
      <c r="G881" s="473">
        <f t="shared" si="391"/>
        <v>3457.069</v>
      </c>
      <c r="H881" s="473">
        <f t="shared" si="401"/>
        <v>4102.8500000000004</v>
      </c>
      <c r="I881" s="473">
        <f t="shared" si="402"/>
        <v>28719.95</v>
      </c>
      <c r="J881" s="474">
        <f>'COMPOSIÇÃO DE CUSTOS'!G1641</f>
        <v>3457.07</v>
      </c>
      <c r="K881" s="378">
        <v>4067.14</v>
      </c>
      <c r="L881" s="47">
        <f t="shared" si="393"/>
        <v>-610.07099999999991</v>
      </c>
      <c r="M881" s="47">
        <f t="shared" si="389"/>
        <v>24199.483</v>
      </c>
      <c r="N881" s="47"/>
      <c r="O881" s="47">
        <f t="shared" si="390"/>
        <v>28719.950000000004</v>
      </c>
      <c r="P881" s="47" t="e">
        <f>IF(B881&lt;&gt;0,VLOOKUP(B881,#REF!,2,FALSE),"")</f>
        <v>#REF!</v>
      </c>
      <c r="Q881" s="34">
        <v>4</v>
      </c>
      <c r="R881" s="34">
        <f t="shared" si="399"/>
        <v>-3</v>
      </c>
      <c r="AD881" s="577"/>
      <c r="AE881" s="502"/>
      <c r="AF881" s="502"/>
      <c r="AG881" s="502"/>
      <c r="AH881" s="502"/>
      <c r="AI881" s="872">
        <f t="shared" si="403"/>
        <v>4051.47</v>
      </c>
      <c r="AJ881" s="473">
        <f t="shared" si="405"/>
        <v>4808.28</v>
      </c>
      <c r="AK881" s="473">
        <f t="shared" si="404"/>
        <v>33657.96</v>
      </c>
      <c r="AL881" s="788">
        <f>'PLANILHA ORÇA - CORREGEDORIA'!BG1076</f>
        <v>4051.47</v>
      </c>
    </row>
    <row r="882" spans="1:38" s="34" customFormat="1" ht="30">
      <c r="A882" s="472" t="s">
        <v>1450</v>
      </c>
      <c r="B882" s="475" t="s">
        <v>3330</v>
      </c>
      <c r="C882" s="471" t="s">
        <v>3345</v>
      </c>
      <c r="D882" s="472" t="s">
        <v>3049</v>
      </c>
      <c r="E882" s="472" t="s">
        <v>17</v>
      </c>
      <c r="F882" s="473">
        <v>4</v>
      </c>
      <c r="G882" s="473">
        <f t="shared" si="391"/>
        <v>3828.9184999999998</v>
      </c>
      <c r="H882" s="473">
        <f t="shared" si="401"/>
        <v>4544.16</v>
      </c>
      <c r="I882" s="473">
        <f t="shared" si="402"/>
        <v>18176.64</v>
      </c>
      <c r="J882" s="474">
        <f>'COMPOSIÇÃO DE CUSTOS'!G1651</f>
        <v>3828.92</v>
      </c>
      <c r="K882" s="378">
        <v>4504.6099999999997</v>
      </c>
      <c r="L882" s="47">
        <f t="shared" si="393"/>
        <v>-675.69149999999991</v>
      </c>
      <c r="M882" s="47">
        <f t="shared" si="389"/>
        <v>15315.673999999999</v>
      </c>
      <c r="N882" s="47"/>
      <c r="O882" s="47">
        <f t="shared" si="390"/>
        <v>18176.64</v>
      </c>
      <c r="P882" s="47" t="e">
        <f>IF(B882&lt;&gt;0,VLOOKUP(B882,#REF!,2,FALSE),"")</f>
        <v>#REF!</v>
      </c>
      <c r="Q882" s="34">
        <v>5</v>
      </c>
      <c r="R882" s="34">
        <f t="shared" si="399"/>
        <v>1</v>
      </c>
      <c r="AD882" s="577"/>
      <c r="AE882" s="502"/>
      <c r="AF882" s="502"/>
      <c r="AG882" s="502"/>
      <c r="AH882" s="502"/>
      <c r="AI882" s="872">
        <f t="shared" si="403"/>
        <v>2913.98</v>
      </c>
      <c r="AJ882" s="473">
        <f t="shared" si="405"/>
        <v>3458.31</v>
      </c>
      <c r="AK882" s="473">
        <f t="shared" si="404"/>
        <v>13833.24</v>
      </c>
      <c r="AL882" s="788">
        <f>'COMPOSIÇÃO AB'!G708</f>
        <v>2913.98</v>
      </c>
    </row>
    <row r="883" spans="1:38" s="34" customFormat="1" ht="30">
      <c r="A883" s="472" t="s">
        <v>1451</v>
      </c>
      <c r="B883" s="475" t="s">
        <v>3331</v>
      </c>
      <c r="C883" s="471" t="s">
        <v>3079</v>
      </c>
      <c r="D883" s="472" t="s">
        <v>3049</v>
      </c>
      <c r="E883" s="472" t="s">
        <v>17</v>
      </c>
      <c r="F883" s="473">
        <v>5</v>
      </c>
      <c r="G883" s="473">
        <f t="shared" si="391"/>
        <v>2961.672</v>
      </c>
      <c r="H883" s="473">
        <f t="shared" si="401"/>
        <v>3514.91</v>
      </c>
      <c r="I883" s="473">
        <f t="shared" si="402"/>
        <v>17574.55</v>
      </c>
      <c r="J883" s="474">
        <f>'COMPOSIÇÃO DE CUSTOS'!G1656</f>
        <v>2961.67</v>
      </c>
      <c r="K883" s="378">
        <v>3484.32</v>
      </c>
      <c r="L883" s="47">
        <f t="shared" si="393"/>
        <v>-522.64800000000014</v>
      </c>
      <c r="M883" s="47">
        <f t="shared" si="389"/>
        <v>14808.36</v>
      </c>
      <c r="N883" s="514">
        <f>SUM(G876:G883)</f>
        <v>328969.92400000012</v>
      </c>
      <c r="O883" s="47">
        <f t="shared" si="390"/>
        <v>17574.55</v>
      </c>
      <c r="P883" s="47" t="e">
        <f>IF(B883&lt;&gt;0,VLOOKUP(B883,#REF!,2,FALSE),"")</f>
        <v>#REF!</v>
      </c>
      <c r="Q883" s="34">
        <v>36</v>
      </c>
      <c r="R883" s="34">
        <f t="shared" si="399"/>
        <v>31</v>
      </c>
      <c r="AD883" s="577"/>
      <c r="AE883" s="502"/>
      <c r="AF883" s="502"/>
      <c r="AG883" s="502"/>
      <c r="AH883" s="502"/>
      <c r="AI883" s="872">
        <f t="shared" si="403"/>
        <v>2639.19</v>
      </c>
      <c r="AJ883" s="473">
        <f t="shared" si="405"/>
        <v>3132.19</v>
      </c>
      <c r="AK883" s="473">
        <f t="shared" si="404"/>
        <v>15660.95</v>
      </c>
      <c r="AL883" s="788">
        <f>'COMPOSIÇÃO AB'!G713</f>
        <v>2639.19</v>
      </c>
    </row>
    <row r="884" spans="1:38" s="34" customFormat="1" ht="30">
      <c r="A884" s="472" t="s">
        <v>3057</v>
      </c>
      <c r="B884" s="475" t="s">
        <v>3050</v>
      </c>
      <c r="C884" s="471" t="s">
        <v>3048</v>
      </c>
      <c r="D884" s="472" t="s">
        <v>3049</v>
      </c>
      <c r="E884" s="472" t="s">
        <v>17</v>
      </c>
      <c r="F884" s="473">
        <v>42</v>
      </c>
      <c r="G884" s="473">
        <f t="shared" si="391"/>
        <v>295.596</v>
      </c>
      <c r="H884" s="473">
        <f>ROUND(G884*(1+$J$13),2)</f>
        <v>374.85</v>
      </c>
      <c r="I884" s="473">
        <f t="shared" ref="I884" si="406">ROUND(H884*F884,2)</f>
        <v>15743.7</v>
      </c>
      <c r="J884" s="474">
        <f>'COMPOSIÇÃO DE CUSTOS'!G2546</f>
        <v>295.58999999999997</v>
      </c>
      <c r="K884" s="378">
        <v>347.76</v>
      </c>
      <c r="L884" s="47">
        <f t="shared" si="393"/>
        <v>-52.163999999999987</v>
      </c>
      <c r="M884" s="47">
        <f t="shared" si="389"/>
        <v>12415.031999999999</v>
      </c>
      <c r="N884" s="47"/>
      <c r="O884" s="47">
        <f t="shared" si="390"/>
        <v>15743.7</v>
      </c>
      <c r="P884" s="47"/>
      <c r="AD884" s="577"/>
      <c r="AE884" s="502"/>
      <c r="AF884" s="502"/>
      <c r="AG884" s="502"/>
      <c r="AH884" s="502"/>
      <c r="AI884" s="872">
        <f t="shared" ref="AI884" si="407">AL884</f>
        <v>329.29</v>
      </c>
      <c r="AJ884" s="473">
        <f t="shared" ref="AJ884:AJ898" si="408">ROUND(AI884*(1+$J$13),2)</f>
        <v>417.57</v>
      </c>
      <c r="AK884" s="473">
        <f t="shared" ref="AK884" si="409">ROUND(AJ884*F884,2)</f>
        <v>17537.939999999999</v>
      </c>
      <c r="AL884" s="788">
        <f>'COMPOSIÇÃO AB'!G838</f>
        <v>329.29</v>
      </c>
    </row>
    <row r="885" spans="1:38" s="62" customFormat="1" ht="30">
      <c r="A885" s="25" t="s">
        <v>3058</v>
      </c>
      <c r="B885" s="24" t="s">
        <v>3065</v>
      </c>
      <c r="C885" s="23" t="s">
        <v>3066</v>
      </c>
      <c r="D885" s="25" t="s">
        <v>3049</v>
      </c>
      <c r="E885" s="25" t="s">
        <v>17</v>
      </c>
      <c r="F885" s="26">
        <v>3</v>
      </c>
      <c r="G885" s="26">
        <f t="shared" si="391"/>
        <v>543.25199999999995</v>
      </c>
      <c r="H885" s="26">
        <f>ROUND(G885*(1+$J$13),2)</f>
        <v>688.9</v>
      </c>
      <c r="I885" s="26">
        <f t="shared" ref="I885" si="410">ROUND(H885*F885,2)</f>
        <v>2066.6999999999998</v>
      </c>
      <c r="J885" s="64">
        <f>'COMPOSIÇÃO DE CUSTOS'!G2554</f>
        <v>543.25</v>
      </c>
      <c r="K885" s="362">
        <v>639.12</v>
      </c>
      <c r="L885" s="65">
        <f t="shared" si="393"/>
        <v>-95.868000000000052</v>
      </c>
      <c r="M885" s="65">
        <f t="shared" si="389"/>
        <v>1629.7559999999999</v>
      </c>
      <c r="N885" s="65"/>
      <c r="O885" s="65">
        <f t="shared" si="390"/>
        <v>2066.6999999999998</v>
      </c>
      <c r="P885" s="65"/>
      <c r="AD885" s="221"/>
      <c r="AE885" s="481"/>
      <c r="AF885" s="481"/>
      <c r="AG885" s="481"/>
      <c r="AH885" s="481"/>
      <c r="AI885" s="873">
        <f t="shared" ref="AI885" si="411">ROUND(G885*$AM$11,2)</f>
        <v>605.19000000000005</v>
      </c>
      <c r="AJ885" s="26">
        <f t="shared" si="408"/>
        <v>767.44</v>
      </c>
      <c r="AK885" s="26">
        <f t="shared" ref="AK885" si="412">ROUND(AJ885*F885,2)</f>
        <v>2302.3200000000002</v>
      </c>
      <c r="AL885" s="224"/>
    </row>
    <row r="886" spans="1:38" s="62" customFormat="1" ht="30">
      <c r="A886" s="25" t="s">
        <v>3059</v>
      </c>
      <c r="B886" s="24">
        <v>779329</v>
      </c>
      <c r="C886" s="23" t="s">
        <v>2514</v>
      </c>
      <c r="D886" s="25" t="s">
        <v>1915</v>
      </c>
      <c r="E886" s="25" t="s">
        <v>17</v>
      </c>
      <c r="F886" s="26">
        <v>36</v>
      </c>
      <c r="G886" s="26">
        <f t="shared" si="391"/>
        <v>241.42549999999997</v>
      </c>
      <c r="H886" s="26">
        <f>ROUND(G886*(1+$J$13),2)</f>
        <v>306.14999999999998</v>
      </c>
      <c r="I886" s="26">
        <f t="shared" si="402"/>
        <v>11021.4</v>
      </c>
      <c r="J886" s="64">
        <f>'COMPOSIÇÃO DE CUSTOS'!G1661</f>
        <v>284.02999999999997</v>
      </c>
      <c r="K886" s="362">
        <v>284.02999999999997</v>
      </c>
      <c r="L886" s="65">
        <f t="shared" si="393"/>
        <v>-42.604500000000002</v>
      </c>
      <c r="M886" s="65">
        <f t="shared" si="389"/>
        <v>8691.3179999999993</v>
      </c>
      <c r="N886" s="65"/>
      <c r="O886" s="65">
        <f t="shared" si="390"/>
        <v>11021.4</v>
      </c>
      <c r="P886" s="65" t="e">
        <f>IF(B886&lt;&gt;0,VLOOKUP(B886,#REF!,2,FALSE),"")</f>
        <v>#REF!</v>
      </c>
      <c r="Q886" s="62">
        <v>150</v>
      </c>
      <c r="R886" s="62">
        <f t="shared" ref="R886:R911" si="413">Q886-F886</f>
        <v>114</v>
      </c>
      <c r="AD886" s="221"/>
      <c r="AE886" s="481"/>
      <c r="AF886" s="481"/>
      <c r="AG886" s="481"/>
      <c r="AH886" s="481"/>
      <c r="AI886" s="873">
        <f t="shared" ref="AI886:AI898" si="414">ROUND(G886*$AM$11,2)</f>
        <v>268.95</v>
      </c>
      <c r="AJ886" s="26">
        <f t="shared" si="408"/>
        <v>341.06</v>
      </c>
      <c r="AK886" s="26">
        <f t="shared" ref="AK886:AK900" si="415">ROUND(AJ886*F886,2)</f>
        <v>12278.16</v>
      </c>
      <c r="AL886" s="224"/>
    </row>
    <row r="887" spans="1:38" s="62" customFormat="1">
      <c r="A887" s="25" t="s">
        <v>3060</v>
      </c>
      <c r="B887" s="24">
        <v>11509</v>
      </c>
      <c r="C887" s="23" t="s">
        <v>2523</v>
      </c>
      <c r="D887" s="25" t="s">
        <v>44</v>
      </c>
      <c r="E887" s="25" t="s">
        <v>45</v>
      </c>
      <c r="F887" s="26">
        <f>17.5+23+31.5</f>
        <v>72</v>
      </c>
      <c r="G887" s="26">
        <f t="shared" si="391"/>
        <v>41.411999999999999</v>
      </c>
      <c r="H887" s="26">
        <f>ROUND(G887*(1+$J$13),2)</f>
        <v>52.51</v>
      </c>
      <c r="I887" s="26">
        <f t="shared" si="402"/>
        <v>3780.72</v>
      </c>
      <c r="J887" s="64">
        <f>'COMPOSIÇÃO DE CUSTOS'!G2257</f>
        <v>41.42</v>
      </c>
      <c r="K887" s="362">
        <v>48.72</v>
      </c>
      <c r="L887" s="65">
        <f t="shared" si="393"/>
        <v>-7.3079999999999998</v>
      </c>
      <c r="M887" s="65">
        <f t="shared" si="389"/>
        <v>2981.6639999999998</v>
      </c>
      <c r="N887" s="65"/>
      <c r="O887" s="65">
        <f t="shared" si="390"/>
        <v>3780.72</v>
      </c>
      <c r="P887" s="65" t="e">
        <f>IF(B887&lt;&gt;0,VLOOKUP(B887,#REF!,2,FALSE),"")</f>
        <v>#REF!</v>
      </c>
      <c r="Q887" s="62">
        <v>26</v>
      </c>
      <c r="R887" s="62">
        <f t="shared" si="413"/>
        <v>-46</v>
      </c>
      <c r="AD887" s="221"/>
      <c r="AE887" s="481"/>
      <c r="AF887" s="481"/>
      <c r="AG887" s="481"/>
      <c r="AH887" s="481"/>
      <c r="AI887" s="873">
        <f t="shared" si="414"/>
        <v>46.13</v>
      </c>
      <c r="AJ887" s="26">
        <f t="shared" si="408"/>
        <v>58.5</v>
      </c>
      <c r="AK887" s="26">
        <f t="shared" si="415"/>
        <v>4212</v>
      </c>
      <c r="AL887" s="224"/>
    </row>
    <row r="888" spans="1:38" s="62" customFormat="1" ht="60">
      <c r="A888" s="25" t="s">
        <v>3069</v>
      </c>
      <c r="B888" s="24" t="s">
        <v>3344</v>
      </c>
      <c r="C888" s="23" t="s">
        <v>326</v>
      </c>
      <c r="D888" s="25" t="s">
        <v>3049</v>
      </c>
      <c r="E888" s="25" t="s">
        <v>17</v>
      </c>
      <c r="F888" s="26">
        <v>26</v>
      </c>
      <c r="G888" s="26">
        <f t="shared" si="391"/>
        <v>303.94299999999998</v>
      </c>
      <c r="H888" s="26">
        <f>ROUND(G888*(1+$J$13),2)</f>
        <v>385.43</v>
      </c>
      <c r="I888" s="26">
        <f t="shared" si="402"/>
        <v>10021.18</v>
      </c>
      <c r="J888" s="64">
        <f>'COMPOSIÇÃO DE CUSTOS'!G1668</f>
        <v>352.53</v>
      </c>
      <c r="K888" s="362">
        <v>357.58</v>
      </c>
      <c r="L888" s="65">
        <f t="shared" si="393"/>
        <v>-53.637</v>
      </c>
      <c r="M888" s="65">
        <f t="shared" si="389"/>
        <v>7902.518</v>
      </c>
      <c r="N888" s="65"/>
      <c r="O888" s="65">
        <f t="shared" si="390"/>
        <v>10021.18</v>
      </c>
      <c r="P888" s="65" t="e">
        <f>IF(B888&lt;&gt;0,VLOOKUP(B888,#REF!,2,FALSE),"")</f>
        <v>#REF!</v>
      </c>
      <c r="R888" s="62">
        <f t="shared" si="413"/>
        <v>-26</v>
      </c>
      <c r="AD888" s="221"/>
      <c r="AE888" s="481"/>
      <c r="AF888" s="481"/>
      <c r="AG888" s="481"/>
      <c r="AH888" s="481"/>
      <c r="AI888" s="873">
        <f t="shared" si="414"/>
        <v>338.6</v>
      </c>
      <c r="AJ888" s="26">
        <f t="shared" si="408"/>
        <v>429.38</v>
      </c>
      <c r="AK888" s="26">
        <f t="shared" si="415"/>
        <v>11163.88</v>
      </c>
      <c r="AL888" s="224"/>
    </row>
    <row r="889" spans="1:38" s="62" customFormat="1">
      <c r="A889" s="77" t="s">
        <v>1452</v>
      </c>
      <c r="B889" s="139"/>
      <c r="C889" s="340" t="s">
        <v>327</v>
      </c>
      <c r="D889" s="341"/>
      <c r="E889" s="341"/>
      <c r="F889" s="341"/>
      <c r="G889" s="26"/>
      <c r="H889" s="341"/>
      <c r="I889" s="96"/>
      <c r="J889" s="65" t="str">
        <f>IF(B889&lt;&gt;0,VLOOKUP(B889,#REF!,4,FALSE),"")</f>
        <v/>
      </c>
      <c r="K889" s="362" t="s">
        <v>1892</v>
      </c>
      <c r="L889" s="65"/>
      <c r="M889" s="65">
        <f t="shared" si="389"/>
        <v>0</v>
      </c>
      <c r="N889" s="65"/>
      <c r="O889" s="65">
        <f t="shared" si="390"/>
        <v>0</v>
      </c>
      <c r="P889" s="65" t="str">
        <f>IF(B889&lt;&gt;0,VLOOKUP(B889,#REF!,2,FALSE),"")</f>
        <v/>
      </c>
      <c r="Q889" s="62">
        <v>252</v>
      </c>
      <c r="R889" s="62">
        <f t="shared" si="413"/>
        <v>252</v>
      </c>
      <c r="AD889" s="221"/>
      <c r="AE889" s="481"/>
      <c r="AF889" s="481"/>
      <c r="AG889" s="481"/>
      <c r="AH889" s="481"/>
      <c r="AI889" s="873"/>
      <c r="AJ889" s="26"/>
      <c r="AK889" s="26"/>
      <c r="AL889" s="224"/>
    </row>
    <row r="890" spans="1:38" s="62" customFormat="1" ht="90">
      <c r="A890" s="25" t="s">
        <v>1453</v>
      </c>
      <c r="B890" s="24">
        <v>91790</v>
      </c>
      <c r="C890" s="23" t="s">
        <v>2962</v>
      </c>
      <c r="D890" s="25" t="s">
        <v>12</v>
      </c>
      <c r="E890" s="25" t="s">
        <v>52</v>
      </c>
      <c r="F890" s="26">
        <v>252</v>
      </c>
      <c r="G890" s="26">
        <f t="shared" si="391"/>
        <v>48.908999999999999</v>
      </c>
      <c r="H890" s="26">
        <f>ROUND(G890*(1+$J$13),2)</f>
        <v>62.02</v>
      </c>
      <c r="I890" s="26">
        <f t="shared" ref="I890:I893" si="416">ROUND(H890*F890,2)</f>
        <v>15629.04</v>
      </c>
      <c r="J890" s="65" t="e">
        <f>IF(B890&lt;&gt;0,VLOOKUP(B890,#REF!,4,FALSE),"")</f>
        <v>#REF!</v>
      </c>
      <c r="K890" s="362" t="s">
        <v>3276</v>
      </c>
      <c r="L890" s="65">
        <f t="shared" si="393"/>
        <v>-8.6310000000000002</v>
      </c>
      <c r="M890" s="65">
        <f t="shared" si="389"/>
        <v>12325.067999999999</v>
      </c>
      <c r="N890" s="65"/>
      <c r="O890" s="65">
        <f t="shared" si="390"/>
        <v>15629.04</v>
      </c>
      <c r="P890" s="65" t="e">
        <f>IF(B890&lt;&gt;0,VLOOKUP(B890,#REF!,2,FALSE),"")</f>
        <v>#REF!</v>
      </c>
      <c r="Q890" s="62">
        <v>152</v>
      </c>
      <c r="R890" s="62">
        <f t="shared" si="413"/>
        <v>-100</v>
      </c>
      <c r="AD890" s="221"/>
      <c r="AE890" s="481"/>
      <c r="AF890" s="481"/>
      <c r="AG890" s="481"/>
      <c r="AH890" s="481"/>
      <c r="AI890" s="873">
        <f t="shared" si="414"/>
        <v>54.49</v>
      </c>
      <c r="AJ890" s="26">
        <f t="shared" si="408"/>
        <v>69.099999999999994</v>
      </c>
      <c r="AK890" s="26">
        <f t="shared" si="415"/>
        <v>17413.2</v>
      </c>
      <c r="AL890" s="224"/>
    </row>
    <row r="891" spans="1:38" s="62" customFormat="1" ht="88.5" customHeight="1">
      <c r="A891" s="25" t="s">
        <v>1454</v>
      </c>
      <c r="B891" s="24">
        <v>91787</v>
      </c>
      <c r="C891" s="23" t="s">
        <v>1739</v>
      </c>
      <c r="D891" s="25" t="s">
        <v>12</v>
      </c>
      <c r="E891" s="25" t="s">
        <v>52</v>
      </c>
      <c r="F891" s="26">
        <v>152</v>
      </c>
      <c r="G891" s="26">
        <f t="shared" si="391"/>
        <v>25.771999999999998</v>
      </c>
      <c r="H891" s="26">
        <f>ROUND(G891*(1+$J$13),2)</f>
        <v>32.68</v>
      </c>
      <c r="I891" s="26">
        <f t="shared" si="416"/>
        <v>4967.3599999999997</v>
      </c>
      <c r="J891" s="65" t="e">
        <f>IF(B891&lt;&gt;0,VLOOKUP(B891,#REF!,4,FALSE),"")</f>
        <v>#REF!</v>
      </c>
      <c r="K891" s="362" t="s">
        <v>3275</v>
      </c>
      <c r="L891" s="65">
        <f t="shared" si="393"/>
        <v>-4.5480000000000018</v>
      </c>
      <c r="M891" s="65">
        <f t="shared" si="389"/>
        <v>3917.3439999999996</v>
      </c>
      <c r="N891" s="65"/>
      <c r="O891" s="65">
        <f t="shared" si="390"/>
        <v>4967.3599999999997</v>
      </c>
      <c r="P891" s="65" t="e">
        <f>IF(B891&lt;&gt;0,VLOOKUP(B891,#REF!,2,FALSE),"")</f>
        <v>#REF!</v>
      </c>
      <c r="Q891" s="62">
        <v>202</v>
      </c>
      <c r="R891" s="62">
        <f t="shared" si="413"/>
        <v>50</v>
      </c>
      <c r="AD891" s="221"/>
      <c r="AE891" s="481"/>
      <c r="AF891" s="481"/>
      <c r="AG891" s="481"/>
      <c r="AH891" s="481"/>
      <c r="AI891" s="873">
        <f t="shared" si="414"/>
        <v>28.71</v>
      </c>
      <c r="AJ891" s="26">
        <f t="shared" si="408"/>
        <v>36.409999999999997</v>
      </c>
      <c r="AK891" s="26">
        <f t="shared" si="415"/>
        <v>5534.32</v>
      </c>
      <c r="AL891" s="224"/>
    </row>
    <row r="892" spans="1:38" s="62" customFormat="1" ht="90">
      <c r="A892" s="25" t="s">
        <v>1455</v>
      </c>
      <c r="B892" s="24">
        <v>91786</v>
      </c>
      <c r="C892" s="23" t="s">
        <v>1740</v>
      </c>
      <c r="D892" s="25" t="s">
        <v>12</v>
      </c>
      <c r="E892" s="25" t="s">
        <v>52</v>
      </c>
      <c r="F892" s="26">
        <v>202</v>
      </c>
      <c r="G892" s="26">
        <f t="shared" si="391"/>
        <v>21.173500000000001</v>
      </c>
      <c r="H892" s="26">
        <f>ROUND(G892*(1+$J$13),2)</f>
        <v>26.85</v>
      </c>
      <c r="I892" s="26">
        <f t="shared" si="416"/>
        <v>5423.7</v>
      </c>
      <c r="J892" s="65" t="e">
        <f>IF(B892&lt;&gt;0,VLOOKUP(B892,#REF!,4,FALSE),"")</f>
        <v>#REF!</v>
      </c>
      <c r="K892" s="362" t="s">
        <v>1889</v>
      </c>
      <c r="L892" s="65">
        <f t="shared" si="393"/>
        <v>-3.7364999999999995</v>
      </c>
      <c r="M892" s="65">
        <f t="shared" si="389"/>
        <v>4277.0470000000005</v>
      </c>
      <c r="N892" s="65"/>
      <c r="O892" s="65">
        <f t="shared" si="390"/>
        <v>5423.7000000000007</v>
      </c>
      <c r="P892" s="65" t="e">
        <f>IF(B892&lt;&gt;0,VLOOKUP(B892,#REF!,2,FALSE),"")</f>
        <v>#REF!</v>
      </c>
      <c r="Q892" s="62">
        <v>4</v>
      </c>
      <c r="R892" s="62">
        <f t="shared" si="413"/>
        <v>-198</v>
      </c>
      <c r="AD892" s="221"/>
      <c r="AE892" s="481"/>
      <c r="AF892" s="481"/>
      <c r="AG892" s="481"/>
      <c r="AH892" s="481"/>
      <c r="AI892" s="873">
        <f t="shared" si="414"/>
        <v>23.59</v>
      </c>
      <c r="AJ892" s="26">
        <f t="shared" si="408"/>
        <v>29.91</v>
      </c>
      <c r="AK892" s="26">
        <f t="shared" si="415"/>
        <v>6041.82</v>
      </c>
      <c r="AL892" s="224"/>
    </row>
    <row r="893" spans="1:38" s="62" customFormat="1" ht="90">
      <c r="A893" s="25" t="s">
        <v>2963</v>
      </c>
      <c r="B893" s="24">
        <v>91789</v>
      </c>
      <c r="C893" s="23" t="s">
        <v>2964</v>
      </c>
      <c r="D893" s="25" t="s">
        <v>12</v>
      </c>
      <c r="E893" s="25" t="s">
        <v>52</v>
      </c>
      <c r="F893" s="26">
        <v>4</v>
      </c>
      <c r="G893" s="26">
        <f t="shared" si="391"/>
        <v>32.733499999999999</v>
      </c>
      <c r="H893" s="26">
        <f>ROUND(G893*(1+$J$13),2)</f>
        <v>41.51</v>
      </c>
      <c r="I893" s="26">
        <f t="shared" si="416"/>
        <v>166.04</v>
      </c>
      <c r="J893" s="65" t="e">
        <f>IF(B893&lt;&gt;0,VLOOKUP(B893,#REF!,4,FALSE),"")</f>
        <v>#REF!</v>
      </c>
      <c r="K893" s="362" t="s">
        <v>3031</v>
      </c>
      <c r="L893" s="65">
        <f t="shared" si="393"/>
        <v>-5.7764999999999986</v>
      </c>
      <c r="M893" s="65">
        <f t="shared" si="389"/>
        <v>130.934</v>
      </c>
      <c r="N893" s="65"/>
      <c r="O893" s="65">
        <f t="shared" si="390"/>
        <v>166.04</v>
      </c>
      <c r="P893" s="65" t="e">
        <f>IF(B893&lt;&gt;0,VLOOKUP(B893,#REF!,2,FALSE),"")</f>
        <v>#REF!</v>
      </c>
      <c r="R893" s="62">
        <f t="shared" si="413"/>
        <v>-4</v>
      </c>
      <c r="AD893" s="221"/>
      <c r="AE893" s="481"/>
      <c r="AF893" s="481"/>
      <c r="AG893" s="481"/>
      <c r="AH893" s="481"/>
      <c r="AI893" s="873">
        <f t="shared" si="414"/>
        <v>36.47</v>
      </c>
      <c r="AJ893" s="26">
        <f t="shared" si="408"/>
        <v>46.25</v>
      </c>
      <c r="AK893" s="26">
        <f t="shared" si="415"/>
        <v>185</v>
      </c>
      <c r="AL893" s="224"/>
    </row>
    <row r="894" spans="1:38" s="62" customFormat="1">
      <c r="A894" s="77" t="s">
        <v>1456</v>
      </c>
      <c r="B894" s="139"/>
      <c r="C894" s="340" t="s">
        <v>328</v>
      </c>
      <c r="D894" s="341"/>
      <c r="E894" s="341"/>
      <c r="F894" s="341"/>
      <c r="G894" s="26"/>
      <c r="H894" s="341"/>
      <c r="I894" s="96"/>
      <c r="J894" s="65" t="str">
        <f>IF(B894&lt;&gt;0,VLOOKUP(B894,#REF!,4,FALSE),"")</f>
        <v/>
      </c>
      <c r="K894" s="362" t="s">
        <v>1892</v>
      </c>
      <c r="L894" s="65"/>
      <c r="M894" s="65">
        <f t="shared" si="389"/>
        <v>0</v>
      </c>
      <c r="N894" s="65"/>
      <c r="O894" s="65">
        <f t="shared" si="390"/>
        <v>0</v>
      </c>
      <c r="P894" s="65" t="str">
        <f>IF(B894&lt;&gt;0,VLOOKUP(B894,#REF!,2,FALSE),"")</f>
        <v/>
      </c>
      <c r="Q894" s="62">
        <v>50</v>
      </c>
      <c r="R894" s="62">
        <f t="shared" si="413"/>
        <v>50</v>
      </c>
      <c r="AD894" s="221"/>
      <c r="AE894" s="481"/>
      <c r="AF894" s="481"/>
      <c r="AG894" s="481"/>
      <c r="AH894" s="481"/>
      <c r="AI894" s="873">
        <f t="shared" si="414"/>
        <v>0</v>
      </c>
      <c r="AJ894" s="26">
        <f t="shared" si="408"/>
        <v>0</v>
      </c>
      <c r="AK894" s="26">
        <f t="shared" si="415"/>
        <v>0</v>
      </c>
      <c r="AL894" s="224"/>
    </row>
    <row r="895" spans="1:38" s="62" customFormat="1" ht="45">
      <c r="A895" s="25" t="s">
        <v>1457</v>
      </c>
      <c r="B895" s="24" t="s">
        <v>2518</v>
      </c>
      <c r="C895" s="23" t="s">
        <v>329</v>
      </c>
      <c r="D895" s="25" t="s">
        <v>70</v>
      </c>
      <c r="E895" s="25" t="s">
        <v>52</v>
      </c>
      <c r="F895" s="26">
        <v>50</v>
      </c>
      <c r="G895" s="26">
        <f t="shared" si="391"/>
        <v>73.907499999999999</v>
      </c>
      <c r="H895" s="26">
        <f t="shared" ref="H895:H902" si="417">ROUND(G895*(1+$J$13),2)</f>
        <v>93.72</v>
      </c>
      <c r="I895" s="26">
        <f t="shared" ref="I895:I902" si="418">ROUND(H895*F895,2)</f>
        <v>4686</v>
      </c>
      <c r="J895" s="64">
        <f>'COMPOSIÇÃO DE CUSTOS'!G1680</f>
        <v>73.91</v>
      </c>
      <c r="K895" s="362">
        <v>86.95</v>
      </c>
      <c r="L895" s="65">
        <f t="shared" si="393"/>
        <v>-13.042500000000004</v>
      </c>
      <c r="M895" s="65">
        <f t="shared" si="389"/>
        <v>3695.375</v>
      </c>
      <c r="N895" s="65"/>
      <c r="O895" s="65">
        <f t="shared" si="390"/>
        <v>4686</v>
      </c>
      <c r="P895" s="65" t="e">
        <f>IF(B895&lt;&gt;0,VLOOKUP(B895,#REF!,2,FALSE),"")</f>
        <v>#REF!</v>
      </c>
      <c r="Q895" s="62">
        <v>142</v>
      </c>
      <c r="R895" s="62">
        <f t="shared" si="413"/>
        <v>92</v>
      </c>
      <c r="AD895" s="221"/>
      <c r="AE895" s="481"/>
      <c r="AF895" s="481"/>
      <c r="AG895" s="481"/>
      <c r="AH895" s="481"/>
      <c r="AI895" s="873">
        <f t="shared" si="414"/>
        <v>82.33</v>
      </c>
      <c r="AJ895" s="26">
        <f t="shared" si="408"/>
        <v>104.4</v>
      </c>
      <c r="AK895" s="26">
        <f t="shared" si="415"/>
        <v>5220</v>
      </c>
      <c r="AL895" s="224"/>
    </row>
    <row r="896" spans="1:38" s="62" customFormat="1" ht="52.5" customHeight="1">
      <c r="A896" s="25" t="s">
        <v>1458</v>
      </c>
      <c r="B896" s="24">
        <v>97329</v>
      </c>
      <c r="C896" s="23" t="s">
        <v>330</v>
      </c>
      <c r="D896" s="25" t="s">
        <v>12</v>
      </c>
      <c r="E896" s="25" t="s">
        <v>52</v>
      </c>
      <c r="F896" s="26">
        <v>142</v>
      </c>
      <c r="G896" s="26">
        <f t="shared" si="391"/>
        <v>53.260999999999996</v>
      </c>
      <c r="H896" s="26">
        <f t="shared" si="417"/>
        <v>67.540000000000006</v>
      </c>
      <c r="I896" s="26">
        <f t="shared" si="418"/>
        <v>9590.68</v>
      </c>
      <c r="J896" s="64" t="e">
        <f>IF(B896&lt;&gt;0,VLOOKUP(B896,#REF!,4,FALSE),"")</f>
        <v>#REF!</v>
      </c>
      <c r="K896" s="362" t="s">
        <v>3280</v>
      </c>
      <c r="L896" s="65">
        <f t="shared" si="393"/>
        <v>-9.3990000000000009</v>
      </c>
      <c r="M896" s="65">
        <f t="shared" si="389"/>
        <v>7563.061999999999</v>
      </c>
      <c r="N896" s="65"/>
      <c r="O896" s="65">
        <f t="shared" si="390"/>
        <v>9590.68</v>
      </c>
      <c r="P896" s="65" t="e">
        <f>IF(B896&lt;&gt;0,VLOOKUP(B896,#REF!,2,FALSE),"")</f>
        <v>#REF!</v>
      </c>
      <c r="Q896" s="62">
        <v>50</v>
      </c>
      <c r="R896" s="62">
        <f t="shared" si="413"/>
        <v>-92</v>
      </c>
      <c r="AD896" s="221"/>
      <c r="AE896" s="481"/>
      <c r="AF896" s="481"/>
      <c r="AG896" s="481"/>
      <c r="AH896" s="481"/>
      <c r="AI896" s="873">
        <f t="shared" si="414"/>
        <v>59.33</v>
      </c>
      <c r="AJ896" s="26">
        <f t="shared" si="408"/>
        <v>75.239999999999995</v>
      </c>
      <c r="AK896" s="26">
        <f t="shared" si="415"/>
        <v>10684.08</v>
      </c>
      <c r="AL896" s="224"/>
    </row>
    <row r="897" spans="1:38" s="62" customFormat="1" ht="45">
      <c r="A897" s="25" t="s">
        <v>1459</v>
      </c>
      <c r="B897" s="24">
        <v>97327</v>
      </c>
      <c r="C897" s="23" t="s">
        <v>331</v>
      </c>
      <c r="D897" s="25" t="s">
        <v>12</v>
      </c>
      <c r="E897" s="25" t="s">
        <v>52</v>
      </c>
      <c r="F897" s="26">
        <v>50</v>
      </c>
      <c r="G897" s="26">
        <f t="shared" si="391"/>
        <v>24.055</v>
      </c>
      <c r="H897" s="26">
        <f t="shared" si="417"/>
        <v>30.5</v>
      </c>
      <c r="I897" s="26">
        <f t="shared" si="418"/>
        <v>1525</v>
      </c>
      <c r="J897" s="64" t="e">
        <f>IF(B897&lt;&gt;0,VLOOKUP(B897,#REF!,4,FALSE),"")</f>
        <v>#REF!</v>
      </c>
      <c r="K897" s="362" t="s">
        <v>3032</v>
      </c>
      <c r="L897" s="65">
        <f t="shared" si="393"/>
        <v>-4.245000000000001</v>
      </c>
      <c r="M897" s="65">
        <f t="shared" si="389"/>
        <v>1202.75</v>
      </c>
      <c r="N897" s="65"/>
      <c r="O897" s="65">
        <f t="shared" si="390"/>
        <v>1525</v>
      </c>
      <c r="P897" s="65" t="e">
        <f>IF(B897&lt;&gt;0,VLOOKUP(B897,#REF!,2,FALSE),"")</f>
        <v>#REF!</v>
      </c>
      <c r="Q897" s="62">
        <v>14</v>
      </c>
      <c r="R897" s="62">
        <f t="shared" si="413"/>
        <v>-36</v>
      </c>
      <c r="AD897" s="221"/>
      <c r="AE897" s="481"/>
      <c r="AF897" s="481"/>
      <c r="AG897" s="481"/>
      <c r="AH897" s="481"/>
      <c r="AI897" s="873">
        <f t="shared" si="414"/>
        <v>26.8</v>
      </c>
      <c r="AJ897" s="26">
        <f t="shared" si="408"/>
        <v>33.99</v>
      </c>
      <c r="AK897" s="26">
        <f t="shared" si="415"/>
        <v>1699.5</v>
      </c>
      <c r="AL897" s="224"/>
    </row>
    <row r="898" spans="1:38" s="62" customFormat="1" ht="45">
      <c r="A898" s="25" t="s">
        <v>1460</v>
      </c>
      <c r="B898" s="24" t="s">
        <v>2427</v>
      </c>
      <c r="C898" s="23" t="s">
        <v>332</v>
      </c>
      <c r="D898" s="25" t="s">
        <v>70</v>
      </c>
      <c r="E898" s="25" t="s">
        <v>52</v>
      </c>
      <c r="F898" s="26">
        <v>114</v>
      </c>
      <c r="G898" s="26">
        <f t="shared" si="391"/>
        <v>76.015500000000003</v>
      </c>
      <c r="H898" s="26">
        <f t="shared" si="417"/>
        <v>96.4</v>
      </c>
      <c r="I898" s="26">
        <f t="shared" si="418"/>
        <v>10989.6</v>
      </c>
      <c r="J898" s="64">
        <f>'COMPOSIÇÃO DE CUSTOS'!G1692</f>
        <v>76.02</v>
      </c>
      <c r="K898" s="362">
        <v>89.43</v>
      </c>
      <c r="L898" s="65">
        <f t="shared" si="393"/>
        <v>-13.414500000000004</v>
      </c>
      <c r="M898" s="65">
        <f t="shared" si="389"/>
        <v>8665.7669999999998</v>
      </c>
      <c r="N898" s="65"/>
      <c r="O898" s="65">
        <f t="shared" si="390"/>
        <v>10989.6</v>
      </c>
      <c r="P898" s="65" t="e">
        <f>IF(B898&lt;&gt;0,VLOOKUP(B898,#REF!,2,FALSE),"")</f>
        <v>#REF!</v>
      </c>
      <c r="Q898" s="62">
        <v>270</v>
      </c>
      <c r="R898" s="62">
        <f t="shared" si="413"/>
        <v>156</v>
      </c>
      <c r="AD898" s="221"/>
      <c r="AE898" s="481"/>
      <c r="AF898" s="481"/>
      <c r="AG898" s="481"/>
      <c r="AH898" s="481"/>
      <c r="AI898" s="873">
        <f t="shared" si="414"/>
        <v>84.68</v>
      </c>
      <c r="AJ898" s="26">
        <f t="shared" si="408"/>
        <v>107.38</v>
      </c>
      <c r="AK898" s="26">
        <f t="shared" si="415"/>
        <v>12241.32</v>
      </c>
      <c r="AL898" s="224"/>
    </row>
    <row r="899" spans="1:38" s="34" customFormat="1" ht="48.75" customHeight="1">
      <c r="A899" s="472" t="s">
        <v>1461</v>
      </c>
      <c r="B899" s="475">
        <v>97330</v>
      </c>
      <c r="C899" s="471" t="s">
        <v>333</v>
      </c>
      <c r="D899" s="472" t="s">
        <v>12</v>
      </c>
      <c r="E899" s="472" t="s">
        <v>52</v>
      </c>
      <c r="F899" s="473">
        <v>270</v>
      </c>
      <c r="G899" s="473">
        <f t="shared" si="391"/>
        <v>65.084499999999991</v>
      </c>
      <c r="H899" s="473">
        <f t="shared" si="417"/>
        <v>82.53</v>
      </c>
      <c r="I899" s="473">
        <f t="shared" si="418"/>
        <v>22283.1</v>
      </c>
      <c r="J899" s="47" t="e">
        <f>IF(B899&lt;&gt;0,VLOOKUP(B899,#REF!,4,FALSE),"")</f>
        <v>#REF!</v>
      </c>
      <c r="K899" s="378" t="s">
        <v>3281</v>
      </c>
      <c r="L899" s="47">
        <f t="shared" si="393"/>
        <v>-11.485500000000002</v>
      </c>
      <c r="M899" s="47">
        <f t="shared" si="389"/>
        <v>17572.814999999999</v>
      </c>
      <c r="N899" s="47"/>
      <c r="O899" s="47">
        <f t="shared" si="390"/>
        <v>22283.1</v>
      </c>
      <c r="P899" s="47" t="e">
        <f>IF(B899&lt;&gt;0,VLOOKUP(B899,#REF!,2,FALSE),"")</f>
        <v>#REF!</v>
      </c>
      <c r="Q899" s="34">
        <v>283</v>
      </c>
      <c r="R899" s="34">
        <f t="shared" si="413"/>
        <v>13</v>
      </c>
      <c r="AD899" s="577"/>
      <c r="AE899" s="502"/>
      <c r="AF899" s="502"/>
      <c r="AG899" s="502"/>
      <c r="AH899" s="502"/>
      <c r="AI899" s="872">
        <f>AL899</f>
        <v>72.5</v>
      </c>
      <c r="AJ899" s="473">
        <f>ROUND(AI899*(1+$J$13),2)</f>
        <v>91.94</v>
      </c>
      <c r="AK899" s="562">
        <f t="shared" si="415"/>
        <v>24823.8</v>
      </c>
      <c r="AL899" s="788">
        <f>'PLANILHA ORÇA - CORREGEDORIA'!BG1094</f>
        <v>72.5</v>
      </c>
    </row>
    <row r="900" spans="1:38" s="34" customFormat="1" ht="54.75" customHeight="1">
      <c r="A900" s="472" t="s">
        <v>1462</v>
      </c>
      <c r="B900" s="475">
        <v>97328</v>
      </c>
      <c r="C900" s="471" t="s">
        <v>334</v>
      </c>
      <c r="D900" s="472" t="s">
        <v>12</v>
      </c>
      <c r="E900" s="472" t="s">
        <v>52</v>
      </c>
      <c r="F900" s="473">
        <v>283</v>
      </c>
      <c r="G900" s="473">
        <f t="shared" si="391"/>
        <v>42.601999999999997</v>
      </c>
      <c r="H900" s="473">
        <f t="shared" si="417"/>
        <v>54.02</v>
      </c>
      <c r="I900" s="473">
        <f t="shared" si="418"/>
        <v>15287.66</v>
      </c>
      <c r="J900" s="474" t="e">
        <f>IF(B900&lt;&gt;0,VLOOKUP(B900,#REF!,4,FALSE),"")</f>
        <v>#REF!</v>
      </c>
      <c r="K900" s="378" t="s">
        <v>3040</v>
      </c>
      <c r="L900" s="47">
        <f t="shared" si="393"/>
        <v>-7.5180000000000007</v>
      </c>
      <c r="M900" s="47">
        <f t="shared" si="389"/>
        <v>12056.366</v>
      </c>
      <c r="N900" s="47"/>
      <c r="O900" s="47">
        <f t="shared" si="390"/>
        <v>15287.660000000002</v>
      </c>
      <c r="P900" s="47" t="e">
        <f>IF(B900&lt;&gt;0,VLOOKUP(B900,#REF!,2,FALSE),"")</f>
        <v>#REF!</v>
      </c>
      <c r="Q900" s="34">
        <v>8</v>
      </c>
      <c r="R900" s="34">
        <f t="shared" si="413"/>
        <v>-275</v>
      </c>
      <c r="AD900" s="577"/>
      <c r="AE900" s="502"/>
      <c r="AF900" s="502"/>
      <c r="AG900" s="502"/>
      <c r="AH900" s="502"/>
      <c r="AI900" s="872">
        <f>AL900</f>
        <v>47.46</v>
      </c>
      <c r="AJ900" s="473">
        <f>ROUND(AI900*(1+$J$13),2)</f>
        <v>60.18</v>
      </c>
      <c r="AK900" s="562">
        <f t="shared" si="415"/>
        <v>17030.939999999999</v>
      </c>
      <c r="AL900" s="788">
        <f>'PLANILHA ORÇA - CORREGEDORIA'!BG1095</f>
        <v>47.46</v>
      </c>
    </row>
    <row r="901" spans="1:38" s="62" customFormat="1" ht="45">
      <c r="A901" s="25" t="s">
        <v>1463</v>
      </c>
      <c r="B901" s="24" t="s">
        <v>1941</v>
      </c>
      <c r="C901" s="23" t="s">
        <v>335</v>
      </c>
      <c r="D901" s="25" t="s">
        <v>70</v>
      </c>
      <c r="E901" s="25" t="s">
        <v>52</v>
      </c>
      <c r="F901" s="26">
        <v>118</v>
      </c>
      <c r="G901" s="26">
        <f t="shared" si="391"/>
        <v>71.536000000000001</v>
      </c>
      <c r="H901" s="26">
        <f t="shared" si="417"/>
        <v>90.71</v>
      </c>
      <c r="I901" s="26">
        <f t="shared" si="418"/>
        <v>10703.78</v>
      </c>
      <c r="J901" s="64">
        <f>'COMPOSIÇÃO DE CUSTOS'!G1915</f>
        <v>71.540000000000006</v>
      </c>
      <c r="K901" s="362">
        <v>84.16</v>
      </c>
      <c r="L901" s="65">
        <f t="shared" si="393"/>
        <v>-12.623999999999995</v>
      </c>
      <c r="M901" s="65">
        <f t="shared" si="389"/>
        <v>8441.2479999999996</v>
      </c>
      <c r="N901" s="65"/>
      <c r="O901" s="65">
        <f t="shared" si="390"/>
        <v>10703.779999999999</v>
      </c>
      <c r="P901" s="65" t="e">
        <f>IF(B901&lt;&gt;0,VLOOKUP(B901,#REF!,2,FALSE),"")</f>
        <v>#REF!</v>
      </c>
      <c r="Q901" s="62">
        <v>9</v>
      </c>
      <c r="R901" s="62">
        <f t="shared" si="413"/>
        <v>-109</v>
      </c>
      <c r="AD901" s="221"/>
      <c r="AE901" s="481"/>
      <c r="AF901" s="481"/>
      <c r="AG901" s="481"/>
      <c r="AH901" s="481"/>
      <c r="AI901" s="873">
        <f t="shared" ref="AI901:AI902" si="419">ROUND(G901*$AM$11,2)</f>
        <v>79.69</v>
      </c>
      <c r="AJ901" s="26">
        <f t="shared" ref="AJ901:AJ902" si="420">ROUND(AI901*(1+$J$13),2)</f>
        <v>101.05</v>
      </c>
      <c r="AK901" s="26">
        <f t="shared" ref="AK901:AK902" si="421">ROUND(AJ901*F901,2)</f>
        <v>11923.9</v>
      </c>
      <c r="AL901" s="224"/>
    </row>
    <row r="902" spans="1:38" s="62" customFormat="1" ht="45">
      <c r="A902" s="25" t="s">
        <v>1464</v>
      </c>
      <c r="B902" s="24" t="s">
        <v>2426</v>
      </c>
      <c r="C902" s="23" t="s">
        <v>336</v>
      </c>
      <c r="D902" s="25" t="s">
        <v>70</v>
      </c>
      <c r="E902" s="25" t="s">
        <v>52</v>
      </c>
      <c r="F902" s="26">
        <v>89</v>
      </c>
      <c r="G902" s="26">
        <f t="shared" si="391"/>
        <v>65.526499999999999</v>
      </c>
      <c r="H902" s="26">
        <f t="shared" si="417"/>
        <v>83.09</v>
      </c>
      <c r="I902" s="26">
        <f t="shared" si="418"/>
        <v>7395.01</v>
      </c>
      <c r="J902" s="64">
        <f>'COMPOSIÇÃO DE CUSTOS'!G1704</f>
        <v>65.53</v>
      </c>
      <c r="K902" s="362">
        <v>77.09</v>
      </c>
      <c r="L902" s="65">
        <f t="shared" si="393"/>
        <v>-11.563500000000005</v>
      </c>
      <c r="M902" s="65">
        <f t="shared" si="389"/>
        <v>5831.8585000000003</v>
      </c>
      <c r="N902" s="65"/>
      <c r="O902" s="65">
        <f t="shared" si="390"/>
        <v>7395.01</v>
      </c>
      <c r="P902" s="65" t="e">
        <f>IF(B902&lt;&gt;0,VLOOKUP(B902,#REF!,2,FALSE),"")</f>
        <v>#REF!</v>
      </c>
      <c r="R902" s="62">
        <f t="shared" si="413"/>
        <v>-89</v>
      </c>
      <c r="AD902" s="221"/>
      <c r="AE902" s="481"/>
      <c r="AF902" s="481"/>
      <c r="AG902" s="481"/>
      <c r="AH902" s="481"/>
      <c r="AI902" s="873">
        <f t="shared" si="419"/>
        <v>73</v>
      </c>
      <c r="AJ902" s="26">
        <f t="shared" si="420"/>
        <v>92.57</v>
      </c>
      <c r="AK902" s="26">
        <f t="shared" si="421"/>
        <v>8238.73</v>
      </c>
      <c r="AL902" s="224"/>
    </row>
    <row r="903" spans="1:38" s="62" customFormat="1">
      <c r="A903" s="77" t="s">
        <v>1465</v>
      </c>
      <c r="B903" s="139"/>
      <c r="C903" s="340" t="s">
        <v>2367</v>
      </c>
      <c r="D903" s="341"/>
      <c r="E903" s="341"/>
      <c r="F903" s="341"/>
      <c r="G903" s="26">
        <f t="shared" si="391"/>
        <v>0</v>
      </c>
      <c r="H903" s="341"/>
      <c r="I903" s="96"/>
      <c r="J903" s="226"/>
      <c r="K903" s="366"/>
      <c r="L903" s="65">
        <f t="shared" si="393"/>
        <v>0</v>
      </c>
      <c r="M903" s="65">
        <f t="shared" si="389"/>
        <v>0</v>
      </c>
      <c r="N903" s="65"/>
      <c r="O903" s="65">
        <f t="shared" si="390"/>
        <v>0</v>
      </c>
      <c r="P903" s="65" t="str">
        <f>IF(B903&lt;&gt;0,VLOOKUP(B903,#REF!,2,FALSE),"")</f>
        <v/>
      </c>
      <c r="Q903" s="62">
        <v>1</v>
      </c>
      <c r="R903" s="62">
        <f t="shared" si="413"/>
        <v>1</v>
      </c>
      <c r="AD903" s="221"/>
      <c r="AE903" s="481"/>
      <c r="AF903" s="481"/>
      <c r="AG903" s="481"/>
      <c r="AH903" s="481"/>
      <c r="AI903" s="552"/>
      <c r="AJ903" s="27"/>
      <c r="AK903" s="27"/>
      <c r="AL903" s="224"/>
    </row>
    <row r="904" spans="1:38" s="34" customFormat="1" ht="75">
      <c r="A904" s="472" t="s">
        <v>1466</v>
      </c>
      <c r="B904" s="475">
        <v>9744</v>
      </c>
      <c r="C904" s="471" t="s">
        <v>3024</v>
      </c>
      <c r="D904" s="472" t="s">
        <v>44</v>
      </c>
      <c r="E904" s="472" t="s">
        <v>17</v>
      </c>
      <c r="F904" s="473">
        <v>1</v>
      </c>
      <c r="G904" s="473">
        <f t="shared" si="391"/>
        <v>80750</v>
      </c>
      <c r="H904" s="473">
        <f>ROUND(G904*(1+$J$13),2)</f>
        <v>102399.08</v>
      </c>
      <c r="I904" s="473">
        <f t="shared" ref="I904" si="422">ROUND(H904*F904,2)</f>
        <v>102399.08</v>
      </c>
      <c r="J904" s="474">
        <f>'COMPOSIÇÃO DE CUSTOS'!G2155</f>
        <v>80750</v>
      </c>
      <c r="K904" s="378">
        <v>95000</v>
      </c>
      <c r="L904" s="47">
        <f t="shared" si="393"/>
        <v>-14250</v>
      </c>
      <c r="M904" s="47">
        <f t="shared" si="389"/>
        <v>80750</v>
      </c>
      <c r="N904" s="47"/>
      <c r="O904" s="47">
        <f t="shared" si="390"/>
        <v>102399.08</v>
      </c>
      <c r="P904" s="47" t="e">
        <f>IF(B904&lt;&gt;0,VLOOKUP(B904,#REF!,2,FALSE),"")</f>
        <v>#REF!</v>
      </c>
      <c r="R904" s="34">
        <f t="shared" si="413"/>
        <v>-1</v>
      </c>
      <c r="AD904" s="577"/>
      <c r="AE904" s="502"/>
      <c r="AF904" s="502"/>
      <c r="AG904" s="502"/>
      <c r="AH904" s="502"/>
      <c r="AI904" s="872">
        <f>AL904</f>
        <v>182678.16</v>
      </c>
      <c r="AJ904" s="473">
        <f>ROUND(AI904*(1+$J$13),2)</f>
        <v>231654.17</v>
      </c>
      <c r="AK904" s="473">
        <f>ROUND(AJ904*F904,2)</f>
        <v>231654.17</v>
      </c>
      <c r="AL904" s="788">
        <f>'PLANILHA ORÇA - CORREGEDORIA'!BG1099</f>
        <v>182678.16</v>
      </c>
    </row>
    <row r="905" spans="1:38" s="62" customFormat="1">
      <c r="A905" s="25"/>
      <c r="B905" s="24"/>
      <c r="C905" s="23"/>
      <c r="D905" s="25"/>
      <c r="E905" s="25"/>
      <c r="F905" s="26"/>
      <c r="G905" s="26"/>
      <c r="H905" s="26"/>
      <c r="I905" s="26"/>
      <c r="J905" s="65" t="str">
        <f>IF(B905&lt;&gt;0,VLOOKUP(B905,#REF!,4,FALSE),"")</f>
        <v/>
      </c>
      <c r="K905" s="362" t="s">
        <v>1892</v>
      </c>
      <c r="L905" s="65"/>
      <c r="M905" s="65">
        <f t="shared" si="389"/>
        <v>0</v>
      </c>
      <c r="N905" s="65"/>
      <c r="O905" s="65">
        <f t="shared" si="390"/>
        <v>0</v>
      </c>
      <c r="P905" s="65" t="str">
        <f>IF(B905&lt;&gt;0,VLOOKUP(B905,#REF!,2,FALSE),"")</f>
        <v/>
      </c>
      <c r="R905" s="62">
        <f t="shared" si="413"/>
        <v>0</v>
      </c>
      <c r="AD905" s="221"/>
      <c r="AE905" s="481"/>
      <c r="AF905" s="481"/>
      <c r="AG905" s="481"/>
      <c r="AH905" s="481"/>
      <c r="AI905" s="552"/>
      <c r="AJ905" s="27"/>
      <c r="AK905" s="27"/>
      <c r="AL905" s="224"/>
    </row>
    <row r="906" spans="1:38" s="62" customFormat="1">
      <c r="A906" s="77" t="s">
        <v>1467</v>
      </c>
      <c r="B906" s="139"/>
      <c r="C906" s="340" t="s">
        <v>338</v>
      </c>
      <c r="D906" s="341"/>
      <c r="E906" s="341"/>
      <c r="F906" s="341"/>
      <c r="G906" s="26"/>
      <c r="H906" s="341"/>
      <c r="I906" s="96">
        <f>ROUND(SUM(I907:I916),2)</f>
        <v>88724.86</v>
      </c>
      <c r="J906" s="65" t="str">
        <f>IF(B906&lt;&gt;0,VLOOKUP(B906,#REF!,4,FALSE),"")</f>
        <v/>
      </c>
      <c r="K906" s="362" t="s">
        <v>1892</v>
      </c>
      <c r="L906" s="65"/>
      <c r="M906" s="65">
        <f t="shared" si="389"/>
        <v>0</v>
      </c>
      <c r="N906" s="65"/>
      <c r="O906" s="65">
        <f t="shared" si="390"/>
        <v>0</v>
      </c>
      <c r="P906" s="65" t="str">
        <f>IF(B906&lt;&gt;0,VLOOKUP(B906,#REF!,2,FALSE),"")</f>
        <v/>
      </c>
      <c r="Q906" s="62">
        <v>1909.49</v>
      </c>
      <c r="R906" s="62">
        <f t="shared" si="413"/>
        <v>1909.49</v>
      </c>
      <c r="AD906" s="221"/>
      <c r="AE906" s="481"/>
      <c r="AF906" s="481"/>
      <c r="AG906" s="481"/>
      <c r="AH906" s="481"/>
      <c r="AI906" s="855"/>
      <c r="AJ906" s="481"/>
      <c r="AK906" s="548">
        <f>ROUND(SUM(AK907:AK916),2)</f>
        <v>107015.59</v>
      </c>
      <c r="AL906" s="224"/>
    </row>
    <row r="907" spans="1:38" s="34" customFormat="1" ht="30">
      <c r="A907" s="472" t="s">
        <v>1468</v>
      </c>
      <c r="B907" s="475">
        <v>88497</v>
      </c>
      <c r="C907" s="471" t="s">
        <v>1741</v>
      </c>
      <c r="D907" s="472" t="s">
        <v>12</v>
      </c>
      <c r="E907" s="472" t="s">
        <v>26</v>
      </c>
      <c r="F907" s="473">
        <v>1909.49</v>
      </c>
      <c r="G907" s="473">
        <f t="shared" si="391"/>
        <v>9.7070000000000007</v>
      </c>
      <c r="H907" s="473">
        <f t="shared" ref="H907:H916" si="423">ROUND(G907*(1+$J$13),2)</f>
        <v>12.31</v>
      </c>
      <c r="I907" s="473">
        <f t="shared" ref="I907:I916" si="424">ROUND(H907*F907,2)</f>
        <v>23505.82</v>
      </c>
      <c r="J907" s="47" t="e">
        <f>IF(B907&lt;&gt;0,VLOOKUP(B907,#REF!,4,FALSE),"")</f>
        <v>#REF!</v>
      </c>
      <c r="K907" s="378" t="s">
        <v>3133</v>
      </c>
      <c r="L907" s="47">
        <f t="shared" si="393"/>
        <v>-1.7129999999999992</v>
      </c>
      <c r="M907" s="47">
        <f t="shared" si="389"/>
        <v>18535.419430000002</v>
      </c>
      <c r="N907" s="47"/>
      <c r="O907" s="47">
        <f t="shared" si="390"/>
        <v>23505.821900000003</v>
      </c>
      <c r="P907" s="47" t="e">
        <f>IF(B907&lt;&gt;0,VLOOKUP(B907,#REF!,2,FALSE),"")</f>
        <v>#REF!</v>
      </c>
      <c r="Q907" s="34">
        <v>1909.49</v>
      </c>
      <c r="R907" s="34">
        <f t="shared" si="413"/>
        <v>0</v>
      </c>
      <c r="AD907" s="577"/>
      <c r="AE907" s="502"/>
      <c r="AF907" s="502"/>
      <c r="AG907" s="502"/>
      <c r="AH907" s="502"/>
      <c r="AI907" s="872">
        <f>AL907</f>
        <v>10.210000000000001</v>
      </c>
      <c r="AJ907" s="473">
        <f>ROUND(AI907*(1+$J$13),2)</f>
        <v>12.95</v>
      </c>
      <c r="AK907" s="562">
        <f t="shared" ref="AK907:AK914" si="425">ROUND(AJ907*F907,2)</f>
        <v>24727.9</v>
      </c>
      <c r="AL907" s="788">
        <f>'COMPOSIÇÃO AB'!G846</f>
        <v>10.210000000000001</v>
      </c>
    </row>
    <row r="908" spans="1:38" s="62" customFormat="1" ht="30">
      <c r="A908" s="25" t="s">
        <v>1469</v>
      </c>
      <c r="B908" s="24">
        <v>88485</v>
      </c>
      <c r="C908" s="23" t="s">
        <v>1742</v>
      </c>
      <c r="D908" s="25" t="s">
        <v>12</v>
      </c>
      <c r="E908" s="25" t="s">
        <v>26</v>
      </c>
      <c r="F908" s="26">
        <v>1909.49</v>
      </c>
      <c r="G908" s="26">
        <f t="shared" si="391"/>
        <v>1.5215000000000001</v>
      </c>
      <c r="H908" s="26">
        <f t="shared" si="423"/>
        <v>1.93</v>
      </c>
      <c r="I908" s="26">
        <f t="shared" si="424"/>
        <v>3685.32</v>
      </c>
      <c r="J908" s="65" t="e">
        <f>IF(B908&lt;&gt;0,VLOOKUP(B908,#REF!,4,FALSE),"")</f>
        <v>#REF!</v>
      </c>
      <c r="K908" s="362" t="s">
        <v>1843</v>
      </c>
      <c r="L908" s="65">
        <f t="shared" si="393"/>
        <v>-0.26849999999999996</v>
      </c>
      <c r="M908" s="65">
        <f t="shared" si="389"/>
        <v>2905.2890350000002</v>
      </c>
      <c r="N908" s="65"/>
      <c r="O908" s="65">
        <f t="shared" si="390"/>
        <v>3685.3157000000001</v>
      </c>
      <c r="P908" s="65" t="e">
        <f>IF(B908&lt;&gt;0,VLOOKUP(B908,#REF!,2,FALSE),"")</f>
        <v>#REF!</v>
      </c>
      <c r="Q908" s="62">
        <v>354.51</v>
      </c>
      <c r="R908" s="62">
        <f t="shared" si="413"/>
        <v>-1554.98</v>
      </c>
      <c r="AD908" s="221"/>
      <c r="AE908" s="481"/>
      <c r="AF908" s="481"/>
      <c r="AG908" s="481"/>
      <c r="AH908" s="481"/>
      <c r="AI908" s="871">
        <f t="shared" ref="AI908:AI913" si="426">ROUND(G908*$AM$11,2)</f>
        <v>1.69</v>
      </c>
      <c r="AJ908" s="158">
        <f t="shared" ref="AJ908:AJ913" si="427">ROUND(AI908*(1+$J$13),2)</f>
        <v>2.14</v>
      </c>
      <c r="AK908" s="158">
        <f t="shared" si="425"/>
        <v>4086.31</v>
      </c>
      <c r="AL908" s="224"/>
    </row>
    <row r="909" spans="1:38" s="62" customFormat="1" ht="30">
      <c r="A909" s="25" t="s">
        <v>1470</v>
      </c>
      <c r="B909" s="24">
        <v>95305</v>
      </c>
      <c r="C909" s="23" t="s">
        <v>2965</v>
      </c>
      <c r="D909" s="25" t="s">
        <v>12</v>
      </c>
      <c r="E909" s="25" t="s">
        <v>26</v>
      </c>
      <c r="F909" s="26">
        <v>354.51</v>
      </c>
      <c r="G909" s="26">
        <f t="shared" si="391"/>
        <v>9.35</v>
      </c>
      <c r="H909" s="26">
        <f t="shared" si="423"/>
        <v>11.86</v>
      </c>
      <c r="I909" s="26">
        <f t="shared" si="424"/>
        <v>4204.49</v>
      </c>
      <c r="J909" s="65" t="e">
        <f>IF(B909&lt;&gt;0,VLOOKUP(B909,#REF!,4,FALSE),"")</f>
        <v>#REF!</v>
      </c>
      <c r="K909" s="362" t="s">
        <v>1846</v>
      </c>
      <c r="L909" s="65">
        <f t="shared" si="393"/>
        <v>-1.6500000000000004</v>
      </c>
      <c r="M909" s="65">
        <f t="shared" si="389"/>
        <v>3314.6684999999998</v>
      </c>
      <c r="N909" s="65"/>
      <c r="O909" s="65">
        <f t="shared" si="390"/>
        <v>4204.4885999999997</v>
      </c>
      <c r="P909" s="65" t="e">
        <f>IF(B909&lt;&gt;0,VLOOKUP(B909,#REF!,2,FALSE),"")</f>
        <v>#REF!</v>
      </c>
      <c r="Q909" s="62">
        <v>452.04</v>
      </c>
      <c r="R909" s="62">
        <f t="shared" si="413"/>
        <v>97.53000000000003</v>
      </c>
      <c r="AD909" s="221"/>
      <c r="AE909" s="481"/>
      <c r="AF909" s="481"/>
      <c r="AG909" s="481"/>
      <c r="AH909" s="481"/>
      <c r="AI909" s="878">
        <f t="shared" si="426"/>
        <v>10.42</v>
      </c>
      <c r="AJ909" s="159">
        <f t="shared" si="427"/>
        <v>13.21</v>
      </c>
      <c r="AK909" s="159">
        <f t="shared" si="425"/>
        <v>4683.08</v>
      </c>
      <c r="AL909" s="224"/>
    </row>
    <row r="910" spans="1:38" s="62" customFormat="1" ht="30">
      <c r="A910" s="25" t="s">
        <v>1471</v>
      </c>
      <c r="B910" s="24">
        <v>88489</v>
      </c>
      <c r="C910" s="23" t="s">
        <v>339</v>
      </c>
      <c r="D910" s="25" t="s">
        <v>12</v>
      </c>
      <c r="E910" s="25" t="s">
        <v>26</v>
      </c>
      <c r="F910" s="26">
        <v>452.04</v>
      </c>
      <c r="G910" s="26">
        <f t="shared" si="391"/>
        <v>9.0015000000000001</v>
      </c>
      <c r="H910" s="26">
        <f t="shared" si="423"/>
        <v>11.41</v>
      </c>
      <c r="I910" s="26">
        <f t="shared" si="424"/>
        <v>5157.78</v>
      </c>
      <c r="J910" s="65" t="e">
        <f>IF(B910&lt;&gt;0,VLOOKUP(B910,#REF!,4,FALSE),"")</f>
        <v>#REF!</v>
      </c>
      <c r="K910" s="362" t="s">
        <v>1913</v>
      </c>
      <c r="L910" s="65">
        <f t="shared" si="393"/>
        <v>-1.5884999999999998</v>
      </c>
      <c r="M910" s="65">
        <f t="shared" si="389"/>
        <v>4069.0380600000003</v>
      </c>
      <c r="N910" s="65"/>
      <c r="O910" s="65">
        <f t="shared" si="390"/>
        <v>5157.7764000000006</v>
      </c>
      <c r="P910" s="65" t="e">
        <f>IF(B910&lt;&gt;0,VLOOKUP(B910,#REF!,2,FALSE),"")</f>
        <v>#REF!</v>
      </c>
      <c r="Q910" s="62">
        <v>174.81</v>
      </c>
      <c r="R910" s="62">
        <f t="shared" si="413"/>
        <v>-277.23</v>
      </c>
      <c r="AD910" s="221"/>
      <c r="AE910" s="481"/>
      <c r="AF910" s="481"/>
      <c r="AG910" s="481"/>
      <c r="AH910" s="481"/>
      <c r="AI910" s="873">
        <f t="shared" si="426"/>
        <v>10.029999999999999</v>
      </c>
      <c r="AJ910" s="26">
        <f t="shared" si="427"/>
        <v>12.72</v>
      </c>
      <c r="AK910" s="26">
        <f t="shared" si="425"/>
        <v>5749.95</v>
      </c>
      <c r="AL910" s="224"/>
    </row>
    <row r="911" spans="1:38" s="62" customFormat="1" ht="30">
      <c r="A911" s="25" t="s">
        <v>1472</v>
      </c>
      <c r="B911" s="24">
        <v>88489</v>
      </c>
      <c r="C911" s="23" t="s">
        <v>2966</v>
      </c>
      <c r="D911" s="25" t="s">
        <v>12</v>
      </c>
      <c r="E911" s="25" t="s">
        <v>26</v>
      </c>
      <c r="F911" s="26">
        <v>174.81</v>
      </c>
      <c r="G911" s="26">
        <f t="shared" si="391"/>
        <v>9.0015000000000001</v>
      </c>
      <c r="H911" s="26">
        <f t="shared" si="423"/>
        <v>11.41</v>
      </c>
      <c r="I911" s="26">
        <f t="shared" si="424"/>
        <v>1994.58</v>
      </c>
      <c r="J911" s="65" t="e">
        <f>IF(B911&lt;&gt;0,VLOOKUP(B911,#REF!,4,FALSE),"")</f>
        <v>#REF!</v>
      </c>
      <c r="K911" s="362" t="s">
        <v>1913</v>
      </c>
      <c r="L911" s="65">
        <f t="shared" si="393"/>
        <v>-1.5884999999999998</v>
      </c>
      <c r="M911" s="65">
        <f t="shared" si="389"/>
        <v>1573.5522149999999</v>
      </c>
      <c r="N911" s="65"/>
      <c r="O911" s="65">
        <f t="shared" si="390"/>
        <v>1994.5821000000001</v>
      </c>
      <c r="P911" s="65" t="e">
        <f>IF(B911&lt;&gt;0,VLOOKUP(B911,#REF!,2,FALSE),"")</f>
        <v>#REF!</v>
      </c>
      <c r="Q911" s="62">
        <v>661.26</v>
      </c>
      <c r="R911" s="62">
        <f t="shared" si="413"/>
        <v>486.45</v>
      </c>
      <c r="AD911" s="221"/>
      <c r="AE911" s="481"/>
      <c r="AF911" s="481"/>
      <c r="AG911" s="481"/>
      <c r="AH911" s="481"/>
      <c r="AI911" s="873">
        <f t="shared" si="426"/>
        <v>10.029999999999999</v>
      </c>
      <c r="AJ911" s="26">
        <f t="shared" si="427"/>
        <v>12.72</v>
      </c>
      <c r="AK911" s="26">
        <f t="shared" si="425"/>
        <v>2223.58</v>
      </c>
      <c r="AL911" s="224"/>
    </row>
    <row r="912" spans="1:38" s="62" customFormat="1" ht="30">
      <c r="A912" s="25" t="s">
        <v>3446</v>
      </c>
      <c r="B912" s="24">
        <v>88484</v>
      </c>
      <c r="C912" s="23" t="s">
        <v>3447</v>
      </c>
      <c r="D912" s="25" t="s">
        <v>12</v>
      </c>
      <c r="E912" s="25" t="s">
        <v>26</v>
      </c>
      <c r="F912" s="26">
        <v>1075.3900000000001</v>
      </c>
      <c r="G912" s="26">
        <f t="shared" si="391"/>
        <v>1.768</v>
      </c>
      <c r="H912" s="26">
        <f t="shared" si="423"/>
        <v>2.2400000000000002</v>
      </c>
      <c r="I912" s="26">
        <f t="shared" ref="I912:I914" si="428">ROUND(H912*F912,2)</f>
        <v>2408.87</v>
      </c>
      <c r="J912" s="65" t="e">
        <f>IF(B912&lt;&gt;0,VLOOKUP(B912,#REF!,4,FALSE),"")</f>
        <v>#REF!</v>
      </c>
      <c r="K912" s="362" t="s">
        <v>3131</v>
      </c>
      <c r="L912" s="65">
        <f t="shared" si="393"/>
        <v>-0.31200000000000006</v>
      </c>
      <c r="M912" s="65">
        <f t="shared" si="389"/>
        <v>1901.2895200000003</v>
      </c>
      <c r="N912" s="65"/>
      <c r="O912" s="65">
        <f t="shared" si="390"/>
        <v>2408.8736000000004</v>
      </c>
      <c r="P912" s="65" t="e">
        <f>IF(B912&lt;&gt;0,VLOOKUP(B912,#REF!,2,FALSE),"")</f>
        <v>#REF!</v>
      </c>
      <c r="AD912" s="221"/>
      <c r="AE912" s="481"/>
      <c r="AF912" s="481"/>
      <c r="AG912" s="481"/>
      <c r="AH912" s="481"/>
      <c r="AI912" s="873">
        <f t="shared" si="426"/>
        <v>1.97</v>
      </c>
      <c r="AJ912" s="26">
        <f t="shared" si="427"/>
        <v>2.5</v>
      </c>
      <c r="AK912" s="26">
        <f t="shared" si="425"/>
        <v>2688.48</v>
      </c>
      <c r="AL912" s="224"/>
    </row>
    <row r="913" spans="1:38" s="62" customFormat="1" ht="30">
      <c r="A913" s="25" t="s">
        <v>3441</v>
      </c>
      <c r="B913" s="24">
        <v>88496</v>
      </c>
      <c r="C913" s="23" t="s">
        <v>3440</v>
      </c>
      <c r="D913" s="25" t="s">
        <v>12</v>
      </c>
      <c r="E913" s="25" t="s">
        <v>26</v>
      </c>
      <c r="F913" s="26">
        <v>1075.3900000000001</v>
      </c>
      <c r="G913" s="26">
        <f t="shared" si="391"/>
        <v>17.025500000000001</v>
      </c>
      <c r="H913" s="26">
        <f t="shared" si="423"/>
        <v>21.59</v>
      </c>
      <c r="I913" s="26">
        <f t="shared" si="428"/>
        <v>23217.67</v>
      </c>
      <c r="J913" s="65" t="e">
        <f>IF(B913&lt;&gt;0,VLOOKUP(B913,#REF!,4,FALSE),"")</f>
        <v>#REF!</v>
      </c>
      <c r="K913" s="362" t="s">
        <v>3311</v>
      </c>
      <c r="L913" s="65">
        <f t="shared" si="393"/>
        <v>-3.0045000000000002</v>
      </c>
      <c r="M913" s="65">
        <f t="shared" si="389"/>
        <v>18309.052445000001</v>
      </c>
      <c r="N913" s="65"/>
      <c r="O913" s="65">
        <f t="shared" si="390"/>
        <v>23217.670100000003</v>
      </c>
      <c r="P913" s="65" t="e">
        <f>IF(B913&lt;&gt;0,VLOOKUP(B913,#REF!,2,FALSE),"")</f>
        <v>#REF!</v>
      </c>
      <c r="AD913" s="221"/>
      <c r="AE913" s="481"/>
      <c r="AF913" s="481"/>
      <c r="AG913" s="481"/>
      <c r="AH913" s="481"/>
      <c r="AI913" s="873">
        <f t="shared" si="426"/>
        <v>18.97</v>
      </c>
      <c r="AJ913" s="26">
        <f t="shared" si="427"/>
        <v>24.06</v>
      </c>
      <c r="AK913" s="26">
        <f t="shared" si="425"/>
        <v>25873.88</v>
      </c>
      <c r="AL913" s="224"/>
    </row>
    <row r="914" spans="1:38" s="34" customFormat="1" ht="30">
      <c r="A914" s="472" t="s">
        <v>3442</v>
      </c>
      <c r="B914" s="475">
        <v>88488</v>
      </c>
      <c r="C914" s="471" t="s">
        <v>3448</v>
      </c>
      <c r="D914" s="472" t="s">
        <v>12</v>
      </c>
      <c r="E914" s="472" t="s">
        <v>26</v>
      </c>
      <c r="F914" s="473">
        <v>1075.3900000000001</v>
      </c>
      <c r="G914" s="473">
        <f t="shared" si="391"/>
        <v>10.148999999999999</v>
      </c>
      <c r="H914" s="473">
        <f t="shared" si="423"/>
        <v>12.87</v>
      </c>
      <c r="I914" s="473">
        <f t="shared" si="428"/>
        <v>13840.27</v>
      </c>
      <c r="J914" s="47" t="e">
        <f>IF(B914&lt;&gt;0,VLOOKUP(B914,#REF!,4,FALSE),"")</f>
        <v>#REF!</v>
      </c>
      <c r="K914" s="378" t="s">
        <v>1887</v>
      </c>
      <c r="L914" s="47">
        <f t="shared" si="393"/>
        <v>-1.7910000000000004</v>
      </c>
      <c r="M914" s="47">
        <f t="shared" si="389"/>
        <v>10914.133110000001</v>
      </c>
      <c r="N914" s="47"/>
      <c r="O914" s="47">
        <f t="shared" si="390"/>
        <v>13840.2693</v>
      </c>
      <c r="P914" s="47" t="e">
        <f>IF(B914&lt;&gt;0,VLOOKUP(B914,#REF!,2,FALSE),"")</f>
        <v>#REF!</v>
      </c>
      <c r="AD914" s="577"/>
      <c r="AE914" s="502"/>
      <c r="AF914" s="502"/>
      <c r="AG914" s="502"/>
      <c r="AH914" s="502"/>
      <c r="AI914" s="872">
        <f>AL914</f>
        <v>18.37</v>
      </c>
      <c r="AJ914" s="473">
        <f>ROUND(AI914*(1+$J$13),2)</f>
        <v>23.29</v>
      </c>
      <c r="AK914" s="562">
        <f t="shared" si="425"/>
        <v>25045.83</v>
      </c>
      <c r="AL914" s="788">
        <f>'COMPOSIÇÃO AB'!G854</f>
        <v>18.37</v>
      </c>
    </row>
    <row r="915" spans="1:38" s="62" customFormat="1" ht="32.25" customHeight="1">
      <c r="A915" s="25" t="s">
        <v>3443</v>
      </c>
      <c r="B915" s="24">
        <v>88489</v>
      </c>
      <c r="C915" s="23" t="s">
        <v>2967</v>
      </c>
      <c r="D915" s="25" t="s">
        <v>12</v>
      </c>
      <c r="E915" s="25" t="s">
        <v>26</v>
      </c>
      <c r="F915" s="26">
        <v>661.26</v>
      </c>
      <c r="G915" s="26">
        <f t="shared" si="391"/>
        <v>9.0015000000000001</v>
      </c>
      <c r="H915" s="26">
        <f t="shared" si="423"/>
        <v>11.41</v>
      </c>
      <c r="I915" s="26">
        <f t="shared" si="424"/>
        <v>7544.98</v>
      </c>
      <c r="J915" s="65" t="e">
        <f>IF(B915&lt;&gt;0,VLOOKUP(B915,#REF!,4,FALSE),"")</f>
        <v>#REF!</v>
      </c>
      <c r="K915" s="362" t="s">
        <v>1913</v>
      </c>
      <c r="L915" s="65">
        <f t="shared" si="393"/>
        <v>-1.5884999999999998</v>
      </c>
      <c r="M915" s="65">
        <f t="shared" si="389"/>
        <v>5952.3318900000004</v>
      </c>
      <c r="N915" s="65"/>
      <c r="O915" s="65">
        <f t="shared" si="390"/>
        <v>7544.9766</v>
      </c>
      <c r="P915" s="65" t="e">
        <f>IF(B915&lt;&gt;0,VLOOKUP(B915,#REF!,2,FALSE),"")</f>
        <v>#REF!</v>
      </c>
      <c r="Q915" s="62">
        <v>266.87</v>
      </c>
      <c r="R915" s="62">
        <f t="shared" ref="R915:R947" si="429">Q915-F915</f>
        <v>-394.39</v>
      </c>
      <c r="AD915" s="221"/>
      <c r="AE915" s="481"/>
      <c r="AF915" s="481"/>
      <c r="AG915" s="481"/>
      <c r="AH915" s="481"/>
      <c r="AI915" s="873">
        <f t="shared" ref="AI915:AI916" si="430">ROUND(G915*$AM$11,2)</f>
        <v>10.029999999999999</v>
      </c>
      <c r="AJ915" s="26">
        <f t="shared" ref="AJ915:AJ916" si="431">ROUND(AI915*(1+$J$13),2)</f>
        <v>12.72</v>
      </c>
      <c r="AK915" s="26">
        <f t="shared" ref="AK915:AK916" si="432">ROUND(AJ915*F915,2)</f>
        <v>8411.23</v>
      </c>
      <c r="AL915" s="224"/>
    </row>
    <row r="916" spans="1:38" s="62" customFormat="1" ht="30">
      <c r="A916" s="25" t="s">
        <v>3444</v>
      </c>
      <c r="B916" s="24">
        <v>95305</v>
      </c>
      <c r="C916" s="23" t="s">
        <v>2968</v>
      </c>
      <c r="D916" s="25" t="s">
        <v>12</v>
      </c>
      <c r="E916" s="25" t="s">
        <v>26</v>
      </c>
      <c r="F916" s="26">
        <v>266.87</v>
      </c>
      <c r="G916" s="26">
        <f t="shared" si="391"/>
        <v>9.35</v>
      </c>
      <c r="H916" s="26">
        <f t="shared" si="423"/>
        <v>11.86</v>
      </c>
      <c r="I916" s="26">
        <f t="shared" si="424"/>
        <v>3165.08</v>
      </c>
      <c r="J916" s="65" t="e">
        <f>IF(B916&lt;&gt;0,VLOOKUP(B916,#REF!,4,FALSE),"")</f>
        <v>#REF!</v>
      </c>
      <c r="K916" s="362" t="s">
        <v>1846</v>
      </c>
      <c r="L916" s="65">
        <f t="shared" si="393"/>
        <v>-1.6500000000000004</v>
      </c>
      <c r="M916" s="65">
        <f t="shared" si="389"/>
        <v>2495.2345</v>
      </c>
      <c r="N916" s="65"/>
      <c r="O916" s="65">
        <f t="shared" si="390"/>
        <v>3165.0781999999999</v>
      </c>
      <c r="P916" s="65" t="e">
        <f>IF(B916&lt;&gt;0,VLOOKUP(B916,#REF!,2,FALSE),"")</f>
        <v>#REF!</v>
      </c>
      <c r="R916" s="62">
        <f t="shared" si="429"/>
        <v>-266.87</v>
      </c>
      <c r="AD916" s="221"/>
      <c r="AE916" s="481"/>
      <c r="AF916" s="481"/>
      <c r="AG916" s="481"/>
      <c r="AH916" s="481"/>
      <c r="AI916" s="873">
        <f t="shared" si="430"/>
        <v>10.42</v>
      </c>
      <c r="AJ916" s="26">
        <f t="shared" si="431"/>
        <v>13.21</v>
      </c>
      <c r="AK916" s="26">
        <f t="shared" si="432"/>
        <v>3525.35</v>
      </c>
      <c r="AL916" s="224"/>
    </row>
    <row r="917" spans="1:38" s="62" customFormat="1" ht="15" customHeight="1">
      <c r="A917" s="25"/>
      <c r="B917" s="24"/>
      <c r="C917" s="23"/>
      <c r="D917" s="25"/>
      <c r="E917" s="25"/>
      <c r="F917" s="26"/>
      <c r="G917" s="26"/>
      <c r="H917" s="26"/>
      <c r="I917" s="26"/>
      <c r="J917" s="65" t="str">
        <f>IF(B917&lt;&gt;0,VLOOKUP(B917,#REF!,4,FALSE),"")</f>
        <v/>
      </c>
      <c r="K917" s="362" t="s">
        <v>1892</v>
      </c>
      <c r="L917" s="65"/>
      <c r="M917" s="65">
        <f t="shared" si="389"/>
        <v>0</v>
      </c>
      <c r="N917" s="65"/>
      <c r="O917" s="65">
        <f t="shared" si="390"/>
        <v>0</v>
      </c>
      <c r="P917" s="65" t="str">
        <f>IF(B917&lt;&gt;0,VLOOKUP(B917,#REF!,2,FALSE),"")</f>
        <v/>
      </c>
      <c r="R917" s="62">
        <f t="shared" si="429"/>
        <v>0</v>
      </c>
      <c r="AD917" s="221"/>
      <c r="AE917" s="481"/>
      <c r="AF917" s="481"/>
      <c r="AG917" s="481"/>
      <c r="AH917" s="481"/>
      <c r="AI917" s="552"/>
      <c r="AJ917" s="27"/>
      <c r="AK917" s="27"/>
      <c r="AL917" s="224"/>
    </row>
    <row r="918" spans="1:38" s="62" customFormat="1">
      <c r="A918" s="77" t="s">
        <v>1474</v>
      </c>
      <c r="B918" s="139"/>
      <c r="C918" s="340" t="s">
        <v>344</v>
      </c>
      <c r="D918" s="341"/>
      <c r="E918" s="341"/>
      <c r="F918" s="341"/>
      <c r="G918" s="26"/>
      <c r="H918" s="341"/>
      <c r="I918" s="96">
        <f>ROUND(SUM(I919:I921),2)</f>
        <v>40150.32</v>
      </c>
      <c r="J918" s="65" t="str">
        <f>IF(B918&lt;&gt;0,VLOOKUP(B918,#REF!,4,FALSE),"")</f>
        <v/>
      </c>
      <c r="K918" s="362" t="s">
        <v>1892</v>
      </c>
      <c r="L918" s="65"/>
      <c r="M918" s="65">
        <f t="shared" ref="M918:M948" si="433">F918*G918</f>
        <v>0</v>
      </c>
      <c r="N918" s="65"/>
      <c r="O918" s="65">
        <f t="shared" ref="O918:O948" si="434">F918*H918</f>
        <v>0</v>
      </c>
      <c r="P918" s="65" t="str">
        <f>IF(B918&lt;&gt;0,VLOOKUP(B918,#REF!,2,FALSE),"")</f>
        <v/>
      </c>
      <c r="Q918" s="62">
        <v>449.98099999999999</v>
      </c>
      <c r="R918" s="62">
        <f t="shared" si="429"/>
        <v>449.98099999999999</v>
      </c>
      <c r="AD918" s="221"/>
      <c r="AE918" s="481"/>
      <c r="AF918" s="481"/>
      <c r="AG918" s="481"/>
      <c r="AH918" s="845">
        <f>ROUND(SUM(AH919:AH921),2)</f>
        <v>19668.009999999998</v>
      </c>
      <c r="AI918" s="855"/>
      <c r="AJ918" s="481"/>
      <c r="AK918" s="845">
        <f>ROUND(SUM(AK919:AK921),2)</f>
        <v>30350.21</v>
      </c>
      <c r="AL918" s="224"/>
    </row>
    <row r="919" spans="1:38" s="283" customFormat="1" ht="45">
      <c r="A919" s="25" t="s">
        <v>1475</v>
      </c>
      <c r="B919" s="24" t="s">
        <v>2075</v>
      </c>
      <c r="C919" s="23" t="s">
        <v>345</v>
      </c>
      <c r="D919" s="25" t="s">
        <v>1915</v>
      </c>
      <c r="E919" s="25" t="s">
        <v>26</v>
      </c>
      <c r="F919" s="26">
        <v>257.95</v>
      </c>
      <c r="G919" s="26">
        <f t="shared" ref="G919:G948" si="435">K919-(K919*$L$14)</f>
        <v>8.4489999999999998</v>
      </c>
      <c r="H919" s="26">
        <f>ROUND(G919*(1+$J$13),2)</f>
        <v>10.71</v>
      </c>
      <c r="I919" s="26">
        <f t="shared" ref="I919:I921" si="436">ROUND(H919*F919,2)</f>
        <v>2762.64</v>
      </c>
      <c r="J919" s="284">
        <f>'COMPOSIÇÃO DE CUSTOS'!G1710</f>
        <v>8.4499999999999993</v>
      </c>
      <c r="K919" s="363">
        <v>9.94</v>
      </c>
      <c r="L919" s="65">
        <f t="shared" ref="L919:L951" si="437">G919-K919</f>
        <v>-1.4909999999999997</v>
      </c>
      <c r="M919" s="65">
        <f t="shared" si="433"/>
        <v>2179.4195500000001</v>
      </c>
      <c r="N919" s="65"/>
      <c r="O919" s="65">
        <f t="shared" si="434"/>
        <v>2762.6444999999999</v>
      </c>
      <c r="P919" s="285" t="e">
        <f>IF(B919&lt;&gt;0,VLOOKUP(B919,#REF!,2,FALSE),"")</f>
        <v>#REF!</v>
      </c>
      <c r="Q919" s="283">
        <v>419.8005</v>
      </c>
      <c r="R919" s="283">
        <f t="shared" si="429"/>
        <v>161.85050000000001</v>
      </c>
      <c r="AD919" s="819"/>
      <c r="AE919" s="163">
        <f>F919</f>
        <v>257.95</v>
      </c>
      <c r="AF919" s="163">
        <f>G919</f>
        <v>8.4489999999999998</v>
      </c>
      <c r="AG919" s="158">
        <f>ROUND(AF919*(1+$J$13),2)</f>
        <v>10.71</v>
      </c>
      <c r="AH919" s="158">
        <f>ROUND(AG919*F919,2)</f>
        <v>2762.64</v>
      </c>
      <c r="AI919" s="871"/>
      <c r="AJ919" s="158"/>
      <c r="AK919" s="158"/>
      <c r="AL919" s="789"/>
    </row>
    <row r="920" spans="1:38" s="62" customFormat="1" ht="60">
      <c r="A920" s="25" t="s">
        <v>1476</v>
      </c>
      <c r="B920" s="24">
        <v>5968</v>
      </c>
      <c r="C920" s="23" t="s">
        <v>346</v>
      </c>
      <c r="D920" s="25" t="s">
        <v>1915</v>
      </c>
      <c r="E920" s="25" t="s">
        <v>26</v>
      </c>
      <c r="F920" s="26">
        <v>419.8005</v>
      </c>
      <c r="G920" s="26">
        <f t="shared" si="435"/>
        <v>31.756</v>
      </c>
      <c r="H920" s="26">
        <f>ROUND(G920*(1+$J$13),2)</f>
        <v>40.270000000000003</v>
      </c>
      <c r="I920" s="26">
        <f t="shared" si="436"/>
        <v>16905.37</v>
      </c>
      <c r="J920" s="64">
        <f>'COMPOSIÇÃO DE CUSTOS'!G1718</f>
        <v>31.76</v>
      </c>
      <c r="K920" s="362">
        <v>37.36</v>
      </c>
      <c r="L920" s="65">
        <f t="shared" si="437"/>
        <v>-5.6039999999999992</v>
      </c>
      <c r="M920" s="65">
        <f t="shared" si="433"/>
        <v>13331.184678</v>
      </c>
      <c r="N920" s="65"/>
      <c r="O920" s="65">
        <f t="shared" si="434"/>
        <v>16905.366135</v>
      </c>
      <c r="P920" s="65" t="e">
        <f>IF(B920&lt;&gt;0,VLOOKUP(B920,#REF!,2,FALSE),"")</f>
        <v>#REF!</v>
      </c>
      <c r="Q920" s="62">
        <v>212.12</v>
      </c>
      <c r="R920" s="62">
        <f t="shared" si="429"/>
        <v>-207.68049999999999</v>
      </c>
      <c r="AD920" s="221"/>
      <c r="AE920" s="163">
        <f>F920*0.6</f>
        <v>251.88029999999998</v>
      </c>
      <c r="AF920" s="163">
        <f>G920</f>
        <v>31.756</v>
      </c>
      <c r="AG920" s="158">
        <f>ROUND(AF920*(1+$J$13),2)</f>
        <v>40.270000000000003</v>
      </c>
      <c r="AH920" s="158">
        <f>ROUND(AG920*F920,2)</f>
        <v>16905.37</v>
      </c>
      <c r="AI920" s="871">
        <f t="shared" ref="AI920:AI921" si="438">ROUND(G920*$AM$11,2)</f>
        <v>35.380000000000003</v>
      </c>
      <c r="AJ920" s="158">
        <f t="shared" ref="AJ920:AJ921" si="439">ROUND(AI920*(1+$J$13),2)</f>
        <v>44.87</v>
      </c>
      <c r="AK920" s="158">
        <f>ROUND(AJ920*(F920-AE920),2)</f>
        <v>7534.58</v>
      </c>
      <c r="AL920" s="224"/>
    </row>
    <row r="921" spans="1:38" s="62" customFormat="1" ht="75">
      <c r="A921" s="25" t="s">
        <v>1477</v>
      </c>
      <c r="B921" s="24" t="s">
        <v>2076</v>
      </c>
      <c r="C921" s="23" t="s">
        <v>347</v>
      </c>
      <c r="D921" s="25" t="s">
        <v>1915</v>
      </c>
      <c r="E921" s="25" t="s">
        <v>26</v>
      </c>
      <c r="F921" s="26">
        <v>212.12</v>
      </c>
      <c r="G921" s="26">
        <f t="shared" si="435"/>
        <v>76.143000000000001</v>
      </c>
      <c r="H921" s="26">
        <f>ROUND(G921*(1+$J$13),2)</f>
        <v>96.56</v>
      </c>
      <c r="I921" s="26">
        <f t="shared" si="436"/>
        <v>20482.310000000001</v>
      </c>
      <c r="J921" s="64">
        <f>'COMPOSIÇÃO DE CUSTOS'!G1726</f>
        <v>76.14</v>
      </c>
      <c r="K921" s="362">
        <v>89.58</v>
      </c>
      <c r="L921" s="65">
        <f t="shared" si="437"/>
        <v>-13.436999999999998</v>
      </c>
      <c r="M921" s="65">
        <f t="shared" si="433"/>
        <v>16151.453160000001</v>
      </c>
      <c r="N921" s="65"/>
      <c r="O921" s="65">
        <f t="shared" si="434"/>
        <v>20482.307199999999</v>
      </c>
      <c r="P921" s="65" t="e">
        <f>IF(B921&lt;&gt;0,VLOOKUP(B921,#REF!,2,FALSE),"")</f>
        <v>#REF!</v>
      </c>
      <c r="R921" s="62">
        <f t="shared" si="429"/>
        <v>-212.12</v>
      </c>
      <c r="AD921" s="221"/>
      <c r="AE921" s="163"/>
      <c r="AF921" s="163"/>
      <c r="AG921" s="158"/>
      <c r="AH921" s="158"/>
      <c r="AI921" s="871">
        <f t="shared" si="438"/>
        <v>84.82</v>
      </c>
      <c r="AJ921" s="158">
        <f t="shared" si="439"/>
        <v>107.56</v>
      </c>
      <c r="AK921" s="158">
        <f t="shared" ref="AK921" si="440">ROUND(AJ921*F921,2)</f>
        <v>22815.63</v>
      </c>
      <c r="AL921" s="224"/>
    </row>
    <row r="922" spans="1:38" s="62" customFormat="1">
      <c r="A922" s="25"/>
      <c r="B922" s="24"/>
      <c r="C922" s="23"/>
      <c r="D922" s="25"/>
      <c r="E922" s="25"/>
      <c r="F922" s="26"/>
      <c r="G922" s="26"/>
      <c r="H922" s="26"/>
      <c r="I922" s="26"/>
      <c r="J922" s="65" t="str">
        <f>IF(B922&lt;&gt;0,VLOOKUP(B922,#REF!,4,FALSE),"")</f>
        <v/>
      </c>
      <c r="K922" s="362" t="s">
        <v>1892</v>
      </c>
      <c r="L922" s="65"/>
      <c r="M922" s="65">
        <f t="shared" si="433"/>
        <v>0</v>
      </c>
      <c r="N922" s="65"/>
      <c r="O922" s="65">
        <f t="shared" si="434"/>
        <v>0</v>
      </c>
      <c r="P922" s="65" t="str">
        <f>IF(B922&lt;&gt;0,VLOOKUP(B922,#REF!,2,FALSE),"")</f>
        <v/>
      </c>
      <c r="R922" s="62">
        <f t="shared" si="429"/>
        <v>0</v>
      </c>
      <c r="AD922" s="221"/>
      <c r="AE922" s="481"/>
      <c r="AF922" s="481"/>
      <c r="AG922" s="481"/>
      <c r="AH922" s="481"/>
      <c r="AI922" s="552"/>
      <c r="AJ922" s="27"/>
      <c r="AK922" s="27"/>
      <c r="AL922" s="224"/>
    </row>
    <row r="923" spans="1:38" s="62" customFormat="1">
      <c r="A923" s="77" t="s">
        <v>1478</v>
      </c>
      <c r="B923" s="139"/>
      <c r="C923" s="340" t="s">
        <v>348</v>
      </c>
      <c r="D923" s="341"/>
      <c r="E923" s="341"/>
      <c r="F923" s="341"/>
      <c r="G923" s="26"/>
      <c r="H923" s="341"/>
      <c r="I923" s="96">
        <f>ROUND(SUM(I924:I925),2)</f>
        <v>45669.48</v>
      </c>
      <c r="J923" s="65" t="str">
        <f>IF(B923&lt;&gt;0,VLOOKUP(B923,#REF!,4,FALSE),"")</f>
        <v/>
      </c>
      <c r="K923" s="362" t="s">
        <v>1892</v>
      </c>
      <c r="L923" s="65"/>
      <c r="M923" s="65">
        <f t="shared" si="433"/>
        <v>0</v>
      </c>
      <c r="N923" s="65"/>
      <c r="O923" s="65">
        <f t="shared" si="434"/>
        <v>0</v>
      </c>
      <c r="P923" s="65" t="str">
        <f>IF(B923&lt;&gt;0,VLOOKUP(B923,#REF!,2,FALSE),"")</f>
        <v/>
      </c>
      <c r="Q923" s="62">
        <v>47.610499999999995</v>
      </c>
      <c r="R923" s="62">
        <f t="shared" si="429"/>
        <v>47.610499999999995</v>
      </c>
      <c r="AD923" s="221"/>
      <c r="AE923" s="481"/>
      <c r="AF923" s="481"/>
      <c r="AG923" s="481"/>
      <c r="AH923" s="481"/>
      <c r="AI923" s="855"/>
      <c r="AJ923" s="481"/>
      <c r="AK923" s="548">
        <f>ROUND(SUM(AK924:AK925),2)</f>
        <v>53333.23</v>
      </c>
      <c r="AL923" s="224"/>
    </row>
    <row r="924" spans="1:38" s="62" customFormat="1">
      <c r="A924" s="25" t="s">
        <v>1479</v>
      </c>
      <c r="B924" s="24">
        <v>4264</v>
      </c>
      <c r="C924" s="23" t="s">
        <v>349</v>
      </c>
      <c r="D924" s="25" t="s">
        <v>44</v>
      </c>
      <c r="E924" s="25" t="s">
        <v>52</v>
      </c>
      <c r="F924" s="26">
        <v>47.610499999999995</v>
      </c>
      <c r="G924" s="26">
        <f t="shared" si="435"/>
        <v>75.335499999999996</v>
      </c>
      <c r="H924" s="26">
        <f>ROUND(G924*(1+$J$13),2)</f>
        <v>95.53</v>
      </c>
      <c r="I924" s="26">
        <f t="shared" ref="I924:I925" si="441">ROUND(H924*F924,2)</f>
        <v>4548.2299999999996</v>
      </c>
      <c r="J924" s="64">
        <f>'COMPOSIÇÃO DE CUSTOS'!G2113</f>
        <v>75.33</v>
      </c>
      <c r="K924" s="362">
        <v>88.63</v>
      </c>
      <c r="L924" s="65">
        <f t="shared" si="437"/>
        <v>-13.294499999999999</v>
      </c>
      <c r="M924" s="65">
        <f t="shared" si="433"/>
        <v>3586.7608227499995</v>
      </c>
      <c r="N924" s="65"/>
      <c r="O924" s="65">
        <f t="shared" si="434"/>
        <v>4548.2310649999999</v>
      </c>
      <c r="P924" s="65" t="e">
        <f>IF(B924&lt;&gt;0,VLOOKUP(B924,#REF!,2,FALSE),"")</f>
        <v>#REF!</v>
      </c>
      <c r="Q924" s="62">
        <v>52.14</v>
      </c>
      <c r="R924" s="62">
        <f t="shared" si="429"/>
        <v>4.5295000000000059</v>
      </c>
      <c r="AD924" s="221"/>
      <c r="AE924" s="481"/>
      <c r="AF924" s="481"/>
      <c r="AG924" s="481"/>
      <c r="AH924" s="481"/>
      <c r="AI924" s="871">
        <f t="shared" ref="AI924" si="442">ROUND(G924*$AM$11,2)</f>
        <v>83.92</v>
      </c>
      <c r="AJ924" s="158">
        <f t="shared" ref="AJ924" si="443">ROUND(AI924*(1+$J$13),2)</f>
        <v>106.42</v>
      </c>
      <c r="AK924" s="158">
        <f t="shared" ref="AK924:AK925" si="444">ROUND(AJ924*F924,2)</f>
        <v>5066.71</v>
      </c>
      <c r="AL924" s="224"/>
    </row>
    <row r="925" spans="1:38" s="34" customFormat="1" ht="60">
      <c r="A925" s="472" t="s">
        <v>1480</v>
      </c>
      <c r="B925" s="475">
        <v>7967</v>
      </c>
      <c r="C925" s="471" t="s">
        <v>350</v>
      </c>
      <c r="D925" s="472" t="s">
        <v>44</v>
      </c>
      <c r="E925" s="472" t="s">
        <v>52</v>
      </c>
      <c r="F925" s="473">
        <v>52.14</v>
      </c>
      <c r="G925" s="473">
        <f t="shared" si="435"/>
        <v>621.928</v>
      </c>
      <c r="H925" s="473">
        <f>ROUND(G925*(1+$J$13),2)</f>
        <v>788.67</v>
      </c>
      <c r="I925" s="473">
        <f t="shared" si="441"/>
        <v>41121.25</v>
      </c>
      <c r="J925" s="474">
        <f>'COMPOSIÇÃO DE CUSTOS'!G2105</f>
        <v>621.92999999999995</v>
      </c>
      <c r="K925" s="378">
        <v>731.68</v>
      </c>
      <c r="L925" s="47">
        <f t="shared" si="437"/>
        <v>-109.75199999999995</v>
      </c>
      <c r="M925" s="47">
        <f t="shared" si="433"/>
        <v>32427.325919999999</v>
      </c>
      <c r="N925" s="47"/>
      <c r="O925" s="47">
        <f t="shared" si="434"/>
        <v>41121.253799999999</v>
      </c>
      <c r="P925" s="47" t="e">
        <f>IF(B925&lt;&gt;0,VLOOKUP(B925,#REF!,2,FALSE),"")</f>
        <v>#REF!</v>
      </c>
      <c r="R925" s="34">
        <f t="shared" si="429"/>
        <v>-52.14</v>
      </c>
      <c r="AD925" s="577"/>
      <c r="AE925" s="502"/>
      <c r="AF925" s="502"/>
      <c r="AG925" s="502"/>
      <c r="AH925" s="502"/>
      <c r="AI925" s="872">
        <f>AL925</f>
        <v>730</v>
      </c>
      <c r="AJ925" s="473">
        <f>ROUND(AI925*(1+$J$13),2)</f>
        <v>925.71</v>
      </c>
      <c r="AK925" s="562">
        <f t="shared" si="444"/>
        <v>48266.52</v>
      </c>
      <c r="AL925" s="788">
        <f>'PLANILHA ORÇA - CORREGEDORIA'!BG1121</f>
        <v>730</v>
      </c>
    </row>
    <row r="926" spans="1:38" s="62" customFormat="1">
      <c r="A926" s="25"/>
      <c r="B926" s="24"/>
      <c r="C926" s="23"/>
      <c r="D926" s="25"/>
      <c r="E926" s="25"/>
      <c r="F926" s="26"/>
      <c r="G926" s="26"/>
      <c r="H926" s="26"/>
      <c r="I926" s="26"/>
      <c r="J926" s="65" t="str">
        <f>IF(B926&lt;&gt;0,VLOOKUP(B926,#REF!,4,FALSE),"")</f>
        <v/>
      </c>
      <c r="K926" s="362" t="s">
        <v>1892</v>
      </c>
      <c r="L926" s="65"/>
      <c r="M926" s="65">
        <f t="shared" si="433"/>
        <v>0</v>
      </c>
      <c r="N926" s="65"/>
      <c r="O926" s="65">
        <f t="shared" si="434"/>
        <v>0</v>
      </c>
      <c r="P926" s="65" t="str">
        <f>IF(B926&lt;&gt;0,VLOOKUP(B926,#REF!,2,FALSE),"")</f>
        <v/>
      </c>
      <c r="R926" s="62">
        <f t="shared" si="429"/>
        <v>0</v>
      </c>
      <c r="AD926" s="221"/>
      <c r="AE926" s="481"/>
      <c r="AF926" s="481"/>
      <c r="AG926" s="481"/>
      <c r="AH926" s="481"/>
      <c r="AI926" s="552"/>
      <c r="AJ926" s="27"/>
      <c r="AK926" s="27"/>
      <c r="AL926" s="224"/>
    </row>
    <row r="927" spans="1:38" s="62" customFormat="1" ht="24" customHeight="1">
      <c r="A927" s="77" t="s">
        <v>1481</v>
      </c>
      <c r="B927" s="139"/>
      <c r="C927" s="340" t="s">
        <v>351</v>
      </c>
      <c r="D927" s="341"/>
      <c r="E927" s="341"/>
      <c r="F927" s="341"/>
      <c r="G927" s="26"/>
      <c r="H927" s="341"/>
      <c r="I927" s="96">
        <f>ROUND(SUM(I929:I944),2)</f>
        <v>31431.52</v>
      </c>
      <c r="J927" s="64" t="str">
        <f>IF(B927&lt;&gt;0,VLOOKUP(B927,#REF!,4,FALSE),"")</f>
        <v/>
      </c>
      <c r="K927" s="362" t="s">
        <v>1892</v>
      </c>
      <c r="L927" s="65"/>
      <c r="M927" s="65">
        <f t="shared" si="433"/>
        <v>0</v>
      </c>
      <c r="N927" s="65"/>
      <c r="O927" s="65">
        <f t="shared" si="434"/>
        <v>0</v>
      </c>
      <c r="P927" s="65" t="str">
        <f>IF(B927&lt;&gt;0,VLOOKUP(B927,#REF!,2,FALSE),"")</f>
        <v/>
      </c>
      <c r="R927" s="62">
        <f t="shared" si="429"/>
        <v>0</v>
      </c>
      <c r="AD927" s="221"/>
      <c r="AE927" s="481"/>
      <c r="AF927" s="481"/>
      <c r="AG927" s="481"/>
      <c r="AH927" s="481"/>
      <c r="AI927" s="855"/>
      <c r="AJ927" s="481"/>
      <c r="AK927" s="548">
        <f>ROUND(SUM(AK929:AK944),2)</f>
        <v>35015.230000000003</v>
      </c>
      <c r="AL927" s="224"/>
    </row>
    <row r="928" spans="1:38" s="62" customFormat="1">
      <c r="A928" s="77" t="s">
        <v>1482</v>
      </c>
      <c r="B928" s="139"/>
      <c r="C928" s="340" t="s">
        <v>352</v>
      </c>
      <c r="D928" s="341"/>
      <c r="E928" s="341"/>
      <c r="F928" s="341"/>
      <c r="G928" s="26"/>
      <c r="H928" s="341"/>
      <c r="I928" s="96"/>
      <c r="J928" s="64" t="str">
        <f>IF(B928&lt;&gt;0,VLOOKUP(B928,#REF!,4,FALSE),"")</f>
        <v/>
      </c>
      <c r="K928" s="362" t="s">
        <v>1892</v>
      </c>
      <c r="L928" s="65"/>
      <c r="M928" s="65">
        <f t="shared" si="433"/>
        <v>0</v>
      </c>
      <c r="N928" s="65"/>
      <c r="O928" s="65">
        <f t="shared" si="434"/>
        <v>0</v>
      </c>
      <c r="P928" s="65" t="str">
        <f>IF(B928&lt;&gt;0,VLOOKUP(B928,#REF!,2,FALSE),"")</f>
        <v/>
      </c>
      <c r="Q928" s="62">
        <v>112.34</v>
      </c>
      <c r="R928" s="62">
        <f t="shared" si="429"/>
        <v>112.34</v>
      </c>
      <c r="AD928" s="221"/>
      <c r="AE928" s="481"/>
      <c r="AF928" s="481"/>
      <c r="AG928" s="481"/>
      <c r="AH928" s="481"/>
      <c r="AI928" s="855"/>
      <c r="AJ928" s="481"/>
      <c r="AK928" s="481"/>
      <c r="AL928" s="224"/>
    </row>
    <row r="929" spans="1:38" s="62" customFormat="1" ht="20.25" customHeight="1">
      <c r="A929" s="25" t="s">
        <v>1483</v>
      </c>
      <c r="B929" s="24">
        <v>98504</v>
      </c>
      <c r="C929" s="23" t="s">
        <v>2662</v>
      </c>
      <c r="D929" s="25" t="s">
        <v>12</v>
      </c>
      <c r="E929" s="25" t="s">
        <v>26</v>
      </c>
      <c r="F929" s="26">
        <v>112.34</v>
      </c>
      <c r="G929" s="26">
        <f t="shared" si="435"/>
        <v>10.302</v>
      </c>
      <c r="H929" s="26">
        <f>ROUND(G929*(1+$J$13),2)</f>
        <v>13.06</v>
      </c>
      <c r="I929" s="26">
        <f t="shared" ref="I929" si="445">ROUND(H929*F929,2)</f>
        <v>1467.16</v>
      </c>
      <c r="J929" s="65" t="e">
        <f>IF(B929&lt;&gt;0,VLOOKUP(B929,#REF!,4,FALSE),"")</f>
        <v>#REF!</v>
      </c>
      <c r="K929" s="362" t="s">
        <v>1870</v>
      </c>
      <c r="L929" s="65">
        <f t="shared" si="437"/>
        <v>-1.8179999999999996</v>
      </c>
      <c r="M929" s="65">
        <f t="shared" si="433"/>
        <v>1157.3266799999999</v>
      </c>
      <c r="N929" s="65"/>
      <c r="O929" s="65">
        <f t="shared" si="434"/>
        <v>1467.1604000000002</v>
      </c>
      <c r="P929" s="65" t="e">
        <f>IF(B929&lt;&gt;0,VLOOKUP(B929,#REF!,2,FALSE),"")</f>
        <v>#REF!</v>
      </c>
      <c r="R929" s="62">
        <f t="shared" si="429"/>
        <v>-112.34</v>
      </c>
      <c r="AD929" s="221"/>
      <c r="AE929" s="481"/>
      <c r="AF929" s="481"/>
      <c r="AG929" s="481"/>
      <c r="AH929" s="481"/>
      <c r="AI929" s="871">
        <f t="shared" ref="AI929" si="446">ROUND(G929*$AM$11,2)</f>
        <v>11.48</v>
      </c>
      <c r="AJ929" s="158">
        <f t="shared" ref="AJ929" si="447">ROUND(AI929*(1+$J$13),2)</f>
        <v>14.56</v>
      </c>
      <c r="AK929" s="158">
        <f t="shared" ref="AK929" si="448">ROUND(AJ929*F929,2)</f>
        <v>1635.67</v>
      </c>
      <c r="AL929" s="224"/>
    </row>
    <row r="930" spans="1:38" s="62" customFormat="1" ht="19.5" customHeight="1">
      <c r="A930" s="77" t="s">
        <v>1484</v>
      </c>
      <c r="B930" s="139"/>
      <c r="C930" s="340" t="s">
        <v>178</v>
      </c>
      <c r="D930" s="341"/>
      <c r="E930" s="341"/>
      <c r="F930" s="341"/>
      <c r="G930" s="26"/>
      <c r="H930" s="341"/>
      <c r="I930" s="96"/>
      <c r="J930" s="65" t="str">
        <f>IF(B930&lt;&gt;0,VLOOKUP(B930,#REF!,4,FALSE),"")</f>
        <v/>
      </c>
      <c r="K930" s="362" t="s">
        <v>1892</v>
      </c>
      <c r="L930" s="65"/>
      <c r="M930" s="65">
        <f t="shared" si="433"/>
        <v>0</v>
      </c>
      <c r="N930" s="65"/>
      <c r="O930" s="65">
        <f t="shared" si="434"/>
        <v>0</v>
      </c>
      <c r="P930" s="65" t="str">
        <f>IF(B930&lt;&gt;0,VLOOKUP(B930,#REF!,2,FALSE),"")</f>
        <v/>
      </c>
      <c r="Q930" s="62">
        <v>2.0894999999999997</v>
      </c>
      <c r="R930" s="62">
        <f t="shared" si="429"/>
        <v>2.0894999999999997</v>
      </c>
      <c r="AD930" s="221"/>
      <c r="AE930" s="481"/>
      <c r="AF930" s="481"/>
      <c r="AG930" s="481"/>
      <c r="AH930" s="481"/>
      <c r="AI930" s="855"/>
      <c r="AJ930" s="481"/>
      <c r="AK930" s="481"/>
      <c r="AL930" s="224"/>
    </row>
    <row r="931" spans="1:38" s="62" customFormat="1" ht="30">
      <c r="A931" s="25" t="s">
        <v>1485</v>
      </c>
      <c r="B931" s="24" t="s">
        <v>2011</v>
      </c>
      <c r="C931" s="23" t="s">
        <v>353</v>
      </c>
      <c r="D931" s="25" t="s">
        <v>1915</v>
      </c>
      <c r="E931" s="25" t="s">
        <v>52</v>
      </c>
      <c r="F931" s="26">
        <v>2.0894999999999997</v>
      </c>
      <c r="G931" s="26">
        <f t="shared" si="435"/>
        <v>306.05950000000001</v>
      </c>
      <c r="H931" s="26">
        <f>ROUND(G931*(1+$J$13),2)</f>
        <v>388.11</v>
      </c>
      <c r="I931" s="26">
        <f t="shared" ref="I931:I933" si="449">ROUND(H931*F931,2)</f>
        <v>810.96</v>
      </c>
      <c r="J931" s="64">
        <f>'COMPOSIÇÃO DE CUSTOS'!G2136</f>
        <v>306.06</v>
      </c>
      <c r="K931" s="362">
        <v>360.07</v>
      </c>
      <c r="L931" s="65">
        <f t="shared" si="437"/>
        <v>-54.010499999999979</v>
      </c>
      <c r="M931" s="65">
        <f t="shared" si="433"/>
        <v>639.51132524999991</v>
      </c>
      <c r="N931" s="65"/>
      <c r="O931" s="65">
        <f t="shared" si="434"/>
        <v>810.95584499999995</v>
      </c>
      <c r="P931" s="65" t="e">
        <f>IF(B931&lt;&gt;0,VLOOKUP(B931,#REF!,2,FALSE),"")</f>
        <v>#REF!</v>
      </c>
      <c r="Q931" s="62">
        <v>3.1289999999999996</v>
      </c>
      <c r="R931" s="62">
        <f t="shared" si="429"/>
        <v>1.0394999999999999</v>
      </c>
      <c r="AD931" s="221"/>
      <c r="AE931" s="481"/>
      <c r="AF931" s="481"/>
      <c r="AG931" s="481"/>
      <c r="AH931" s="481"/>
      <c r="AI931" s="871">
        <f t="shared" ref="AI931:AI933" si="450">ROUND(G931*$AM$11,2)</f>
        <v>340.95</v>
      </c>
      <c r="AJ931" s="158">
        <f t="shared" ref="AJ931:AJ933" si="451">ROUND(AI931*(1+$J$13),2)</f>
        <v>432.36</v>
      </c>
      <c r="AK931" s="158">
        <f t="shared" ref="AK931:AK933" si="452">ROUND(AJ931*F931,2)</f>
        <v>903.42</v>
      </c>
      <c r="AL931" s="224"/>
    </row>
    <row r="932" spans="1:38" ht="26.25" customHeight="1">
      <c r="A932" s="25" t="s">
        <v>1486</v>
      </c>
      <c r="B932" s="24">
        <v>9599</v>
      </c>
      <c r="C932" s="23" t="s">
        <v>354</v>
      </c>
      <c r="D932" s="25" t="s">
        <v>1915</v>
      </c>
      <c r="E932" s="25" t="s">
        <v>52</v>
      </c>
      <c r="F932" s="26">
        <v>3.1289999999999996</v>
      </c>
      <c r="G932" s="26">
        <f t="shared" si="435"/>
        <v>595.42499999999995</v>
      </c>
      <c r="H932" s="26">
        <f>ROUND(G932*(1+$J$13),2)</f>
        <v>755.06</v>
      </c>
      <c r="I932" s="26">
        <f t="shared" si="449"/>
        <v>2362.58</v>
      </c>
      <c r="J932" s="64">
        <f>'COMPOSIÇÃO DE CUSTOS'!G1735</f>
        <v>595.42999999999995</v>
      </c>
      <c r="K932" s="362">
        <v>700.5</v>
      </c>
      <c r="L932" s="65">
        <f t="shared" si="437"/>
        <v>-105.07500000000005</v>
      </c>
      <c r="M932" s="65">
        <f t="shared" si="433"/>
        <v>1863.0848249999997</v>
      </c>
      <c r="N932" s="65"/>
      <c r="O932" s="65">
        <f t="shared" si="434"/>
        <v>2362.5827399999994</v>
      </c>
      <c r="P932" s="65" t="e">
        <f>IF(B932&lt;&gt;0,VLOOKUP(B932,#REF!,2,FALSE),"")</f>
        <v>#REF!</v>
      </c>
      <c r="Q932" s="2">
        <v>3.2025000000000001</v>
      </c>
      <c r="R932" s="62">
        <f t="shared" si="429"/>
        <v>7.3500000000000565E-2</v>
      </c>
      <c r="AD932" s="21"/>
      <c r="AE932" s="481"/>
      <c r="AF932" s="481"/>
      <c r="AG932" s="481"/>
      <c r="AH932" s="481"/>
      <c r="AI932" s="878">
        <f t="shared" si="450"/>
        <v>663.31</v>
      </c>
      <c r="AJ932" s="159">
        <f t="shared" si="451"/>
        <v>841.14</v>
      </c>
      <c r="AK932" s="159">
        <f t="shared" si="452"/>
        <v>2631.93</v>
      </c>
    </row>
    <row r="933" spans="1:38" s="45" customFormat="1" ht="33" customHeight="1">
      <c r="A933" s="25" t="s">
        <v>1487</v>
      </c>
      <c r="B933" s="24">
        <v>111609</v>
      </c>
      <c r="C933" s="23" t="s">
        <v>355</v>
      </c>
      <c r="D933" s="25" t="s">
        <v>1915</v>
      </c>
      <c r="E933" s="25" t="s">
        <v>52</v>
      </c>
      <c r="F933" s="26">
        <v>3.2025000000000001</v>
      </c>
      <c r="G933" s="26">
        <f t="shared" si="435"/>
        <v>1292.7820000000002</v>
      </c>
      <c r="H933" s="26">
        <f>ROUND(G933*(1+$J$13),2)</f>
        <v>1639.38</v>
      </c>
      <c r="I933" s="26">
        <f t="shared" si="449"/>
        <v>5250.11</v>
      </c>
      <c r="J933" s="64">
        <f>'COMPOSIÇÃO DE CUSTOS'!G1744</f>
        <v>1292.78</v>
      </c>
      <c r="K933" s="362">
        <v>1520.92</v>
      </c>
      <c r="L933" s="65">
        <f t="shared" si="437"/>
        <v>-228.13799999999992</v>
      </c>
      <c r="M933" s="65">
        <f t="shared" si="433"/>
        <v>4140.1343550000011</v>
      </c>
      <c r="N933" s="65"/>
      <c r="O933" s="65">
        <f t="shared" si="434"/>
        <v>5250.1144500000009</v>
      </c>
      <c r="P933" s="65" t="e">
        <f>IF(B933&lt;&gt;0,VLOOKUP(B933,#REF!,2,FALSE),"")</f>
        <v>#REF!</v>
      </c>
      <c r="R933" s="62">
        <f t="shared" si="429"/>
        <v>-3.2025000000000001</v>
      </c>
      <c r="AD933" s="56"/>
      <c r="AE933" s="481"/>
      <c r="AF933" s="481"/>
      <c r="AG933" s="481"/>
      <c r="AH933" s="481"/>
      <c r="AI933" s="873">
        <f t="shared" si="450"/>
        <v>1440.17</v>
      </c>
      <c r="AJ933" s="26">
        <f t="shared" si="451"/>
        <v>1826.28</v>
      </c>
      <c r="AK933" s="26">
        <f t="shared" si="452"/>
        <v>5848.66</v>
      </c>
      <c r="AL933" s="724"/>
    </row>
    <row r="934" spans="1:38" s="62" customFormat="1" ht="15" customHeight="1">
      <c r="A934" s="77" t="s">
        <v>1488</v>
      </c>
      <c r="B934" s="139"/>
      <c r="C934" s="340" t="s">
        <v>356</v>
      </c>
      <c r="D934" s="341"/>
      <c r="E934" s="341"/>
      <c r="F934" s="341"/>
      <c r="G934" s="26"/>
      <c r="H934" s="341"/>
      <c r="I934" s="96"/>
      <c r="J934" s="65" t="str">
        <f>IF(B934&lt;&gt;0,VLOOKUP(B934,#REF!,4,FALSE),"")</f>
        <v/>
      </c>
      <c r="K934" s="362" t="s">
        <v>1892</v>
      </c>
      <c r="L934" s="65"/>
      <c r="M934" s="65">
        <f t="shared" si="433"/>
        <v>0</v>
      </c>
      <c r="N934" s="65"/>
      <c r="O934" s="65">
        <f t="shared" si="434"/>
        <v>0</v>
      </c>
      <c r="P934" s="65" t="str">
        <f>IF(B934&lt;&gt;0,VLOOKUP(B934,#REF!,2,FALSE),"")</f>
        <v/>
      </c>
      <c r="Q934" s="62">
        <v>0.35699999999999998</v>
      </c>
      <c r="R934" s="62">
        <f t="shared" si="429"/>
        <v>0.35699999999999998</v>
      </c>
      <c r="AD934" s="221"/>
      <c r="AE934" s="481"/>
      <c r="AF934" s="481"/>
      <c r="AG934" s="481"/>
      <c r="AH934" s="481"/>
      <c r="AI934" s="552"/>
      <c r="AJ934" s="27"/>
      <c r="AK934" s="27"/>
      <c r="AL934" s="224"/>
    </row>
    <row r="935" spans="1:38" s="62" customFormat="1" ht="60">
      <c r="A935" s="25" t="s">
        <v>1489</v>
      </c>
      <c r="B935" s="24">
        <v>102509</v>
      </c>
      <c r="C935" s="23" t="s">
        <v>357</v>
      </c>
      <c r="D935" s="25" t="s">
        <v>12</v>
      </c>
      <c r="E935" s="25" t="s">
        <v>26</v>
      </c>
      <c r="F935" s="26">
        <v>0.35699999999999998</v>
      </c>
      <c r="G935" s="26">
        <f t="shared" si="435"/>
        <v>15.639999999999999</v>
      </c>
      <c r="H935" s="26">
        <f t="shared" ref="H935:H944" si="453">ROUND(G935*(1+$J$13),2)</f>
        <v>19.829999999999998</v>
      </c>
      <c r="I935" s="26">
        <f>ROUND(H935*F935,2)</f>
        <v>7.08</v>
      </c>
      <c r="J935" s="65" t="e">
        <f>IF(B935&lt;&gt;0,VLOOKUP(B935,#REF!,4,FALSE),"")</f>
        <v>#REF!</v>
      </c>
      <c r="K935" s="362" t="s">
        <v>3312</v>
      </c>
      <c r="L935" s="65">
        <f t="shared" si="437"/>
        <v>-2.76</v>
      </c>
      <c r="M935" s="65">
        <f t="shared" si="433"/>
        <v>5.5834799999999989</v>
      </c>
      <c r="N935" s="65"/>
      <c r="O935" s="65">
        <f t="shared" si="434"/>
        <v>7.0793099999999987</v>
      </c>
      <c r="P935" s="65" t="e">
        <f>IF(B935&lt;&gt;0,VLOOKUP(B935,#REF!,2,FALSE),"")</f>
        <v>#REF!</v>
      </c>
      <c r="Q935" s="62">
        <v>4.3539999999999992</v>
      </c>
      <c r="R935" s="62">
        <f t="shared" si="429"/>
        <v>3.996999999999999</v>
      </c>
      <c r="AD935" s="221"/>
      <c r="AE935" s="481"/>
      <c r="AF935" s="481"/>
      <c r="AG935" s="481"/>
      <c r="AH935" s="481"/>
      <c r="AI935" s="873">
        <f t="shared" ref="AI935:AI944" si="454">ROUND(G935*$AM$11,2)</f>
        <v>17.420000000000002</v>
      </c>
      <c r="AJ935" s="26">
        <f t="shared" ref="AJ935:AJ944" si="455">ROUND(AI935*(1+$J$13),2)</f>
        <v>22.09</v>
      </c>
      <c r="AK935" s="26">
        <f t="shared" ref="AK935:AK944" si="456">ROUND(AJ935*F935,2)</f>
        <v>7.89</v>
      </c>
      <c r="AL935" s="224"/>
    </row>
    <row r="936" spans="1:38" s="62" customFormat="1" ht="60">
      <c r="A936" s="25" t="s">
        <v>1490</v>
      </c>
      <c r="B936" s="24">
        <v>102509</v>
      </c>
      <c r="C936" s="23" t="s">
        <v>358</v>
      </c>
      <c r="D936" s="25" t="s">
        <v>12</v>
      </c>
      <c r="E936" s="25" t="s">
        <v>26</v>
      </c>
      <c r="F936" s="26">
        <v>4.3539999999999992</v>
      </c>
      <c r="G936" s="26">
        <f t="shared" si="435"/>
        <v>15.639999999999999</v>
      </c>
      <c r="H936" s="26">
        <f t="shared" si="453"/>
        <v>19.829999999999998</v>
      </c>
      <c r="I936" s="26">
        <f>ROUND(H936*F936,2)</f>
        <v>86.34</v>
      </c>
      <c r="J936" s="65" t="e">
        <f>IF(B936&lt;&gt;0,VLOOKUP(B936,#REF!,4,FALSE),"")</f>
        <v>#REF!</v>
      </c>
      <c r="K936" s="362" t="s">
        <v>3312</v>
      </c>
      <c r="L936" s="65">
        <f t="shared" si="437"/>
        <v>-2.76</v>
      </c>
      <c r="M936" s="65">
        <f t="shared" si="433"/>
        <v>68.096559999999982</v>
      </c>
      <c r="N936" s="65"/>
      <c r="O936" s="65">
        <f t="shared" si="434"/>
        <v>86.339819999999975</v>
      </c>
      <c r="P936" s="65" t="e">
        <f>IF(B936&lt;&gt;0,VLOOKUP(B936,#REF!,2,FALSE),"")</f>
        <v>#REF!</v>
      </c>
      <c r="Q936" s="62">
        <v>13.349</v>
      </c>
      <c r="R936" s="62">
        <f t="shared" si="429"/>
        <v>8.995000000000001</v>
      </c>
      <c r="AD936" s="221"/>
      <c r="AE936" s="481"/>
      <c r="AF936" s="481"/>
      <c r="AG936" s="481"/>
      <c r="AH936" s="481"/>
      <c r="AI936" s="873">
        <f t="shared" si="454"/>
        <v>17.420000000000002</v>
      </c>
      <c r="AJ936" s="26">
        <f t="shared" si="455"/>
        <v>22.09</v>
      </c>
      <c r="AK936" s="26">
        <f t="shared" si="456"/>
        <v>96.18</v>
      </c>
      <c r="AL936" s="224"/>
    </row>
    <row r="937" spans="1:38" s="62" customFormat="1" ht="60">
      <c r="A937" s="25" t="s">
        <v>1491</v>
      </c>
      <c r="B937" s="24">
        <v>102509</v>
      </c>
      <c r="C937" s="23" t="s">
        <v>359</v>
      </c>
      <c r="D937" s="25" t="s">
        <v>12</v>
      </c>
      <c r="E937" s="25" t="s">
        <v>26</v>
      </c>
      <c r="F937" s="26">
        <v>13.349</v>
      </c>
      <c r="G937" s="26">
        <f t="shared" si="435"/>
        <v>15.639999999999999</v>
      </c>
      <c r="H937" s="26">
        <f t="shared" si="453"/>
        <v>19.829999999999998</v>
      </c>
      <c r="I937" s="26">
        <f t="shared" ref="I937:I944" si="457">ROUND(H937*F937,2)</f>
        <v>264.70999999999998</v>
      </c>
      <c r="J937" s="65" t="e">
        <f>IF(B937&lt;&gt;0,VLOOKUP(B937,#REF!,4,FALSE),"")</f>
        <v>#REF!</v>
      </c>
      <c r="K937" s="362" t="s">
        <v>3312</v>
      </c>
      <c r="L937" s="65">
        <f t="shared" si="437"/>
        <v>-2.76</v>
      </c>
      <c r="M937" s="65">
        <f t="shared" si="433"/>
        <v>208.77835999999999</v>
      </c>
      <c r="N937" s="65"/>
      <c r="O937" s="65">
        <f t="shared" si="434"/>
        <v>264.71066999999999</v>
      </c>
      <c r="P937" s="65" t="e">
        <f>IF(B937&lt;&gt;0,VLOOKUP(B937,#REF!,2,FALSE),"")</f>
        <v>#REF!</v>
      </c>
      <c r="Q937" s="62">
        <v>1</v>
      </c>
      <c r="R937" s="62">
        <f t="shared" si="429"/>
        <v>-12.349</v>
      </c>
      <c r="AD937" s="221"/>
      <c r="AE937" s="481"/>
      <c r="AF937" s="481"/>
      <c r="AG937" s="481"/>
      <c r="AH937" s="481"/>
      <c r="AI937" s="873">
        <f t="shared" si="454"/>
        <v>17.420000000000002</v>
      </c>
      <c r="AJ937" s="26">
        <f t="shared" si="455"/>
        <v>22.09</v>
      </c>
      <c r="AK937" s="26">
        <f t="shared" si="456"/>
        <v>294.88</v>
      </c>
      <c r="AL937" s="224"/>
    </row>
    <row r="938" spans="1:38" s="62" customFormat="1" ht="30">
      <c r="A938" s="25" t="s">
        <v>2656</v>
      </c>
      <c r="B938" s="140">
        <v>3167</v>
      </c>
      <c r="C938" s="23" t="str">
        <f>[12]AUX!A2296</f>
        <v>PLACA DE INAUGURAÇÃO DE OBRA EM ALUMÍNIO 0,60 X 0,80 M</v>
      </c>
      <c r="D938" s="25" t="s">
        <v>44</v>
      </c>
      <c r="E938" s="25" t="s">
        <v>17</v>
      </c>
      <c r="F938" s="26">
        <v>1</v>
      </c>
      <c r="G938" s="26">
        <f t="shared" si="435"/>
        <v>1361.3344999999999</v>
      </c>
      <c r="H938" s="26">
        <f t="shared" si="453"/>
        <v>1726.31</v>
      </c>
      <c r="I938" s="26">
        <f t="shared" si="457"/>
        <v>1726.31</v>
      </c>
      <c r="J938" s="64">
        <f>'COMPOSIÇÃO DE CUSTOS'!G2323</f>
        <v>1361.33</v>
      </c>
      <c r="K938" s="362">
        <v>1601.57</v>
      </c>
      <c r="L938" s="65">
        <f t="shared" si="437"/>
        <v>-240.2355</v>
      </c>
      <c r="M938" s="65">
        <f t="shared" si="433"/>
        <v>1361.3344999999999</v>
      </c>
      <c r="N938" s="65"/>
      <c r="O938" s="65">
        <f t="shared" si="434"/>
        <v>1726.31</v>
      </c>
      <c r="P938" s="65" t="e">
        <f>IF(B938&lt;&gt;0,VLOOKUP(B938,#REF!,2,FALSE),"")</f>
        <v>#REF!</v>
      </c>
      <c r="Q938" s="62">
        <v>33</v>
      </c>
      <c r="R938" s="62">
        <f t="shared" si="429"/>
        <v>32</v>
      </c>
      <c r="AD938" s="221"/>
      <c r="AE938" s="481"/>
      <c r="AF938" s="481"/>
      <c r="AG938" s="481"/>
      <c r="AH938" s="481"/>
      <c r="AI938" s="873">
        <f t="shared" si="454"/>
        <v>1516.54</v>
      </c>
      <c r="AJ938" s="26">
        <f t="shared" si="455"/>
        <v>1923.12</v>
      </c>
      <c r="AK938" s="26">
        <f t="shared" si="456"/>
        <v>1923.12</v>
      </c>
      <c r="AL938" s="224"/>
    </row>
    <row r="939" spans="1:38" s="62" customFormat="1" ht="60">
      <c r="A939" s="25" t="s">
        <v>2657</v>
      </c>
      <c r="B939" s="24">
        <v>13294</v>
      </c>
      <c r="C939" s="23" t="s">
        <v>2680</v>
      </c>
      <c r="D939" s="25" t="s">
        <v>44</v>
      </c>
      <c r="E939" s="25" t="s">
        <v>17</v>
      </c>
      <c r="F939" s="26">
        <v>33</v>
      </c>
      <c r="G939" s="26">
        <f t="shared" si="435"/>
        <v>71.697499999999991</v>
      </c>
      <c r="H939" s="26">
        <f t="shared" si="453"/>
        <v>90.92</v>
      </c>
      <c r="I939" s="26">
        <f t="shared" si="457"/>
        <v>3000.36</v>
      </c>
      <c r="J939" s="64">
        <f>'COMPOSIÇÃO DE CUSTOS'!G2338</f>
        <v>71.7</v>
      </c>
      <c r="K939" s="362">
        <v>84.35</v>
      </c>
      <c r="L939" s="65">
        <f t="shared" si="437"/>
        <v>-12.652500000000003</v>
      </c>
      <c r="M939" s="65">
        <f t="shared" si="433"/>
        <v>2366.0174999999999</v>
      </c>
      <c r="N939" s="65"/>
      <c r="O939" s="65">
        <f t="shared" si="434"/>
        <v>3000.36</v>
      </c>
      <c r="P939" s="65" t="e">
        <f>IF(B939&lt;&gt;0,VLOOKUP(B939,#REF!,2,FALSE),"")</f>
        <v>#REF!</v>
      </c>
      <c r="Q939" s="62">
        <v>16</v>
      </c>
      <c r="R939" s="62">
        <f t="shared" si="429"/>
        <v>-17</v>
      </c>
      <c r="AD939" s="221"/>
      <c r="AE939" s="481"/>
      <c r="AF939" s="481"/>
      <c r="AG939" s="481"/>
      <c r="AH939" s="481"/>
      <c r="AI939" s="873">
        <f t="shared" si="454"/>
        <v>79.87</v>
      </c>
      <c r="AJ939" s="26">
        <f t="shared" si="455"/>
        <v>101.28</v>
      </c>
      <c r="AK939" s="26">
        <f t="shared" si="456"/>
        <v>3342.24</v>
      </c>
      <c r="AL939" s="224"/>
    </row>
    <row r="940" spans="1:38" s="62" customFormat="1" ht="30">
      <c r="A940" s="25" t="s">
        <v>2658</v>
      </c>
      <c r="B940" s="24">
        <v>12041</v>
      </c>
      <c r="C940" s="23" t="s">
        <v>2543</v>
      </c>
      <c r="D940" s="25" t="s">
        <v>44</v>
      </c>
      <c r="E940" s="25" t="s">
        <v>17</v>
      </c>
      <c r="F940" s="26">
        <v>16</v>
      </c>
      <c r="G940" s="26">
        <f t="shared" si="435"/>
        <v>46.3675</v>
      </c>
      <c r="H940" s="26">
        <f t="shared" si="453"/>
        <v>58.8</v>
      </c>
      <c r="I940" s="26">
        <f t="shared" si="457"/>
        <v>940.8</v>
      </c>
      <c r="J940" s="64">
        <f>'COMPOSIÇÃO DE CUSTOS'!G1751</f>
        <v>46.37</v>
      </c>
      <c r="K940" s="362">
        <v>54.55</v>
      </c>
      <c r="L940" s="65">
        <f t="shared" si="437"/>
        <v>-8.1824999999999974</v>
      </c>
      <c r="M940" s="65">
        <f t="shared" si="433"/>
        <v>741.88</v>
      </c>
      <c r="N940" s="65"/>
      <c r="O940" s="65">
        <f t="shared" si="434"/>
        <v>940.8</v>
      </c>
      <c r="P940" s="65" t="e">
        <f>IF(B940&lt;&gt;0,VLOOKUP(B940,#REF!,2,FALSE),"")</f>
        <v>#REF!</v>
      </c>
      <c r="Q940" s="62">
        <v>112</v>
      </c>
      <c r="R940" s="62">
        <f t="shared" si="429"/>
        <v>96</v>
      </c>
      <c r="AD940" s="221"/>
      <c r="AE940" s="481"/>
      <c r="AF940" s="481"/>
      <c r="AG940" s="481"/>
      <c r="AH940" s="481"/>
      <c r="AI940" s="873">
        <f t="shared" si="454"/>
        <v>51.65</v>
      </c>
      <c r="AJ940" s="26">
        <f t="shared" si="455"/>
        <v>65.5</v>
      </c>
      <c r="AK940" s="26">
        <f t="shared" si="456"/>
        <v>1048</v>
      </c>
      <c r="AL940" s="224"/>
    </row>
    <row r="941" spans="1:38" s="62" customFormat="1" ht="30">
      <c r="A941" s="25" t="s">
        <v>2659</v>
      </c>
      <c r="B941" s="24">
        <v>12042</v>
      </c>
      <c r="C941" s="23" t="s">
        <v>2024</v>
      </c>
      <c r="D941" s="25" t="s">
        <v>44</v>
      </c>
      <c r="E941" s="25" t="s">
        <v>17</v>
      </c>
      <c r="F941" s="26">
        <v>112</v>
      </c>
      <c r="G941" s="26">
        <f t="shared" si="435"/>
        <v>67.677000000000007</v>
      </c>
      <c r="H941" s="26">
        <f t="shared" si="453"/>
        <v>85.82</v>
      </c>
      <c r="I941" s="26">
        <f t="shared" si="457"/>
        <v>9611.84</v>
      </c>
      <c r="J941" s="64">
        <f>'COMPOSIÇÃO DE CUSTOS'!G2213</f>
        <v>67.67</v>
      </c>
      <c r="K941" s="362">
        <v>79.62</v>
      </c>
      <c r="L941" s="65">
        <f t="shared" si="437"/>
        <v>-11.942999999999998</v>
      </c>
      <c r="M941" s="65">
        <f t="shared" si="433"/>
        <v>7579.8240000000005</v>
      </c>
      <c r="N941" s="65"/>
      <c r="O941" s="65">
        <f t="shared" si="434"/>
        <v>9611.84</v>
      </c>
      <c r="P941" s="65" t="e">
        <f>IF(B941&lt;&gt;0,VLOOKUP(B941,#REF!,2,FALSE),"")</f>
        <v>#REF!</v>
      </c>
      <c r="Q941" s="62">
        <v>22</v>
      </c>
      <c r="R941" s="62">
        <f t="shared" si="429"/>
        <v>-90</v>
      </c>
      <c r="AD941" s="221"/>
      <c r="AE941" s="481"/>
      <c r="AF941" s="481"/>
      <c r="AG941" s="481"/>
      <c r="AH941" s="481"/>
      <c r="AI941" s="873">
        <f t="shared" si="454"/>
        <v>75.39</v>
      </c>
      <c r="AJ941" s="26">
        <f t="shared" si="455"/>
        <v>95.6</v>
      </c>
      <c r="AK941" s="26">
        <f t="shared" si="456"/>
        <v>10707.2</v>
      </c>
      <c r="AL941" s="224"/>
    </row>
    <row r="942" spans="1:38" s="62" customFormat="1" ht="30">
      <c r="A942" s="25" t="s">
        <v>2660</v>
      </c>
      <c r="B942" s="24">
        <v>12043</v>
      </c>
      <c r="C942" s="23" t="s">
        <v>2026</v>
      </c>
      <c r="D942" s="25" t="s">
        <v>44</v>
      </c>
      <c r="E942" s="25" t="s">
        <v>17</v>
      </c>
      <c r="F942" s="26">
        <v>22</v>
      </c>
      <c r="G942" s="26">
        <f t="shared" si="435"/>
        <v>58.063500000000005</v>
      </c>
      <c r="H942" s="26">
        <f t="shared" si="453"/>
        <v>73.63</v>
      </c>
      <c r="I942" s="26">
        <f t="shared" si="457"/>
        <v>1619.86</v>
      </c>
      <c r="J942" s="64">
        <f>'COMPOSIÇÃO DE CUSTOS'!G2219</f>
        <v>58.06</v>
      </c>
      <c r="K942" s="362">
        <v>68.31</v>
      </c>
      <c r="L942" s="65">
        <f t="shared" si="437"/>
        <v>-10.246499999999997</v>
      </c>
      <c r="M942" s="65">
        <f t="shared" si="433"/>
        <v>1277.3970000000002</v>
      </c>
      <c r="N942" s="65"/>
      <c r="O942" s="65">
        <f t="shared" si="434"/>
        <v>1619.86</v>
      </c>
      <c r="P942" s="65" t="e">
        <f>IF(B942&lt;&gt;0,VLOOKUP(B942,#REF!,2,FALSE),"")</f>
        <v>#REF!</v>
      </c>
      <c r="Q942" s="62">
        <v>13</v>
      </c>
      <c r="R942" s="62">
        <f t="shared" si="429"/>
        <v>-9</v>
      </c>
      <c r="AD942" s="221"/>
      <c r="AE942" s="481"/>
      <c r="AF942" s="481"/>
      <c r="AG942" s="481"/>
      <c r="AH942" s="481"/>
      <c r="AI942" s="873">
        <f t="shared" si="454"/>
        <v>64.680000000000007</v>
      </c>
      <c r="AJ942" s="26">
        <f t="shared" si="455"/>
        <v>82.02</v>
      </c>
      <c r="AK942" s="26">
        <f t="shared" si="456"/>
        <v>1804.44</v>
      </c>
      <c r="AL942" s="224"/>
    </row>
    <row r="943" spans="1:38" s="62" customFormat="1" ht="30">
      <c r="A943" s="25" t="s">
        <v>2661</v>
      </c>
      <c r="B943" s="24" t="s">
        <v>2419</v>
      </c>
      <c r="C943" s="23" t="s">
        <v>2544</v>
      </c>
      <c r="D943" s="25" t="s">
        <v>1915</v>
      </c>
      <c r="E943" s="25" t="s">
        <v>17</v>
      </c>
      <c r="F943" s="26">
        <v>13</v>
      </c>
      <c r="G943" s="26">
        <f t="shared" si="435"/>
        <v>86.716999999999999</v>
      </c>
      <c r="H943" s="26">
        <f t="shared" si="453"/>
        <v>109.97</v>
      </c>
      <c r="I943" s="26">
        <f t="shared" si="457"/>
        <v>1429.61</v>
      </c>
      <c r="J943" s="64">
        <f>'COMPOSIÇÃO DE CUSTOS'!G1757</f>
        <v>86.71</v>
      </c>
      <c r="K943" s="362">
        <v>102.02</v>
      </c>
      <c r="L943" s="65">
        <f t="shared" si="437"/>
        <v>-15.302999999999997</v>
      </c>
      <c r="M943" s="65">
        <f t="shared" si="433"/>
        <v>1127.3209999999999</v>
      </c>
      <c r="N943" s="65"/>
      <c r="O943" s="65">
        <f t="shared" si="434"/>
        <v>1429.61</v>
      </c>
      <c r="P943" s="65" t="e">
        <f>IF(B943&lt;&gt;0,VLOOKUP(B943,#REF!,2,FALSE),"")</f>
        <v>#REF!</v>
      </c>
      <c r="Q943" s="62">
        <v>10</v>
      </c>
      <c r="R943" s="62">
        <f t="shared" si="429"/>
        <v>-3</v>
      </c>
      <c r="AD943" s="221"/>
      <c r="AE943" s="481"/>
      <c r="AF943" s="481"/>
      <c r="AG943" s="481"/>
      <c r="AH943" s="481"/>
      <c r="AI943" s="873">
        <f t="shared" si="454"/>
        <v>96.6</v>
      </c>
      <c r="AJ943" s="26">
        <f t="shared" si="455"/>
        <v>122.5</v>
      </c>
      <c r="AK943" s="26">
        <f t="shared" si="456"/>
        <v>1592.5</v>
      </c>
      <c r="AL943" s="224"/>
    </row>
    <row r="944" spans="1:38" s="62" customFormat="1" ht="30">
      <c r="A944" s="25" t="s">
        <v>2679</v>
      </c>
      <c r="B944" s="24">
        <v>12047</v>
      </c>
      <c r="C944" s="23" t="s">
        <v>2545</v>
      </c>
      <c r="D944" s="25" t="s">
        <v>44</v>
      </c>
      <c r="E944" s="25" t="s">
        <v>17</v>
      </c>
      <c r="F944" s="26">
        <v>10</v>
      </c>
      <c r="G944" s="26">
        <f t="shared" si="435"/>
        <v>225.04599999999999</v>
      </c>
      <c r="H944" s="26">
        <f t="shared" si="453"/>
        <v>285.38</v>
      </c>
      <c r="I944" s="26">
        <f t="shared" si="457"/>
        <v>2853.8</v>
      </c>
      <c r="J944" s="64">
        <f>'COMPOSIÇÃO DE CUSTOS'!G1763</f>
        <v>225.05</v>
      </c>
      <c r="K944" s="362">
        <v>264.76</v>
      </c>
      <c r="L944" s="65">
        <f t="shared" si="437"/>
        <v>-39.713999999999999</v>
      </c>
      <c r="M944" s="65">
        <f t="shared" si="433"/>
        <v>2250.46</v>
      </c>
      <c r="N944" s="65"/>
      <c r="O944" s="65">
        <f t="shared" si="434"/>
        <v>2853.8</v>
      </c>
      <c r="P944" s="65" t="e">
        <f>IF(B944&lt;&gt;0,VLOOKUP(B944,#REF!,2,FALSE),"")</f>
        <v>#REF!</v>
      </c>
      <c r="R944" s="62">
        <f t="shared" si="429"/>
        <v>-10</v>
      </c>
      <c r="AD944" s="221"/>
      <c r="AE944" s="481"/>
      <c r="AF944" s="481"/>
      <c r="AG944" s="481"/>
      <c r="AH944" s="481"/>
      <c r="AI944" s="873">
        <f t="shared" si="454"/>
        <v>250.7</v>
      </c>
      <c r="AJ944" s="26">
        <f t="shared" si="455"/>
        <v>317.91000000000003</v>
      </c>
      <c r="AK944" s="26">
        <f t="shared" si="456"/>
        <v>3179.1</v>
      </c>
      <c r="AL944" s="224"/>
    </row>
    <row r="945" spans="1:40" s="62" customFormat="1">
      <c r="A945" s="25"/>
      <c r="B945" s="24"/>
      <c r="C945" s="23"/>
      <c r="D945" s="25"/>
      <c r="E945" s="25"/>
      <c r="F945" s="26"/>
      <c r="G945" s="26"/>
      <c r="H945" s="26"/>
      <c r="I945" s="26"/>
      <c r="J945" s="65" t="str">
        <f>IF(B945&lt;&gt;0,VLOOKUP(B945,#REF!,4,FALSE),"")</f>
        <v/>
      </c>
      <c r="K945" s="362" t="s">
        <v>1892</v>
      </c>
      <c r="L945" s="65"/>
      <c r="M945" s="65">
        <f t="shared" si="433"/>
        <v>0</v>
      </c>
      <c r="N945" s="65"/>
      <c r="O945" s="65">
        <f t="shared" si="434"/>
        <v>0</v>
      </c>
      <c r="P945" s="65" t="str">
        <f>IF(B945&lt;&gt;0,VLOOKUP(B945,#REF!,2,FALSE),"")</f>
        <v/>
      </c>
      <c r="R945" s="62">
        <f t="shared" si="429"/>
        <v>0</v>
      </c>
      <c r="AD945" s="221"/>
      <c r="AE945" s="481"/>
      <c r="AF945" s="481"/>
      <c r="AG945" s="481"/>
      <c r="AH945" s="481"/>
      <c r="AI945" s="552"/>
      <c r="AJ945" s="27"/>
      <c r="AK945" s="27"/>
      <c r="AL945" s="224"/>
    </row>
    <row r="946" spans="1:40" s="62" customFormat="1" ht="15" customHeight="1">
      <c r="A946" s="77" t="s">
        <v>1492</v>
      </c>
      <c r="B946" s="139"/>
      <c r="C946" s="340" t="s">
        <v>360</v>
      </c>
      <c r="D946" s="341"/>
      <c r="E946" s="341"/>
      <c r="F946" s="341"/>
      <c r="G946" s="26"/>
      <c r="H946" s="341"/>
      <c r="I946" s="96">
        <f>ROUND(SUM(I947:I948),2)</f>
        <v>5335</v>
      </c>
      <c r="J946" s="65" t="str">
        <f>IF(B946&lt;&gt;0,VLOOKUP(B946,#REF!,4,FALSE),"")</f>
        <v/>
      </c>
      <c r="K946" s="362" t="s">
        <v>1892</v>
      </c>
      <c r="L946" s="65"/>
      <c r="M946" s="65">
        <f t="shared" si="433"/>
        <v>0</v>
      </c>
      <c r="N946" s="65"/>
      <c r="O946" s="65">
        <f t="shared" si="434"/>
        <v>0</v>
      </c>
      <c r="P946" s="65" t="str">
        <f>IF(B946&lt;&gt;0,VLOOKUP(B946,#REF!,2,FALSE),"")</f>
        <v/>
      </c>
      <c r="Q946" s="62">
        <v>1204.29</v>
      </c>
      <c r="R946" s="62">
        <f t="shared" si="429"/>
        <v>1204.29</v>
      </c>
      <c r="AD946" s="221"/>
      <c r="AE946" s="481"/>
      <c r="AF946" s="481"/>
      <c r="AG946" s="481"/>
      <c r="AH946" s="481"/>
      <c r="AI946" s="855"/>
      <c r="AJ946" s="481"/>
      <c r="AK946" s="548">
        <f>ROUND(SUM(AK947:AK948),2)</f>
        <v>5937.15</v>
      </c>
      <c r="AL946" s="224"/>
    </row>
    <row r="947" spans="1:40" s="62" customFormat="1" ht="30">
      <c r="A947" s="25" t="s">
        <v>1493</v>
      </c>
      <c r="B947" s="24">
        <v>10832</v>
      </c>
      <c r="C947" s="23" t="s">
        <v>3093</v>
      </c>
      <c r="D947" s="25"/>
      <c r="E947" s="25" t="s">
        <v>26</v>
      </c>
      <c r="F947" s="26">
        <v>1204.29</v>
      </c>
      <c r="G947" s="26">
        <f t="shared" si="435"/>
        <v>1.5555000000000001</v>
      </c>
      <c r="H947" s="26">
        <f>ROUND(G947*(1+$J$13),2)</f>
        <v>1.97</v>
      </c>
      <c r="I947" s="26">
        <f t="shared" ref="I947:I948" si="458">ROUND(H947*F947,2)</f>
        <v>2372.4499999999998</v>
      </c>
      <c r="J947" s="64">
        <f>'COMPOSIÇÃO DE CUSTOS'!G1768</f>
        <v>1.56</v>
      </c>
      <c r="K947" s="362">
        <v>1.83</v>
      </c>
      <c r="L947" s="65">
        <f t="shared" si="437"/>
        <v>-0.27449999999999997</v>
      </c>
      <c r="M947" s="65">
        <f t="shared" si="433"/>
        <v>1873.273095</v>
      </c>
      <c r="N947" s="65"/>
      <c r="O947" s="65">
        <f t="shared" si="434"/>
        <v>2372.4512999999997</v>
      </c>
      <c r="P947" s="65" t="e">
        <f>IF(B947&lt;&gt;0,VLOOKUP(B947,#REF!,2,FALSE),"")</f>
        <v>#REF!</v>
      </c>
      <c r="Q947" s="62">
        <v>1204.29</v>
      </c>
      <c r="R947" s="62">
        <f t="shared" si="429"/>
        <v>0</v>
      </c>
      <c r="AD947" s="221"/>
      <c r="AE947" s="481"/>
      <c r="AF947" s="481"/>
      <c r="AG947" s="481"/>
      <c r="AH947" s="481"/>
      <c r="AI947" s="871">
        <f>ROUND(G947*$AM$11,2)</f>
        <v>1.73</v>
      </c>
      <c r="AJ947" s="158">
        <f>ROUND(AI947*(1+$J$13),2)</f>
        <v>2.19</v>
      </c>
      <c r="AK947" s="158">
        <f>ROUND(AJ947*F947,2)</f>
        <v>2637.4</v>
      </c>
      <c r="AL947" s="224"/>
    </row>
    <row r="948" spans="1:40" s="62" customFormat="1" ht="21" customHeight="1" thickBot="1">
      <c r="A948" s="162" t="s">
        <v>1494</v>
      </c>
      <c r="B948" s="160">
        <v>9537</v>
      </c>
      <c r="C948" s="161" t="s">
        <v>362</v>
      </c>
      <c r="D948" s="162" t="s">
        <v>1915</v>
      </c>
      <c r="E948" s="162" t="s">
        <v>26</v>
      </c>
      <c r="F948" s="155">
        <v>1204.29</v>
      </c>
      <c r="G948" s="26">
        <f t="shared" si="435"/>
        <v>1.9379999999999997</v>
      </c>
      <c r="H948" s="155">
        <f>ROUND(G948*(1+$J$13),2)</f>
        <v>2.46</v>
      </c>
      <c r="I948" s="155">
        <f t="shared" si="458"/>
        <v>2962.55</v>
      </c>
      <c r="J948" s="64">
        <f>'COMPOSIÇÃO DE CUSTOS'!G1774</f>
        <v>1.94</v>
      </c>
      <c r="K948" s="362">
        <v>2.2799999999999998</v>
      </c>
      <c r="L948" s="65">
        <f t="shared" si="437"/>
        <v>-0.34200000000000008</v>
      </c>
      <c r="M948" s="65">
        <f t="shared" si="433"/>
        <v>2333.9140199999997</v>
      </c>
      <c r="N948" s="65"/>
      <c r="O948" s="65">
        <f t="shared" si="434"/>
        <v>2962.5533999999998</v>
      </c>
      <c r="P948" s="65" t="e">
        <f>IF(B948&lt;&gt;0,VLOOKUP(B948,#REF!,2,FALSE),"")</f>
        <v>#REF!</v>
      </c>
      <c r="R948" s="62">
        <f>SUM(R15:R947)</f>
        <v>17980.855500000005</v>
      </c>
      <c r="AD948" s="221"/>
      <c r="AE948" s="481"/>
      <c r="AF948" s="481"/>
      <c r="AG948" s="481"/>
      <c r="AH948" s="481"/>
      <c r="AI948" s="871">
        <f>ROUND(G948*$AM$11,2)</f>
        <v>2.16</v>
      </c>
      <c r="AJ948" s="158">
        <f t="shared" ref="AJ948" si="459">ROUND(AI948*(1+$J$13),2)</f>
        <v>2.74</v>
      </c>
      <c r="AK948" s="158">
        <f>ROUND(AJ948*F948,2)</f>
        <v>3299.75</v>
      </c>
      <c r="AL948" s="224"/>
    </row>
    <row r="949" spans="1:40" s="62" customFormat="1" ht="15.75" customHeight="1">
      <c r="A949" s="402"/>
      <c r="B949" s="402"/>
      <c r="C949" s="412" t="s">
        <v>3465</v>
      </c>
      <c r="D949" s="412"/>
      <c r="E949" s="412"/>
      <c r="F949" s="412"/>
      <c r="G949" s="412"/>
      <c r="H949" s="419" t="s">
        <v>3455</v>
      </c>
      <c r="I949" s="73">
        <f>M949</f>
        <v>4083086.8148820009</v>
      </c>
      <c r="J949" s="74">
        <v>4803631.5999999996</v>
      </c>
      <c r="K949" s="367">
        <v>4803631.5999999996</v>
      </c>
      <c r="L949" s="65">
        <f t="shared" si="437"/>
        <v>-4803631.5999999996</v>
      </c>
      <c r="M949" s="398">
        <f>SUM(M21:M948)</f>
        <v>4083086.8148820009</v>
      </c>
      <c r="N949" s="389">
        <f>N883+N437</f>
        <v>516051.05650000012</v>
      </c>
      <c r="O949" s="397">
        <f>SUM(O21:O948)</f>
        <v>5106232.0426749978</v>
      </c>
      <c r="P949" s="21">
        <f>J949+'PLANILHA ORÇA - CORREGEDORIA'!I1146</f>
        <v>13455510.667930083</v>
      </c>
      <c r="AE949" s="27"/>
      <c r="AF949" s="27"/>
      <c r="AG949" s="27"/>
      <c r="AH949" s="27"/>
      <c r="AI949" s="27"/>
      <c r="AJ949" s="27"/>
      <c r="AK949" s="27"/>
      <c r="AL949" s="224"/>
    </row>
    <row r="950" spans="1:40" s="62" customFormat="1" ht="15" customHeight="1">
      <c r="A950" s="402"/>
      <c r="B950" s="402"/>
      <c r="C950" s="412" t="s">
        <v>3453</v>
      </c>
      <c r="D950" s="412"/>
      <c r="E950" s="412"/>
      <c r="F950" s="412"/>
      <c r="G950" s="412"/>
      <c r="H950" s="419" t="s">
        <v>3455</v>
      </c>
      <c r="I950" s="73">
        <f>O949-M949+0.02</f>
        <v>1023145.2477929969</v>
      </c>
      <c r="J950" s="74">
        <f>J951-J949</f>
        <v>302600.45999999996</v>
      </c>
      <c r="K950" s="367">
        <v>1203702.2000000002</v>
      </c>
      <c r="L950" s="65">
        <f t="shared" si="437"/>
        <v>-1203702.2000000002</v>
      </c>
      <c r="M950" s="390">
        <f>M949-N949</f>
        <v>3567035.758382001</v>
      </c>
      <c r="N950" s="399">
        <f>N949*J14</f>
        <v>96398.337354200019</v>
      </c>
      <c r="O950" s="67">
        <f>O949-M949+0.02</f>
        <v>1023145.2477929969</v>
      </c>
      <c r="P950" s="21">
        <f>J950+'PLANILHA ORÇA - CORREGEDORIA'!I1147</f>
        <v>2565431.6820699149</v>
      </c>
      <c r="AE950" s="27"/>
      <c r="AF950" s="27"/>
      <c r="AG950" s="27"/>
      <c r="AH950" s="27"/>
      <c r="AI950" s="27"/>
      <c r="AJ950" s="27"/>
      <c r="AK950" s="27"/>
      <c r="AL950" s="797"/>
      <c r="AM950" s="800"/>
    </row>
    <row r="951" spans="1:40" s="62" customFormat="1" ht="15" customHeight="1">
      <c r="A951" s="402"/>
      <c r="B951" s="402"/>
      <c r="C951" s="412" t="s">
        <v>3466</v>
      </c>
      <c r="D951" s="412"/>
      <c r="E951" s="412"/>
      <c r="F951" s="412"/>
      <c r="G951" s="412"/>
      <c r="H951" s="419" t="s">
        <v>3455</v>
      </c>
      <c r="I951" s="73">
        <f>ROUND(I946+I927+I923+I918+I906+I193+I186+I178+I167+I163+I155+I152+I149+I139+I134+I79+I63+I31+I19+I17+I15,2)</f>
        <v>5106232.0599999996</v>
      </c>
      <c r="J951" s="74">
        <f>ROUND(I946+I927+I923+I918+I906+I193+I186+I178+I167+I163+I155+I152+I149+I139+I134+I79+I63+I31+I19+I17+I15,2)</f>
        <v>5106232.0599999996</v>
      </c>
      <c r="K951" s="367">
        <v>6007333.7999999998</v>
      </c>
      <c r="L951" s="65">
        <f t="shared" si="437"/>
        <v>-6007333.7999999998</v>
      </c>
      <c r="M951" s="392">
        <f>M950*J13</f>
        <v>956322.28682221449</v>
      </c>
      <c r="N951" s="391"/>
      <c r="O951" s="67"/>
      <c r="P951" s="21"/>
      <c r="AE951" s="27"/>
      <c r="AF951" s="27"/>
      <c r="AG951" s="27"/>
      <c r="AH951" s="27"/>
      <c r="AI951" s="27"/>
      <c r="AJ951" s="27"/>
      <c r="AK951" s="73">
        <f>ROUND(AK946+AK927+AK923+AK918+AK906+AK193+AK186+AK178+AK167+AK163+AK155+AK152+AK149+AK139+AK134+AK79+AK63+AK31+AK19+AK17+AK15,2)</f>
        <v>4932535.67</v>
      </c>
      <c r="AL951" s="791"/>
    </row>
    <row r="952" spans="1:40" s="62" customFormat="1" ht="15" customHeight="1">
      <c r="A952" s="417"/>
      <c r="B952" s="417"/>
      <c r="C952" s="413"/>
      <c r="D952" s="413"/>
      <c r="E952" s="413"/>
      <c r="F952" s="413"/>
      <c r="G952" s="413"/>
      <c r="H952" s="420"/>
      <c r="I952" s="414"/>
      <c r="J952" s="418"/>
      <c r="K952" s="367"/>
      <c r="L952" s="65"/>
      <c r="M952" s="392"/>
      <c r="N952" s="391"/>
      <c r="O952" s="67"/>
      <c r="P952" s="21"/>
      <c r="AE952" s="27"/>
      <c r="AF952" s="27"/>
      <c r="AG952" s="27"/>
      <c r="AH952" s="27"/>
      <c r="AI952" s="27"/>
      <c r="AJ952" s="27"/>
      <c r="AK952" s="27"/>
      <c r="AL952" s="224"/>
    </row>
    <row r="953" spans="1:40" s="62" customFormat="1" ht="15" customHeight="1">
      <c r="A953" s="402"/>
      <c r="B953" s="402"/>
      <c r="C953" s="412" t="s">
        <v>3462</v>
      </c>
      <c r="D953" s="412"/>
      <c r="E953" s="412"/>
      <c r="F953" s="412"/>
      <c r="G953" s="412"/>
      <c r="H953" s="419" t="s">
        <v>3455</v>
      </c>
      <c r="I953" s="73">
        <f>'PLANILHA ORÇA - CORREGEDORIA'!I1148</f>
        <v>10914710.289999999</v>
      </c>
      <c r="J953" s="418"/>
      <c r="K953" s="367"/>
      <c r="L953" s="65"/>
      <c r="M953" s="392"/>
      <c r="N953" s="391"/>
      <c r="O953" s="67"/>
      <c r="P953" s="21"/>
      <c r="AE953" s="27"/>
      <c r="AF953" s="27"/>
      <c r="AG953" s="27"/>
      <c r="AH953" s="27"/>
      <c r="AI953" s="27"/>
      <c r="AJ953" s="886" t="s">
        <v>4124</v>
      </c>
      <c r="AK953" s="73">
        <f>'PLANILHA ORÇA - CORREGEDORIA'!BF1150</f>
        <v>14640716.559999999</v>
      </c>
      <c r="AL953" s="798">
        <f>AK953-I953</f>
        <v>3726006.2699999996</v>
      </c>
      <c r="AM953" s="890">
        <f>AL953/I953</f>
        <v>0.34137472924166823</v>
      </c>
      <c r="AN953" s="27"/>
    </row>
    <row r="954" spans="1:40" s="62" customFormat="1" ht="15" customHeight="1">
      <c r="A954" s="402"/>
      <c r="B954" s="402"/>
      <c r="C954" s="412" t="s">
        <v>3463</v>
      </c>
      <c r="D954" s="412"/>
      <c r="E954" s="412"/>
      <c r="F954" s="412"/>
      <c r="G954" s="412"/>
      <c r="H954" s="419" t="s">
        <v>3455</v>
      </c>
      <c r="I954" s="73">
        <f>I951</f>
        <v>5106232.0599999996</v>
      </c>
      <c r="J954" s="418"/>
      <c r="K954" s="367"/>
      <c r="L954" s="65"/>
      <c r="M954" s="392"/>
      <c r="N954" s="391"/>
      <c r="O954" s="67"/>
      <c r="P954" s="21"/>
      <c r="AE954" s="27"/>
      <c r="AF954" s="27"/>
      <c r="AG954" s="27"/>
      <c r="AH954" s="27"/>
      <c r="AI954" s="27"/>
      <c r="AJ954" s="874" t="s">
        <v>4115</v>
      </c>
      <c r="AK954" s="73">
        <f>AK951+AH970</f>
        <v>6173519.21</v>
      </c>
      <c r="AL954" s="798">
        <f>AK954-I954</f>
        <v>1067287.1500000004</v>
      </c>
      <c r="AM954" s="890">
        <f t="shared" ref="AM954:AM955" si="460">AL954/I954</f>
        <v>0.20901657767586859</v>
      </c>
      <c r="AN954" s="801"/>
    </row>
    <row r="955" spans="1:40" s="62" customFormat="1" ht="15" customHeight="1">
      <c r="A955" s="402"/>
      <c r="B955" s="402"/>
      <c r="C955" s="412" t="s">
        <v>3464</v>
      </c>
      <c r="D955" s="412"/>
      <c r="E955" s="412"/>
      <c r="F955" s="412"/>
      <c r="G955" s="412"/>
      <c r="H955" s="419" t="s">
        <v>3455</v>
      </c>
      <c r="I955" s="73">
        <f>I953+I954</f>
        <v>16020942.349999998</v>
      </c>
      <c r="J955" s="418"/>
      <c r="K955" s="367"/>
      <c r="L955" s="65"/>
      <c r="M955" s="392"/>
      <c r="N955" s="391"/>
      <c r="O955" s="67"/>
      <c r="P955" s="21"/>
      <c r="AE955" s="27"/>
      <c r="AF955" s="27"/>
      <c r="AG955" s="27"/>
      <c r="AH955" s="27"/>
      <c r="AI955" s="27"/>
      <c r="AJ955" s="73" t="s">
        <v>368</v>
      </c>
      <c r="AK955" s="73">
        <f>AK954+AK953</f>
        <v>20814235.77</v>
      </c>
      <c r="AL955" s="798">
        <f>AL953+AL954</f>
        <v>4793293.42</v>
      </c>
      <c r="AM955" s="890">
        <f t="shared" si="460"/>
        <v>0.29918923090064053</v>
      </c>
    </row>
    <row r="956" spans="1:40" s="62" customFormat="1" ht="15" customHeight="1">
      <c r="A956" s="417"/>
      <c r="B956" s="417"/>
      <c r="C956" s="421"/>
      <c r="D956" s="413"/>
      <c r="E956" s="413"/>
      <c r="F956" s="413"/>
      <c r="G956" s="413"/>
      <c r="H956" s="420"/>
      <c r="I956" s="414"/>
      <c r="J956" s="418"/>
      <c r="K956" s="367"/>
      <c r="L956" s="65"/>
      <c r="M956" s="392"/>
      <c r="N956" s="391"/>
      <c r="O956" s="67"/>
      <c r="P956" s="21"/>
      <c r="AE956" s="27"/>
      <c r="AF956" s="27"/>
      <c r="AG956" s="27"/>
      <c r="AH956" s="27"/>
      <c r="AI956" s="27"/>
      <c r="AJ956" s="27"/>
      <c r="AK956" s="27"/>
      <c r="AL956" s="791"/>
    </row>
    <row r="957" spans="1:40" s="62" customFormat="1" ht="15" customHeight="1">
      <c r="A957" s="417"/>
      <c r="B957" s="417"/>
      <c r="C957" s="423" t="s">
        <v>3469</v>
      </c>
      <c r="D957" s="413"/>
      <c r="E957" s="413"/>
      <c r="F957" s="413"/>
      <c r="G957" s="413"/>
      <c r="H957" s="420"/>
      <c r="I957" s="414"/>
      <c r="J957" s="418"/>
      <c r="K957" s="367"/>
      <c r="L957" s="65"/>
      <c r="M957" s="392"/>
      <c r="N957" s="391"/>
      <c r="O957" s="67"/>
      <c r="P957" s="21"/>
      <c r="AE957" s="27"/>
      <c r="AF957" s="27"/>
      <c r="AG957" s="27"/>
      <c r="AH957" s="27"/>
      <c r="AI957" s="27"/>
      <c r="AJ957" s="73" t="s">
        <v>4122</v>
      </c>
      <c r="AK957" s="73">
        <f>AK955-I955</f>
        <v>4793293.4200000018</v>
      </c>
      <c r="AL957" s="224"/>
    </row>
    <row r="958" spans="1:40" s="62" customFormat="1" ht="15" customHeight="1">
      <c r="A958" s="417"/>
      <c r="B958" s="417"/>
      <c r="C958" s="2" t="s">
        <v>3468</v>
      </c>
      <c r="D958" s="413"/>
      <c r="E958" s="413"/>
      <c r="F958" s="413"/>
      <c r="G958" s="413"/>
      <c r="H958" s="420"/>
      <c r="I958" s="414"/>
      <c r="J958" s="418"/>
      <c r="K958" s="367"/>
      <c r="L958" s="65"/>
      <c r="M958" s="392"/>
      <c r="N958" s="391"/>
      <c r="O958" s="67"/>
      <c r="P958" s="21"/>
      <c r="AE958" s="27"/>
      <c r="AF958" s="27"/>
      <c r="AG958" s="27"/>
      <c r="AH958" s="27"/>
      <c r="AI958" s="27"/>
      <c r="AJ958" s="73" t="s">
        <v>4123</v>
      </c>
      <c r="AK958" s="883">
        <f>AK957/I955</f>
        <v>0.29918923090064065</v>
      </c>
      <c r="AL958" s="224"/>
    </row>
    <row r="959" spans="1:40" s="62" customFormat="1" ht="15" customHeight="1">
      <c r="A959" s="417"/>
      <c r="B959" s="417"/>
      <c r="C959" s="2"/>
      <c r="D959" s="413"/>
      <c r="E959" s="413"/>
      <c r="F959" s="413"/>
      <c r="G959" s="413"/>
      <c r="H959" s="420"/>
      <c r="I959" s="414"/>
      <c r="J959" s="418"/>
      <c r="K959" s="367"/>
      <c r="L959" s="65"/>
      <c r="M959" s="392"/>
      <c r="N959" s="391"/>
      <c r="O959" s="67"/>
      <c r="P959" s="21"/>
      <c r="AE959" s="27"/>
      <c r="AF959" s="27"/>
      <c r="AG959" s="27"/>
      <c r="AH959" s="27"/>
      <c r="AI959" s="27"/>
      <c r="AJ959" s="27"/>
      <c r="AK959" s="27"/>
      <c r="AL959" s="224"/>
    </row>
    <row r="960" spans="1:40" s="62" customFormat="1" ht="15" customHeight="1">
      <c r="A960" s="417"/>
      <c r="B960" s="417"/>
      <c r="C960" s="2"/>
      <c r="D960" s="2"/>
      <c r="E960" s="2"/>
      <c r="F960" s="2"/>
      <c r="G960" s="2"/>
      <c r="H960" s="2"/>
      <c r="I960" s="414"/>
      <c r="J960" s="418"/>
      <c r="K960" s="367"/>
      <c r="L960" s="65"/>
      <c r="M960" s="392"/>
      <c r="N960" s="391"/>
      <c r="O960" s="67"/>
      <c r="P960" s="21"/>
      <c r="AE960" s="27"/>
      <c r="AF960" s="27"/>
      <c r="AG960" s="27"/>
      <c r="AH960" s="27"/>
      <c r="AI960" s="27"/>
      <c r="AJ960" s="27"/>
      <c r="AK960" s="27">
        <v>4788703.5199999996</v>
      </c>
      <c r="AL960" s="224"/>
    </row>
    <row r="961" spans="1:38" s="62" customFormat="1" ht="15" customHeight="1">
      <c r="A961" s="417"/>
      <c r="B961" s="417"/>
      <c r="C961" s="417" t="s">
        <v>3467</v>
      </c>
      <c r="D961" s="2"/>
      <c r="E961" s="2"/>
      <c r="F961" s="2"/>
      <c r="G961" s="2"/>
      <c r="H961" s="2"/>
      <c r="I961" s="414"/>
      <c r="J961" s="418"/>
      <c r="K961" s="367"/>
      <c r="L961" s="65"/>
      <c r="M961" s="392"/>
      <c r="N961" s="391"/>
      <c r="O961" s="67"/>
      <c r="P961" s="21"/>
      <c r="AE961" s="27"/>
      <c r="AF961" s="27"/>
      <c r="AG961" s="27"/>
      <c r="AH961" s="27"/>
      <c r="AI961" s="27"/>
      <c r="AJ961" s="27"/>
      <c r="AK961" s="27"/>
      <c r="AL961" s="224"/>
    </row>
    <row r="962" spans="1:38" s="62" customFormat="1" ht="15" customHeight="1">
      <c r="A962" s="417"/>
      <c r="B962" s="417"/>
      <c r="C962" s="422"/>
      <c r="D962" s="2"/>
      <c r="E962" s="2"/>
      <c r="F962" s="2"/>
      <c r="G962" s="2"/>
      <c r="H962" s="2"/>
      <c r="I962" s="414"/>
      <c r="J962" s="418"/>
      <c r="K962" s="367"/>
      <c r="L962" s="65"/>
      <c r="M962" s="392"/>
      <c r="N962" s="391"/>
      <c r="O962" s="67"/>
      <c r="P962" s="21"/>
      <c r="AE962" s="27"/>
      <c r="AF962" s="27"/>
      <c r="AG962" s="27"/>
      <c r="AH962" s="27"/>
      <c r="AI962" s="27"/>
      <c r="AJ962" s="27"/>
      <c r="AK962" s="27">
        <v>4793293.42</v>
      </c>
      <c r="AL962" s="224"/>
    </row>
    <row r="963" spans="1:38" s="62" customFormat="1" ht="15" customHeight="1">
      <c r="A963" s="417"/>
      <c r="B963" s="417"/>
      <c r="C963" s="417"/>
      <c r="D963" s="417"/>
      <c r="E963" s="417"/>
      <c r="F963" s="417"/>
      <c r="G963" s="417"/>
      <c r="H963" s="417"/>
      <c r="I963" s="414"/>
      <c r="J963" s="418"/>
      <c r="K963" s="367"/>
      <c r="L963" s="65"/>
      <c r="M963" s="392"/>
      <c r="N963" s="391"/>
      <c r="O963" s="67"/>
      <c r="P963" s="21"/>
      <c r="AE963" s="27"/>
      <c r="AF963" s="27"/>
      <c r="AG963" s="27"/>
      <c r="AH963" s="27"/>
      <c r="AI963" s="27"/>
      <c r="AJ963" s="27"/>
      <c r="AK963" s="27"/>
      <c r="AL963" s="224"/>
    </row>
    <row r="964" spans="1:38" s="62" customFormat="1" ht="15" hidden="1" customHeight="1">
      <c r="A964" s="417"/>
      <c r="B964" s="417"/>
      <c r="D964" s="417"/>
      <c r="E964" s="417"/>
      <c r="F964" s="417"/>
      <c r="G964" s="417"/>
      <c r="H964" s="417"/>
      <c r="I964" s="414"/>
      <c r="J964" s="418"/>
      <c r="K964" s="367"/>
      <c r="L964" s="65"/>
      <c r="M964" s="392"/>
      <c r="N964" s="391"/>
      <c r="O964" s="67"/>
      <c r="P964" s="21"/>
      <c r="AH964" s="27"/>
      <c r="AI964" s="27"/>
      <c r="AJ964" s="27"/>
      <c r="AK964" s="27"/>
      <c r="AL964" s="224"/>
    </row>
    <row r="965" spans="1:38" s="62" customFormat="1" ht="15" hidden="1" customHeight="1">
      <c r="A965" s="417"/>
      <c r="B965" s="417"/>
      <c r="C965" s="417"/>
      <c r="D965" s="417"/>
      <c r="E965" s="417"/>
      <c r="F965" s="417"/>
      <c r="G965" s="417"/>
      <c r="H965" s="417"/>
      <c r="I965" s="414"/>
      <c r="J965" s="418"/>
      <c r="K965" s="367"/>
      <c r="L965" s="65"/>
      <c r="M965" s="392"/>
      <c r="N965" s="391"/>
      <c r="O965" s="67"/>
      <c r="P965" s="21"/>
      <c r="AH965" s="27"/>
      <c r="AI965" s="27"/>
      <c r="AJ965" s="27"/>
      <c r="AK965" s="27"/>
      <c r="AL965" s="224"/>
    </row>
    <row r="966" spans="1:38" hidden="1">
      <c r="I966" s="227"/>
      <c r="L966" s="65"/>
      <c r="M966" s="390"/>
      <c r="N966" s="391"/>
      <c r="O966" s="67"/>
    </row>
    <row r="967" spans="1:38" hidden="1">
      <c r="I967" s="247"/>
      <c r="J967" s="388"/>
      <c r="M967" s="393"/>
      <c r="N967" s="394"/>
      <c r="O967" s="21"/>
    </row>
    <row r="968" spans="1:38" hidden="1">
      <c r="D968" s="2">
        <v>18792624.09</v>
      </c>
      <c r="H968" s="228"/>
      <c r="M968" s="393"/>
      <c r="N968" s="394"/>
      <c r="O968" s="21"/>
    </row>
    <row r="969" spans="1:38" ht="15.75" thickBot="1">
      <c r="H969" s="40"/>
      <c r="I969" s="225"/>
      <c r="L969" s="388"/>
      <c r="M969" s="395"/>
      <c r="N969" s="396"/>
      <c r="O969" s="21"/>
      <c r="AK969" s="27">
        <f>AK951-I951</f>
        <v>-173696.38999999966</v>
      </c>
    </row>
    <row r="970" spans="1:38">
      <c r="H970" s="228"/>
      <c r="AH970" s="73">
        <f>ROUND(AH946+AH927+AH923+AH918+AH906+AH193+AH186+AH178+AH167+AH163+AH155+AH152+AH149+AH139+AH134+AH79+AH63+AH31+AH19+AH17+AH15,2)</f>
        <v>1240983.54</v>
      </c>
    </row>
    <row r="971" spans="1:38">
      <c r="H971" s="40"/>
    </row>
  </sheetData>
  <mergeCells count="15">
    <mergeCell ref="AI13:AJ13"/>
    <mergeCell ref="AK13:AK14"/>
    <mergeCell ref="C7:E8"/>
    <mergeCell ref="C11:G11"/>
    <mergeCell ref="I13:I14"/>
    <mergeCell ref="A12:I12"/>
    <mergeCell ref="A13:A14"/>
    <mergeCell ref="B13:B14"/>
    <mergeCell ref="C13:C14"/>
    <mergeCell ref="D13:D14"/>
    <mergeCell ref="E13:E14"/>
    <mergeCell ref="F13:F14"/>
    <mergeCell ref="G13:H13"/>
    <mergeCell ref="AE13:AH13"/>
    <mergeCell ref="AE12:AK12"/>
  </mergeCells>
  <pageMargins left="0.39370078740157483" right="0.39370078740157483" top="1.9685039370078741" bottom="0.98425196850393704" header="0" footer="0"/>
  <pageSetup paperSize="9" scale="47" orientation="portrait" r:id="rId1"/>
  <rowBreaks count="1" manualBreakCount="1">
    <brk id="934" max="3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X245"/>
  <sheetViews>
    <sheetView view="pageBreakPreview" topLeftCell="A185" zoomScale="70" zoomScaleSheetLayoutView="70" workbookViewId="0">
      <selection activeCell="I192" sqref="I192"/>
    </sheetView>
  </sheetViews>
  <sheetFormatPr defaultColWidth="9.140625" defaultRowHeight="15"/>
  <cols>
    <col min="1" max="1" width="17.85546875" style="813" customWidth="1"/>
    <col min="2" max="2" width="52.140625" style="2" customWidth="1"/>
    <col min="3" max="3" width="12.42578125" style="2" customWidth="1"/>
    <col min="4" max="4" width="7.5703125" style="2" customWidth="1"/>
    <col min="5" max="5" width="12.42578125" style="2" customWidth="1"/>
    <col min="6" max="6" width="15.42578125" style="2" customWidth="1"/>
    <col min="7" max="7" width="15.7109375" style="2" customWidth="1"/>
    <col min="8" max="8" width="17.140625" style="2" customWidth="1"/>
    <col min="9" max="9" width="19.85546875" style="2" bestFit="1" customWidth="1"/>
    <col min="10" max="10" width="10.42578125" style="375" customWidth="1"/>
    <col min="11" max="11" width="10" style="2" customWidth="1"/>
    <col min="12" max="12" width="10.85546875" style="375" bestFit="1" customWidth="1"/>
    <col min="13" max="13" width="15.7109375" style="2" customWidth="1"/>
    <col min="14" max="14" width="17.140625" style="2" customWidth="1"/>
    <col min="15" max="15" width="17.140625" style="588" customWidth="1"/>
    <col min="16" max="17" width="17.140625" style="2" customWidth="1"/>
    <col min="18" max="19" width="15.42578125" style="2" customWidth="1"/>
    <col min="20" max="24" width="17.140625" style="2" customWidth="1"/>
    <col min="25" max="16384" width="9.140625" style="2"/>
  </cols>
  <sheetData>
    <row r="1" spans="1:24" ht="34.9" customHeight="1">
      <c r="A1" s="930" t="s">
        <v>4121</v>
      </c>
      <c r="B1" s="931"/>
      <c r="C1" s="931"/>
      <c r="D1" s="931"/>
      <c r="E1" s="931"/>
      <c r="F1" s="931"/>
      <c r="G1" s="931"/>
      <c r="H1" s="931"/>
      <c r="I1" s="932"/>
      <c r="M1" s="375"/>
      <c r="N1" s="375"/>
      <c r="O1" s="587"/>
      <c r="P1" s="375"/>
      <c r="Q1" s="375"/>
      <c r="R1" s="375"/>
      <c r="S1" s="375"/>
      <c r="T1" s="375"/>
      <c r="U1" s="375"/>
      <c r="V1" s="375"/>
      <c r="W1" s="375"/>
      <c r="X1" s="375"/>
    </row>
    <row r="2" spans="1:24">
      <c r="A2" s="933" t="s">
        <v>1829</v>
      </c>
      <c r="B2" s="934" t="s">
        <v>2969</v>
      </c>
      <c r="C2" s="934"/>
      <c r="D2" s="934"/>
      <c r="E2" s="935" t="s">
        <v>3422</v>
      </c>
      <c r="F2" s="936"/>
      <c r="G2" s="936"/>
      <c r="H2" s="936"/>
      <c r="I2" s="937"/>
      <c r="M2" s="375"/>
      <c r="N2" s="375"/>
      <c r="O2" s="587"/>
      <c r="P2" s="375"/>
      <c r="Q2" s="375"/>
      <c r="R2" s="375"/>
      <c r="S2" s="375"/>
      <c r="T2" s="375"/>
      <c r="U2" s="375"/>
      <c r="V2" s="375"/>
      <c r="W2" s="375"/>
      <c r="X2" s="375"/>
    </row>
    <row r="3" spans="1:24">
      <c r="A3" s="933"/>
      <c r="B3" s="934"/>
      <c r="C3" s="934"/>
      <c r="D3" s="934"/>
      <c r="E3" s="938"/>
      <c r="F3" s="939"/>
      <c r="G3" s="939"/>
      <c r="H3" s="939"/>
      <c r="I3" s="940"/>
      <c r="M3" s="375"/>
      <c r="N3" s="375"/>
      <c r="O3" s="587"/>
      <c r="P3" s="375"/>
      <c r="Q3" s="375"/>
      <c r="R3" s="375"/>
      <c r="S3" s="375"/>
      <c r="T3" s="375"/>
      <c r="U3" s="375"/>
      <c r="V3" s="375"/>
      <c r="W3" s="375"/>
      <c r="X3" s="375"/>
    </row>
    <row r="4" spans="1:24">
      <c r="A4" s="933" t="s">
        <v>1830</v>
      </c>
      <c r="B4" s="934" t="s">
        <v>3021</v>
      </c>
      <c r="C4" s="934"/>
      <c r="D4" s="934"/>
      <c r="E4" s="938"/>
      <c r="F4" s="939"/>
      <c r="G4" s="939"/>
      <c r="H4" s="939"/>
      <c r="I4" s="940"/>
      <c r="M4" s="375"/>
      <c r="N4" s="375"/>
      <c r="O4" s="587"/>
      <c r="P4" s="375"/>
      <c r="Q4" s="375"/>
      <c r="R4" s="375"/>
      <c r="S4" s="375"/>
      <c r="T4" s="375"/>
      <c r="U4" s="375"/>
      <c r="V4" s="375"/>
      <c r="W4" s="375"/>
      <c r="X4" s="375"/>
    </row>
    <row r="5" spans="1:24">
      <c r="A5" s="933"/>
      <c r="B5" s="934"/>
      <c r="C5" s="934"/>
      <c r="D5" s="934"/>
      <c r="E5" s="941"/>
      <c r="F5" s="942"/>
      <c r="G5" s="942"/>
      <c r="H5" s="942"/>
      <c r="I5" s="943"/>
      <c r="M5" s="375"/>
      <c r="N5" s="375"/>
      <c r="O5" s="587"/>
      <c r="P5" s="375"/>
      <c r="Q5" s="375"/>
      <c r="R5" s="375"/>
      <c r="S5" s="375"/>
      <c r="T5" s="375"/>
      <c r="U5" s="375"/>
      <c r="V5" s="375"/>
      <c r="W5" s="375"/>
      <c r="X5" s="375"/>
    </row>
    <row r="6" spans="1:24" ht="4.9000000000000004" customHeight="1"/>
    <row r="7" spans="1:24" ht="24.75" customHeight="1">
      <c r="A7" s="696"/>
      <c r="B7" s="4"/>
      <c r="C7" s="927"/>
      <c r="D7" s="928"/>
      <c r="E7" s="4"/>
      <c r="F7" s="231"/>
      <c r="G7" s="231"/>
      <c r="H7" s="4"/>
      <c r="I7" s="4"/>
      <c r="M7" s="231"/>
      <c r="N7" s="4"/>
      <c r="O7" s="426"/>
      <c r="P7" s="4"/>
      <c r="Q7" s="4"/>
      <c r="R7" s="231"/>
      <c r="S7" s="231"/>
      <c r="T7" s="4"/>
      <c r="U7" s="4"/>
      <c r="V7" s="231"/>
      <c r="W7" s="231"/>
      <c r="X7" s="231"/>
    </row>
    <row r="8" spans="1:24" s="27" customFormat="1" ht="24" customHeight="1">
      <c r="A8" s="920" t="s">
        <v>3918</v>
      </c>
      <c r="B8" s="921"/>
      <c r="C8" s="921"/>
      <c r="D8" s="921"/>
      <c r="E8" s="929"/>
      <c r="F8" s="835"/>
      <c r="G8" s="835"/>
      <c r="H8" s="75" t="s">
        <v>1915</v>
      </c>
      <c r="I8" s="82" t="s">
        <v>2046</v>
      </c>
      <c r="J8" s="365"/>
      <c r="L8" s="365"/>
      <c r="M8" s="835"/>
      <c r="N8" s="75"/>
      <c r="O8" s="75"/>
      <c r="P8" s="75"/>
      <c r="Q8" s="75"/>
      <c r="R8" s="835"/>
      <c r="S8" s="835"/>
      <c r="T8" s="75"/>
      <c r="U8" s="75"/>
      <c r="V8" s="75"/>
      <c r="W8" s="75"/>
      <c r="X8" s="75"/>
    </row>
    <row r="9" spans="1:24" s="27" customFormat="1" ht="45" customHeight="1">
      <c r="A9" s="77" t="s">
        <v>1917</v>
      </c>
      <c r="B9" s="838"/>
      <c r="C9" s="77" t="s">
        <v>3</v>
      </c>
      <c r="D9" s="77" t="s">
        <v>4</v>
      </c>
      <c r="E9" s="77" t="s">
        <v>1826</v>
      </c>
      <c r="F9" s="93" t="s">
        <v>3781</v>
      </c>
      <c r="G9" s="93" t="s">
        <v>3783</v>
      </c>
      <c r="H9" s="77" t="s">
        <v>367</v>
      </c>
      <c r="I9" s="26" t="s">
        <v>368</v>
      </c>
      <c r="J9" s="365"/>
      <c r="L9" s="365"/>
      <c r="M9" s="25" t="s">
        <v>4108</v>
      </c>
      <c r="N9" s="25" t="s">
        <v>4109</v>
      </c>
      <c r="O9" s="25" t="s">
        <v>3939</v>
      </c>
      <c r="P9" s="25" t="s">
        <v>4110</v>
      </c>
      <c r="Q9" s="25" t="s">
        <v>4111</v>
      </c>
      <c r="R9" s="25" t="s">
        <v>4112</v>
      </c>
      <c r="S9" s="25" t="s">
        <v>4113</v>
      </c>
      <c r="T9" s="25"/>
      <c r="U9" s="25"/>
      <c r="V9" s="25"/>
      <c r="W9" s="25"/>
      <c r="X9" s="25"/>
    </row>
    <row r="10" spans="1:24" s="27" customFormat="1" ht="30">
      <c r="A10" s="24">
        <v>4509</v>
      </c>
      <c r="B10" s="78" t="s">
        <v>392</v>
      </c>
      <c r="C10" s="25" t="s">
        <v>12</v>
      </c>
      <c r="D10" s="25" t="s">
        <v>52</v>
      </c>
      <c r="E10" s="26">
        <v>3.5</v>
      </c>
      <c r="F10" s="26">
        <f>AVERAGE(M10:X10)</f>
        <v>12</v>
      </c>
      <c r="G10" s="26">
        <f>ROUND(F10*E10,2)</f>
        <v>42</v>
      </c>
      <c r="H10" s="26"/>
      <c r="I10" s="26"/>
      <c r="J10" s="365">
        <v>2.7709999999999999</v>
      </c>
      <c r="L10" s="365"/>
      <c r="M10" s="93">
        <v>12</v>
      </c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4" s="27" customFormat="1" ht="30">
      <c r="A11" s="24">
        <v>5061</v>
      </c>
      <c r="B11" s="78" t="s">
        <v>386</v>
      </c>
      <c r="C11" s="25" t="s">
        <v>12</v>
      </c>
      <c r="D11" s="25" t="s">
        <v>45</v>
      </c>
      <c r="E11" s="26">
        <v>0.15</v>
      </c>
      <c r="F11" s="26">
        <f>13.5*1.17</f>
        <v>15.794999999999998</v>
      </c>
      <c r="G11" s="26">
        <f>ROUND(F11*E11,2)</f>
        <v>2.37</v>
      </c>
      <c r="H11" s="26"/>
      <c r="I11" s="26"/>
      <c r="J11" s="365">
        <v>15.725</v>
      </c>
      <c r="L11" s="365"/>
      <c r="M11" s="93"/>
      <c r="N11" s="93"/>
      <c r="O11" s="93"/>
      <c r="P11" s="93"/>
      <c r="Q11" s="93"/>
      <c r="R11" s="93">
        <v>21.65</v>
      </c>
      <c r="S11" s="93">
        <v>21.65</v>
      </c>
      <c r="T11" s="93"/>
      <c r="U11" s="93"/>
      <c r="V11" s="93"/>
      <c r="W11" s="93"/>
      <c r="X11" s="93"/>
    </row>
    <row r="12" spans="1:24" s="27" customFormat="1" ht="30">
      <c r="A12" s="24">
        <v>6189</v>
      </c>
      <c r="B12" s="78" t="s">
        <v>387</v>
      </c>
      <c r="C12" s="25" t="s">
        <v>12</v>
      </c>
      <c r="D12" s="25" t="s">
        <v>52</v>
      </c>
      <c r="E12" s="26">
        <v>3.4870000000000001</v>
      </c>
      <c r="F12" s="26">
        <f>AVERAGE(M12:X12)</f>
        <v>17</v>
      </c>
      <c r="G12" s="26">
        <f t="shared" ref="G12:G14" si="0">ROUND(F12*E12,2)</f>
        <v>59.28</v>
      </c>
      <c r="H12" s="26"/>
      <c r="I12" s="26"/>
      <c r="J12" s="365">
        <v>17.527000000000001</v>
      </c>
      <c r="L12" s="365"/>
      <c r="M12" s="93">
        <v>17</v>
      </c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4" s="27" customFormat="1" ht="30">
      <c r="A13" s="24">
        <v>88262</v>
      </c>
      <c r="B13" s="78" t="s">
        <v>376</v>
      </c>
      <c r="C13" s="25" t="s">
        <v>12</v>
      </c>
      <c r="D13" s="25" t="s">
        <v>19</v>
      </c>
      <c r="E13" s="26">
        <v>1.3</v>
      </c>
      <c r="F13" s="26">
        <f>17.6*0.85</f>
        <v>14.96</v>
      </c>
      <c r="G13" s="26">
        <f t="shared" si="0"/>
        <v>19.45</v>
      </c>
      <c r="H13" s="26"/>
      <c r="I13" s="26"/>
      <c r="J13" s="365">
        <v>14.96</v>
      </c>
      <c r="L13" s="365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4" s="27" customFormat="1" ht="30">
      <c r="A14" s="24">
        <v>88239</v>
      </c>
      <c r="B14" s="78" t="s">
        <v>393</v>
      </c>
      <c r="C14" s="25" t="s">
        <v>12</v>
      </c>
      <c r="D14" s="25" t="s">
        <v>19</v>
      </c>
      <c r="E14" s="26">
        <v>0.32500000000000001</v>
      </c>
      <c r="F14" s="26">
        <f>14.85*0.85</f>
        <v>12.622499999999999</v>
      </c>
      <c r="G14" s="26">
        <f t="shared" si="0"/>
        <v>4.0999999999999996</v>
      </c>
      <c r="H14" s="26"/>
      <c r="I14" s="26"/>
      <c r="J14" s="365">
        <v>12.622499999999999</v>
      </c>
      <c r="L14" s="365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4" s="27" customFormat="1" ht="15" customHeight="1">
      <c r="A15" s="917" t="s">
        <v>1894</v>
      </c>
      <c r="B15" s="918"/>
      <c r="C15" s="918"/>
      <c r="D15" s="918"/>
      <c r="E15" s="918"/>
      <c r="F15" s="926"/>
      <c r="G15" s="79">
        <f>SUM(G10:G14)</f>
        <v>127.2</v>
      </c>
      <c r="H15" s="836"/>
      <c r="I15" s="79">
        <f>SUM(I10:I14)</f>
        <v>0</v>
      </c>
      <c r="J15" s="365"/>
      <c r="L15" s="365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4" ht="15" customHeight="1">
      <c r="A16" s="53"/>
      <c r="B16" s="53"/>
      <c r="C16" s="53"/>
      <c r="D16" s="53"/>
      <c r="E16" s="53"/>
      <c r="F16" s="53"/>
      <c r="G16" s="54"/>
      <c r="H16" s="53"/>
      <c r="I16" s="54"/>
      <c r="M16" s="54"/>
      <c r="N16" s="53"/>
      <c r="O16" s="592"/>
      <c r="P16" s="53"/>
      <c r="Q16" s="53"/>
      <c r="R16" s="53"/>
      <c r="S16" s="53"/>
      <c r="T16" s="53"/>
      <c r="U16" s="53"/>
      <c r="V16" s="53"/>
      <c r="W16" s="53"/>
      <c r="X16" s="53"/>
    </row>
    <row r="17" spans="1:24" ht="15" customHeight="1">
      <c r="A17" s="53"/>
      <c r="B17" s="53"/>
      <c r="C17" s="53"/>
      <c r="D17" s="53"/>
      <c r="E17" s="53"/>
      <c r="F17" s="53"/>
      <c r="G17" s="54"/>
      <c r="H17" s="53"/>
      <c r="I17" s="54"/>
      <c r="M17" s="54"/>
      <c r="N17" s="53"/>
      <c r="O17" s="592"/>
      <c r="P17" s="53"/>
      <c r="Q17" s="53"/>
      <c r="R17" s="53"/>
      <c r="S17" s="53"/>
      <c r="T17" s="53"/>
      <c r="U17" s="53"/>
      <c r="V17" s="53"/>
      <c r="W17" s="53"/>
      <c r="X17" s="53"/>
    </row>
    <row r="18" spans="1:24" s="27" customFormat="1" ht="15" customHeight="1">
      <c r="A18" s="920" t="s">
        <v>3007</v>
      </c>
      <c r="B18" s="921"/>
      <c r="C18" s="921"/>
      <c r="D18" s="921"/>
      <c r="E18" s="929"/>
      <c r="F18" s="835"/>
      <c r="G18" s="835"/>
      <c r="H18" s="75" t="s">
        <v>12</v>
      </c>
      <c r="I18" s="82">
        <v>98459</v>
      </c>
      <c r="J18" s="365"/>
      <c r="L18" s="365"/>
      <c r="M18" s="835"/>
      <c r="N18" s="835"/>
      <c r="O18" s="835"/>
      <c r="P18" s="835"/>
      <c r="Q18" s="835"/>
      <c r="R18" s="835"/>
      <c r="S18" s="835"/>
      <c r="T18" s="835"/>
      <c r="U18" s="835"/>
      <c r="V18" s="835"/>
      <c r="W18" s="835"/>
      <c r="X18" s="835"/>
    </row>
    <row r="19" spans="1:24" s="27" customFormat="1" ht="45" customHeight="1">
      <c r="A19" s="77" t="s">
        <v>1917</v>
      </c>
      <c r="B19" s="838"/>
      <c r="C19" s="77" t="s">
        <v>3</v>
      </c>
      <c r="D19" s="77" t="s">
        <v>4</v>
      </c>
      <c r="E19" s="77" t="s">
        <v>1826</v>
      </c>
      <c r="F19" s="93" t="s">
        <v>3781</v>
      </c>
      <c r="G19" s="93" t="s">
        <v>3783</v>
      </c>
      <c r="H19" s="77" t="s">
        <v>367</v>
      </c>
      <c r="I19" s="26" t="s">
        <v>368</v>
      </c>
      <c r="J19" s="365"/>
      <c r="L19" s="365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s="27" customFormat="1" ht="45">
      <c r="A20" s="24" t="s">
        <v>3924</v>
      </c>
      <c r="B20" s="78" t="s">
        <v>3925</v>
      </c>
      <c r="C20" s="25" t="s">
        <v>12</v>
      </c>
      <c r="D20" s="25" t="s">
        <v>52</v>
      </c>
      <c r="E20" s="524">
        <v>1</v>
      </c>
      <c r="F20" s="26">
        <f>AVERAGE(M20:X20)</f>
        <v>17</v>
      </c>
      <c r="G20" s="26">
        <f>ROUND(F20*E20,2)</f>
        <v>17</v>
      </c>
      <c r="H20" s="26"/>
      <c r="I20" s="26"/>
      <c r="J20" s="365"/>
      <c r="L20" s="365"/>
      <c r="M20" s="835">
        <v>17</v>
      </c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</row>
    <row r="21" spans="1:24" s="27" customFormat="1" ht="45">
      <c r="A21" s="24" t="s">
        <v>3926</v>
      </c>
      <c r="B21" s="78" t="s">
        <v>3927</v>
      </c>
      <c r="C21" s="25" t="s">
        <v>12</v>
      </c>
      <c r="D21" s="25" t="s">
        <v>52</v>
      </c>
      <c r="E21" s="524">
        <v>1.2273000000000001</v>
      </c>
      <c r="F21" s="26">
        <f>AVERAGE(M21:X21)</f>
        <v>28</v>
      </c>
      <c r="G21" s="26">
        <f t="shared" ref="G21:G32" si="1">ROUND(F21*E21,2)</f>
        <v>34.36</v>
      </c>
      <c r="H21" s="26"/>
      <c r="I21" s="26"/>
      <c r="J21" s="365"/>
      <c r="L21" s="365"/>
      <c r="M21" s="835">
        <v>28</v>
      </c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</row>
    <row r="22" spans="1:24" s="27" customFormat="1" ht="30">
      <c r="A22" s="24" t="s">
        <v>3928</v>
      </c>
      <c r="B22" s="78" t="s">
        <v>386</v>
      </c>
      <c r="C22" s="25" t="s">
        <v>12</v>
      </c>
      <c r="D22" s="25" t="s">
        <v>45</v>
      </c>
      <c r="E22" s="524">
        <v>4.2799999999999998E-2</v>
      </c>
      <c r="F22" s="26">
        <f>13.5*1.17</f>
        <v>15.794999999999998</v>
      </c>
      <c r="G22" s="26">
        <f t="shared" si="1"/>
        <v>0.68</v>
      </c>
      <c r="H22" s="26"/>
      <c r="I22" s="26"/>
      <c r="J22" s="365"/>
      <c r="L22" s="365"/>
      <c r="M22" s="835"/>
      <c r="N22" s="835"/>
      <c r="O22" s="835"/>
      <c r="P22" s="835"/>
      <c r="Q22" s="835"/>
      <c r="R22" s="835">
        <v>21.65</v>
      </c>
      <c r="S22" s="835">
        <v>21.65</v>
      </c>
      <c r="T22" s="835"/>
      <c r="U22" s="835"/>
      <c r="V22" s="835"/>
      <c r="W22" s="835"/>
      <c r="X22" s="835"/>
    </row>
    <row r="23" spans="1:24" s="27" customFormat="1" ht="60">
      <c r="A23" s="24" t="s">
        <v>3929</v>
      </c>
      <c r="B23" s="78" t="s">
        <v>3930</v>
      </c>
      <c r="C23" s="25" t="s">
        <v>12</v>
      </c>
      <c r="D23" s="25" t="s">
        <v>26</v>
      </c>
      <c r="E23" s="524">
        <v>0.58530000000000004</v>
      </c>
      <c r="F23" s="26">
        <v>19.125</v>
      </c>
      <c r="G23" s="26">
        <f t="shared" si="1"/>
        <v>11.19</v>
      </c>
      <c r="H23" s="26"/>
      <c r="I23" s="26"/>
      <c r="J23" s="365"/>
      <c r="L23" s="365"/>
      <c r="M23" s="835"/>
      <c r="N23" s="835"/>
      <c r="O23" s="835"/>
      <c r="P23" s="835"/>
      <c r="Q23" s="835"/>
      <c r="R23" s="835">
        <f>53.17*1</f>
        <v>53.17</v>
      </c>
      <c r="S23" s="835">
        <f>53.17*1</f>
        <v>53.17</v>
      </c>
      <c r="T23" s="835"/>
      <c r="U23" s="835"/>
      <c r="V23" s="835"/>
      <c r="W23" s="835"/>
      <c r="X23" s="835"/>
    </row>
    <row r="24" spans="1:24" s="27" customFormat="1" ht="30">
      <c r="A24" s="24" t="s">
        <v>3909</v>
      </c>
      <c r="B24" s="78" t="s">
        <v>393</v>
      </c>
      <c r="C24" s="25" t="s">
        <v>12</v>
      </c>
      <c r="D24" s="25" t="s">
        <v>19</v>
      </c>
      <c r="E24" s="524">
        <v>0.18970000000000001</v>
      </c>
      <c r="F24" s="26">
        <f>14.85*0.85</f>
        <v>12.622499999999999</v>
      </c>
      <c r="G24" s="26">
        <f t="shared" si="1"/>
        <v>2.39</v>
      </c>
      <c r="H24" s="26"/>
      <c r="I24" s="26"/>
      <c r="J24" s="365"/>
      <c r="L24" s="365"/>
      <c r="M24" s="835"/>
      <c r="N24" s="835"/>
      <c r="O24" s="835"/>
      <c r="P24" s="835"/>
      <c r="Q24" s="835"/>
      <c r="R24" s="835"/>
      <c r="S24" s="835"/>
      <c r="T24" s="835"/>
      <c r="U24" s="835"/>
      <c r="V24" s="835"/>
      <c r="W24" s="835"/>
      <c r="X24" s="835"/>
    </row>
    <row r="25" spans="1:24" s="27" customFormat="1" ht="30">
      <c r="A25" s="24" t="s">
        <v>3910</v>
      </c>
      <c r="B25" s="78" t="s">
        <v>376</v>
      </c>
      <c r="C25" s="25" t="s">
        <v>12</v>
      </c>
      <c r="D25" s="25" t="s">
        <v>19</v>
      </c>
      <c r="E25" s="524">
        <v>0.56910000000000005</v>
      </c>
      <c r="F25" s="26">
        <f>17.6*0.85</f>
        <v>14.96</v>
      </c>
      <c r="G25" s="26">
        <f t="shared" si="1"/>
        <v>8.51</v>
      </c>
      <c r="H25" s="26"/>
      <c r="I25" s="26"/>
      <c r="J25" s="365"/>
      <c r="L25" s="365"/>
      <c r="M25" s="835"/>
      <c r="N25" s="835"/>
      <c r="O25" s="835"/>
      <c r="P25" s="835"/>
      <c r="Q25" s="835"/>
      <c r="R25" s="835"/>
      <c r="S25" s="835"/>
      <c r="T25" s="835"/>
      <c r="U25" s="835"/>
      <c r="V25" s="835"/>
      <c r="W25" s="835"/>
      <c r="X25" s="835"/>
    </row>
    <row r="26" spans="1:24" s="27" customFormat="1" ht="45">
      <c r="A26" s="24">
        <v>91692</v>
      </c>
      <c r="B26" s="78" t="s">
        <v>3932</v>
      </c>
      <c r="C26" s="25" t="s">
        <v>12</v>
      </c>
      <c r="D26" s="25" t="s">
        <v>388</v>
      </c>
      <c r="E26" s="524">
        <v>4.4000000000000003E-3</v>
      </c>
      <c r="F26" s="26">
        <f>0.85*24.45</f>
        <v>20.782499999999999</v>
      </c>
      <c r="G26" s="26">
        <f>ROUND(F26*E26,2)</f>
        <v>0.09</v>
      </c>
      <c r="H26" s="26"/>
      <c r="I26" s="26"/>
      <c r="J26" s="365"/>
      <c r="L26" s="365"/>
      <c r="M26" s="835"/>
      <c r="N26" s="835"/>
      <c r="O26" s="835"/>
      <c r="P26" s="835"/>
      <c r="Q26" s="835"/>
      <c r="R26" s="835"/>
      <c r="S26" s="835"/>
      <c r="T26" s="835"/>
      <c r="U26" s="835"/>
      <c r="V26" s="835"/>
      <c r="W26" s="835"/>
      <c r="X26" s="835"/>
    </row>
    <row r="27" spans="1:24" s="27" customFormat="1" ht="45">
      <c r="A27" s="24">
        <v>91693</v>
      </c>
      <c r="B27" s="78" t="s">
        <v>3934</v>
      </c>
      <c r="C27" s="25" t="s">
        <v>12</v>
      </c>
      <c r="D27" s="25" t="s">
        <v>389</v>
      </c>
      <c r="E27" s="524">
        <v>1.9099999999999999E-2</v>
      </c>
      <c r="F27" s="26">
        <f>0.85*23.01</f>
        <v>19.558500000000002</v>
      </c>
      <c r="G27" s="26">
        <f t="shared" si="1"/>
        <v>0.37</v>
      </c>
      <c r="H27" s="26"/>
      <c r="I27" s="26"/>
      <c r="J27" s="365"/>
      <c r="L27" s="365"/>
      <c r="M27" s="835"/>
      <c r="N27" s="835"/>
      <c r="O27" s="835"/>
      <c r="P27" s="835"/>
      <c r="Q27" s="835"/>
      <c r="R27" s="835"/>
      <c r="S27" s="835"/>
      <c r="T27" s="835"/>
      <c r="U27" s="835"/>
      <c r="V27" s="835"/>
      <c r="W27" s="835"/>
      <c r="X27" s="835"/>
    </row>
    <row r="28" spans="1:24" s="27" customFormat="1" ht="60">
      <c r="A28" s="24" t="s">
        <v>4049</v>
      </c>
      <c r="B28" s="78" t="s">
        <v>3935</v>
      </c>
      <c r="C28" s="25" t="s">
        <v>12</v>
      </c>
      <c r="D28" s="25" t="s">
        <v>35</v>
      </c>
      <c r="E28" s="524">
        <v>1.1999999999999999E-3</v>
      </c>
      <c r="F28" s="26"/>
      <c r="G28" s="26">
        <f t="shared" si="1"/>
        <v>0</v>
      </c>
      <c r="H28" s="26"/>
      <c r="I28" s="26"/>
      <c r="J28" s="365"/>
      <c r="L28" s="365"/>
      <c r="M28" s="835"/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</row>
    <row r="29" spans="1:24" s="27" customFormat="1" ht="30">
      <c r="A29" s="24" t="s">
        <v>3813</v>
      </c>
      <c r="B29" s="78" t="s">
        <v>396</v>
      </c>
      <c r="C29" s="25" t="s">
        <v>12</v>
      </c>
      <c r="D29" s="25" t="s">
        <v>35</v>
      </c>
      <c r="E29" s="524">
        <v>1.0245600000000001E-3</v>
      </c>
      <c r="F29" s="26">
        <f>AVERAGE(M29:X29)</f>
        <v>50</v>
      </c>
      <c r="G29" s="26">
        <f t="shared" si="1"/>
        <v>0.05</v>
      </c>
      <c r="H29" s="26"/>
      <c r="I29" s="26"/>
      <c r="J29" s="365"/>
      <c r="L29" s="365"/>
      <c r="M29" s="835"/>
      <c r="N29" s="835">
        <v>50</v>
      </c>
      <c r="O29" s="835"/>
      <c r="P29" s="835"/>
      <c r="Q29" s="835"/>
      <c r="R29" s="835"/>
      <c r="S29" s="835"/>
      <c r="T29" s="835"/>
      <c r="U29" s="835"/>
      <c r="V29" s="835"/>
      <c r="W29" s="835"/>
      <c r="X29" s="835"/>
    </row>
    <row r="30" spans="1:24" s="27" customFormat="1">
      <c r="A30" s="24" t="s">
        <v>3814</v>
      </c>
      <c r="B30" s="78" t="s">
        <v>397</v>
      </c>
      <c r="C30" s="25" t="s">
        <v>12</v>
      </c>
      <c r="D30" s="25" t="s">
        <v>45</v>
      </c>
      <c r="E30" s="524">
        <v>0.26271600000000001</v>
      </c>
      <c r="F30" s="26">
        <f>0.85*0.71</f>
        <v>0.60349999999999993</v>
      </c>
      <c r="G30" s="26">
        <f t="shared" si="1"/>
        <v>0.16</v>
      </c>
      <c r="H30" s="26"/>
      <c r="I30" s="26"/>
      <c r="J30" s="365"/>
      <c r="L30" s="365"/>
      <c r="M30" s="26"/>
      <c r="N30" s="26"/>
      <c r="O30" s="26"/>
      <c r="P30" s="26"/>
      <c r="Q30" s="26">
        <f>40.46/50</f>
        <v>0.80920000000000003</v>
      </c>
      <c r="R30" s="26"/>
      <c r="S30" s="26"/>
      <c r="T30" s="26"/>
      <c r="U30" s="26"/>
      <c r="V30" s="26"/>
      <c r="W30" s="26"/>
      <c r="X30" s="26"/>
    </row>
    <row r="31" spans="1:24" s="27" customFormat="1" ht="30">
      <c r="A31" s="24" t="s">
        <v>3815</v>
      </c>
      <c r="B31" s="78" t="s">
        <v>3820</v>
      </c>
      <c r="C31" s="25" t="s">
        <v>12</v>
      </c>
      <c r="D31" s="25" t="s">
        <v>35</v>
      </c>
      <c r="E31" s="524">
        <v>7.1652E-4</v>
      </c>
      <c r="F31" s="26">
        <v>165</v>
      </c>
      <c r="G31" s="26">
        <f t="shared" si="1"/>
        <v>0.12</v>
      </c>
      <c r="H31" s="26"/>
      <c r="I31" s="26"/>
      <c r="J31" s="365"/>
      <c r="L31" s="365"/>
      <c r="M31" s="835"/>
      <c r="N31" s="835">
        <v>165</v>
      </c>
      <c r="O31" s="835"/>
      <c r="P31" s="835"/>
      <c r="Q31" s="835"/>
      <c r="R31" s="835"/>
      <c r="S31" s="835"/>
      <c r="T31" s="835"/>
      <c r="U31" s="835"/>
      <c r="V31" s="835"/>
      <c r="W31" s="835"/>
      <c r="X31" s="835"/>
    </row>
    <row r="32" spans="1:24" s="27" customFormat="1">
      <c r="A32" s="24" t="s">
        <v>3816</v>
      </c>
      <c r="B32" s="78" t="s">
        <v>377</v>
      </c>
      <c r="C32" s="25" t="s">
        <v>12</v>
      </c>
      <c r="D32" s="25" t="s">
        <v>19</v>
      </c>
      <c r="E32" s="524">
        <v>7.5429599999999996E-3</v>
      </c>
      <c r="F32" s="26">
        <f>13.88*0.85</f>
        <v>11.798</v>
      </c>
      <c r="G32" s="26">
        <f t="shared" si="1"/>
        <v>0.09</v>
      </c>
      <c r="H32" s="26"/>
      <c r="I32" s="26"/>
      <c r="J32" s="365"/>
      <c r="L32" s="365"/>
      <c r="M32" s="835"/>
      <c r="N32" s="835"/>
      <c r="O32" s="835"/>
      <c r="P32" s="835"/>
      <c r="Q32" s="835"/>
      <c r="R32" s="835"/>
      <c r="S32" s="835"/>
      <c r="T32" s="835"/>
      <c r="U32" s="835"/>
      <c r="V32" s="835"/>
      <c r="W32" s="835"/>
      <c r="X32" s="835"/>
    </row>
    <row r="33" spans="1:24" s="27" customFormat="1" ht="15" customHeight="1">
      <c r="A33" s="917" t="s">
        <v>1894</v>
      </c>
      <c r="B33" s="918"/>
      <c r="C33" s="918"/>
      <c r="D33" s="918"/>
      <c r="E33" s="918"/>
      <c r="F33" s="926"/>
      <c r="G33" s="79">
        <f>SUM(G20:G32)</f>
        <v>75.010000000000005</v>
      </c>
      <c r="H33" s="836"/>
      <c r="I33" s="79"/>
      <c r="J33" s="365"/>
      <c r="L33" s="365"/>
      <c r="M33" s="835"/>
      <c r="N33" s="835"/>
      <c r="O33" s="835"/>
      <c r="P33" s="835"/>
      <c r="Q33" s="835"/>
      <c r="R33" s="835"/>
      <c r="S33" s="835"/>
      <c r="T33" s="835"/>
      <c r="U33" s="835"/>
      <c r="V33" s="835"/>
      <c r="W33" s="835"/>
      <c r="X33" s="835"/>
    </row>
    <row r="34" spans="1:24" ht="27" customHeight="1">
      <c r="A34" s="53"/>
      <c r="B34" s="53"/>
      <c r="C34" s="53"/>
      <c r="D34" s="53"/>
      <c r="E34" s="53"/>
      <c r="F34" s="53"/>
      <c r="G34" s="54"/>
      <c r="H34" s="53"/>
      <c r="I34" s="54"/>
      <c r="M34" s="54"/>
      <c r="N34" s="53"/>
      <c r="O34" s="592"/>
      <c r="P34" s="53"/>
      <c r="Q34" s="53"/>
      <c r="R34" s="53"/>
      <c r="S34" s="53"/>
      <c r="T34" s="53"/>
      <c r="U34" s="53"/>
      <c r="V34" s="53"/>
      <c r="W34" s="53"/>
      <c r="X34" s="53"/>
    </row>
    <row r="35" spans="1:24" ht="24.75" customHeight="1">
      <c r="A35" s="53"/>
      <c r="B35" s="53"/>
      <c r="C35" s="53"/>
      <c r="D35" s="53"/>
      <c r="E35" s="53"/>
      <c r="F35" s="53"/>
      <c r="G35" s="54"/>
      <c r="H35" s="53"/>
      <c r="I35" s="54"/>
      <c r="M35" s="54"/>
      <c r="N35" s="53"/>
      <c r="O35" s="592"/>
      <c r="P35" s="53"/>
      <c r="Q35" s="53"/>
      <c r="R35" s="53"/>
      <c r="S35" s="53"/>
      <c r="T35" s="53"/>
      <c r="U35" s="53"/>
      <c r="V35" s="53"/>
      <c r="W35" s="53"/>
      <c r="X35" s="53"/>
    </row>
    <row r="36" spans="1:24" s="27" customFormat="1" ht="27.75" customHeight="1">
      <c r="A36" s="920" t="s">
        <v>1527</v>
      </c>
      <c r="B36" s="921"/>
      <c r="C36" s="921"/>
      <c r="D36" s="921"/>
      <c r="E36" s="929"/>
      <c r="F36" s="835"/>
      <c r="G36" s="835"/>
      <c r="H36" s="75" t="s">
        <v>12</v>
      </c>
      <c r="I36" s="82">
        <v>96547</v>
      </c>
      <c r="J36" s="365"/>
      <c r="L36" s="365"/>
      <c r="M36" s="835"/>
      <c r="N36" s="75"/>
      <c r="O36" s="75"/>
      <c r="P36" s="75"/>
      <c r="Q36" s="75"/>
      <c r="R36" s="835"/>
      <c r="S36" s="835"/>
      <c r="T36" s="75"/>
      <c r="U36" s="75"/>
      <c r="V36" s="75"/>
      <c r="W36" s="75"/>
      <c r="X36" s="75"/>
    </row>
    <row r="37" spans="1:24" s="27" customFormat="1" ht="45" customHeight="1">
      <c r="A37" s="77" t="s">
        <v>1917</v>
      </c>
      <c r="B37" s="838"/>
      <c r="C37" s="77" t="s">
        <v>3</v>
      </c>
      <c r="D37" s="77" t="s">
        <v>4</v>
      </c>
      <c r="E37" s="77" t="s">
        <v>1826</v>
      </c>
      <c r="F37" s="93" t="s">
        <v>3781</v>
      </c>
      <c r="G37" s="93" t="s">
        <v>3783</v>
      </c>
      <c r="H37" s="77" t="s">
        <v>367</v>
      </c>
      <c r="I37" s="26" t="s">
        <v>368</v>
      </c>
      <c r="J37" s="365"/>
      <c r="L37" s="365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s="27" customFormat="1" ht="60">
      <c r="A38" s="24">
        <v>39017</v>
      </c>
      <c r="B38" s="78" t="s">
        <v>3806</v>
      </c>
      <c r="C38" s="25" t="s">
        <v>12</v>
      </c>
      <c r="D38" s="25" t="s">
        <v>4</v>
      </c>
      <c r="E38" s="91">
        <v>0.30599999999999999</v>
      </c>
      <c r="F38" s="26">
        <f>0.85*0.21</f>
        <v>0.17849999999999999</v>
      </c>
      <c r="G38" s="26">
        <f>ROUND(F38*E38,2)</f>
        <v>0.05</v>
      </c>
      <c r="H38" s="26">
        <f>J38</f>
        <v>0</v>
      </c>
      <c r="I38" s="26">
        <f>ROUND(H38*E38,2)</f>
        <v>0</v>
      </c>
      <c r="J38" s="365"/>
      <c r="L38" s="365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s="27" customFormat="1" ht="30">
      <c r="A39" s="24">
        <v>43132</v>
      </c>
      <c r="B39" s="78" t="s">
        <v>3807</v>
      </c>
      <c r="C39" s="25" t="s">
        <v>12</v>
      </c>
      <c r="D39" s="25" t="s">
        <v>45</v>
      </c>
      <c r="E39" s="91">
        <v>2.5000000000000001E-2</v>
      </c>
      <c r="F39" s="26">
        <f>17.9*1.17</f>
        <v>20.942999999999998</v>
      </c>
      <c r="G39" s="26">
        <f>ROUND(F39*E39,2)</f>
        <v>0.52</v>
      </c>
      <c r="H39" s="26">
        <f>J39</f>
        <v>0</v>
      </c>
      <c r="I39" s="26">
        <f>ROUND(H39*E39,2)</f>
        <v>0</v>
      </c>
      <c r="J39" s="365"/>
      <c r="L39" s="365"/>
      <c r="M39" s="26"/>
      <c r="N39" s="26"/>
      <c r="O39" s="26"/>
      <c r="P39" s="26"/>
      <c r="Q39" s="26"/>
      <c r="R39" s="26">
        <v>20.95</v>
      </c>
      <c r="S39" s="26">
        <v>20.95</v>
      </c>
      <c r="T39" s="26"/>
      <c r="U39" s="26"/>
      <c r="V39" s="26"/>
      <c r="W39" s="26"/>
      <c r="X39" s="26"/>
    </row>
    <row r="40" spans="1:24" s="27" customFormat="1" ht="15" customHeight="1">
      <c r="A40" s="24">
        <v>88238</v>
      </c>
      <c r="B40" s="78" t="s">
        <v>394</v>
      </c>
      <c r="C40" s="25" t="s">
        <v>12</v>
      </c>
      <c r="D40" s="25" t="s">
        <v>19</v>
      </c>
      <c r="E40" s="91">
        <v>2.1999999999999999E-2</v>
      </c>
      <c r="F40" s="26">
        <f>13.77*0.85</f>
        <v>11.704499999999999</v>
      </c>
      <c r="G40" s="26">
        <f>ROUND(F40*E40,2)</f>
        <v>0.26</v>
      </c>
      <c r="H40" s="26">
        <f>J40</f>
        <v>0</v>
      </c>
      <c r="I40" s="26">
        <f>ROUND(H40*E40,2)</f>
        <v>0</v>
      </c>
      <c r="J40" s="365"/>
      <c r="L40" s="365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 s="27" customFormat="1" ht="15" customHeight="1">
      <c r="A41" s="24">
        <v>88245</v>
      </c>
      <c r="B41" s="78" t="s">
        <v>395</v>
      </c>
      <c r="C41" s="25" t="s">
        <v>12</v>
      </c>
      <c r="D41" s="25" t="s">
        <v>19</v>
      </c>
      <c r="E41" s="91">
        <v>6.8000000000000005E-2</v>
      </c>
      <c r="F41" s="26">
        <f>17.7*0.85</f>
        <v>15.044999999999998</v>
      </c>
      <c r="G41" s="26">
        <f t="shared" ref="G41:G42" si="2">ROUND(F41*E41,2)</f>
        <v>1.02</v>
      </c>
      <c r="H41" s="26">
        <f>J41</f>
        <v>0</v>
      </c>
      <c r="I41" s="26">
        <f t="shared" ref="I41:I42" si="3">ROUND(H41*E41,2)</f>
        <v>0</v>
      </c>
      <c r="J41" s="365"/>
      <c r="L41" s="365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1:24" s="27" customFormat="1" ht="45">
      <c r="A42" s="24" t="s">
        <v>3951</v>
      </c>
      <c r="B42" s="78" t="s">
        <v>3809</v>
      </c>
      <c r="C42" s="25" t="s">
        <v>12</v>
      </c>
      <c r="D42" s="25" t="s">
        <v>45</v>
      </c>
      <c r="E42" s="26">
        <v>1</v>
      </c>
      <c r="F42" s="26"/>
      <c r="G42" s="26">
        <f t="shared" si="2"/>
        <v>0</v>
      </c>
      <c r="H42" s="26">
        <f>J42</f>
        <v>0</v>
      </c>
      <c r="I42" s="26">
        <f t="shared" si="3"/>
        <v>0</v>
      </c>
      <c r="J42" s="365"/>
      <c r="L42" s="365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spans="1:24" s="27" customFormat="1">
      <c r="A43" s="24" t="s">
        <v>3946</v>
      </c>
      <c r="B43" s="78" t="s">
        <v>3947</v>
      </c>
      <c r="C43" s="25" t="s">
        <v>12</v>
      </c>
      <c r="D43" s="25" t="s">
        <v>45</v>
      </c>
      <c r="E43" s="25" t="s">
        <v>3948</v>
      </c>
      <c r="F43" s="26">
        <f>9.24*1.17</f>
        <v>10.8108</v>
      </c>
      <c r="G43" s="26">
        <f>ROUND(F43*E43*$E$42,2)</f>
        <v>12</v>
      </c>
      <c r="H43" s="26"/>
      <c r="I43" s="26">
        <f>ROUND(H43*E43*$E$42,2)</f>
        <v>0</v>
      </c>
      <c r="J43" s="365"/>
      <c r="L43" s="365"/>
      <c r="M43" s="26"/>
      <c r="N43" s="26"/>
      <c r="O43" s="26"/>
      <c r="P43" s="26"/>
      <c r="Q43" s="26"/>
      <c r="R43" s="26">
        <v>10.87</v>
      </c>
      <c r="S43" s="26">
        <v>11.36</v>
      </c>
      <c r="T43" s="26"/>
      <c r="U43" s="26"/>
      <c r="V43" s="26"/>
      <c r="W43" s="26"/>
      <c r="X43" s="26"/>
    </row>
    <row r="44" spans="1:24" s="27" customFormat="1" ht="30">
      <c r="A44" s="24" t="s">
        <v>3914</v>
      </c>
      <c r="B44" s="78" t="s">
        <v>394</v>
      </c>
      <c r="C44" s="25" t="s">
        <v>12</v>
      </c>
      <c r="D44" s="25" t="s">
        <v>19</v>
      </c>
      <c r="E44" s="25" t="s">
        <v>3949</v>
      </c>
      <c r="F44" s="26">
        <f>13.77*0.85</f>
        <v>11.704499999999999</v>
      </c>
      <c r="G44" s="26">
        <f>ROUND(F44*E44*$E$42,2)</f>
        <v>0.01</v>
      </c>
      <c r="H44" s="26"/>
      <c r="I44" s="26">
        <f>ROUND(H44*E44*$E$42,2)</f>
        <v>0</v>
      </c>
      <c r="J44" s="365"/>
      <c r="L44" s="365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spans="1:24" s="27" customFormat="1">
      <c r="A45" s="24" t="s">
        <v>3915</v>
      </c>
      <c r="B45" s="78" t="s">
        <v>395</v>
      </c>
      <c r="C45" s="25" t="s">
        <v>12</v>
      </c>
      <c r="D45" s="25" t="s">
        <v>19</v>
      </c>
      <c r="E45" s="25" t="s">
        <v>3950</v>
      </c>
      <c r="F45" s="26">
        <f>17.7*0.85</f>
        <v>15.044999999999998</v>
      </c>
      <c r="G45" s="26">
        <f>ROUND(F45*E45*$E$42,2)</f>
        <v>0.11</v>
      </c>
      <c r="H45" s="26"/>
      <c r="I45" s="26">
        <f>ROUND(H45*E45*$E$42,2)</f>
        <v>0</v>
      </c>
      <c r="J45" s="365"/>
      <c r="L45" s="365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 spans="1:24" s="27" customFormat="1" ht="27.75" customHeight="1">
      <c r="A46" s="923" t="s">
        <v>1894</v>
      </c>
      <c r="B46" s="924"/>
      <c r="C46" s="924"/>
      <c r="D46" s="924"/>
      <c r="E46" s="924"/>
      <c r="F46" s="925"/>
      <c r="G46" s="96">
        <f>SUM(G38:G45)</f>
        <v>13.969999999999999</v>
      </c>
      <c r="H46" s="836"/>
      <c r="I46" s="79"/>
      <c r="J46" s="365"/>
      <c r="L46" s="365"/>
      <c r="M46" s="54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</row>
    <row r="47" spans="1:24" ht="27.75" customHeight="1">
      <c r="A47" s="53"/>
      <c r="B47" s="53"/>
      <c r="C47" s="53"/>
      <c r="D47" s="53"/>
      <c r="E47" s="53"/>
      <c r="F47" s="53"/>
      <c r="G47" s="54"/>
      <c r="H47" s="53"/>
      <c r="I47" s="79"/>
      <c r="M47" s="54"/>
      <c r="N47" s="53"/>
      <c r="O47" s="592"/>
      <c r="P47" s="53"/>
      <c r="Q47" s="53"/>
      <c r="R47" s="53"/>
      <c r="S47" s="53"/>
      <c r="T47" s="53"/>
      <c r="U47" s="53"/>
      <c r="V47" s="53"/>
      <c r="W47" s="53"/>
      <c r="X47" s="53"/>
    </row>
    <row r="48" spans="1:24" s="27" customFormat="1" ht="39" customHeight="1">
      <c r="A48" s="920" t="s">
        <v>1528</v>
      </c>
      <c r="B48" s="921"/>
      <c r="C48" s="921"/>
      <c r="D48" s="921"/>
      <c r="E48" s="929"/>
      <c r="F48" s="835"/>
      <c r="G48" s="835"/>
      <c r="H48" s="75" t="s">
        <v>12</v>
      </c>
      <c r="I48" s="82">
        <v>96548</v>
      </c>
      <c r="J48" s="365"/>
      <c r="L48" s="365"/>
      <c r="M48" s="26"/>
      <c r="N48" s="77"/>
      <c r="O48" s="77"/>
      <c r="P48" s="77"/>
      <c r="Q48" s="77"/>
      <c r="R48" s="26"/>
      <c r="S48" s="26"/>
      <c r="T48" s="77"/>
      <c r="U48" s="77"/>
      <c r="V48" s="77"/>
      <c r="W48" s="77"/>
      <c r="X48" s="77"/>
    </row>
    <row r="49" spans="1:24" ht="15" hidden="1" customHeight="1">
      <c r="A49" s="920" t="s">
        <v>1528</v>
      </c>
      <c r="B49" s="921"/>
      <c r="C49" s="921"/>
      <c r="D49" s="921"/>
      <c r="E49" s="929"/>
      <c r="F49" s="812"/>
      <c r="G49" s="812"/>
      <c r="H49" s="75" t="s">
        <v>12</v>
      </c>
      <c r="I49" s="77" t="s">
        <v>368</v>
      </c>
      <c r="M49" s="93"/>
      <c r="N49" s="77"/>
      <c r="O49" s="590"/>
      <c r="P49" s="77"/>
      <c r="Q49" s="77"/>
      <c r="R49" s="93"/>
      <c r="S49" s="93"/>
      <c r="T49" s="77"/>
      <c r="U49" s="77"/>
      <c r="V49" s="77"/>
      <c r="W49" s="77"/>
      <c r="X49" s="77"/>
    </row>
    <row r="50" spans="1:24" ht="45" customHeight="1">
      <c r="A50" s="77" t="s">
        <v>1917</v>
      </c>
      <c r="B50" s="809"/>
      <c r="C50" s="77" t="s">
        <v>3</v>
      </c>
      <c r="D50" s="77" t="s">
        <v>4</v>
      </c>
      <c r="E50" s="805" t="s">
        <v>1826</v>
      </c>
      <c r="F50" s="812" t="s">
        <v>3781</v>
      </c>
      <c r="G50" s="812" t="s">
        <v>3783</v>
      </c>
      <c r="H50" s="806" t="s">
        <v>367</v>
      </c>
      <c r="I50" s="26">
        <f>ROUND(H51*E51,2)</f>
        <v>0</v>
      </c>
      <c r="M50" s="26"/>
      <c r="N50" s="26"/>
      <c r="O50" s="595"/>
      <c r="P50" s="26"/>
      <c r="Q50" s="26"/>
      <c r="R50" s="26"/>
      <c r="S50" s="26"/>
      <c r="T50" s="26"/>
      <c r="U50" s="26"/>
      <c r="V50" s="26"/>
      <c r="W50" s="26"/>
      <c r="X50" s="26"/>
    </row>
    <row r="51" spans="1:24" s="27" customFormat="1" ht="60">
      <c r="A51" s="24">
        <v>39017</v>
      </c>
      <c r="B51" s="78" t="s">
        <v>3806</v>
      </c>
      <c r="C51" s="25" t="s">
        <v>12</v>
      </c>
      <c r="D51" s="25" t="s">
        <v>4</v>
      </c>
      <c r="E51" s="92">
        <v>0.19750000000000001</v>
      </c>
      <c r="F51" s="26">
        <f>0.85*0.21</f>
        <v>0.17849999999999999</v>
      </c>
      <c r="G51" s="159">
        <f>ROUND(F51*E51,2)</f>
        <v>0.04</v>
      </c>
      <c r="H51" s="26">
        <f>J50</f>
        <v>0</v>
      </c>
      <c r="I51" s="26">
        <f>ROUND(H51*E51,2)</f>
        <v>0</v>
      </c>
      <c r="J51" s="365"/>
      <c r="L51" s="365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s="27" customFormat="1" ht="30">
      <c r="A52" s="24">
        <v>43132</v>
      </c>
      <c r="B52" s="78" t="s">
        <v>3807</v>
      </c>
      <c r="C52" s="25" t="s">
        <v>12</v>
      </c>
      <c r="D52" s="25" t="s">
        <v>45</v>
      </c>
      <c r="E52" s="91">
        <v>2.5000000000000001E-2</v>
      </c>
      <c r="F52" s="26">
        <f>17.9*1.17</f>
        <v>20.942999999999998</v>
      </c>
      <c r="G52" s="26">
        <f>ROUND(F52*E52,2)</f>
        <v>0.52</v>
      </c>
      <c r="H52" s="26">
        <f>J51</f>
        <v>0</v>
      </c>
      <c r="I52" s="26">
        <f>ROUND(H52*E52,2)</f>
        <v>0</v>
      </c>
      <c r="J52" s="365"/>
      <c r="L52" s="365"/>
      <c r="M52" s="26"/>
      <c r="N52" s="26"/>
      <c r="O52" s="26"/>
      <c r="P52" s="26"/>
      <c r="Q52" s="26"/>
      <c r="R52" s="26">
        <v>20.95</v>
      </c>
      <c r="S52" s="26">
        <v>20.95</v>
      </c>
      <c r="T52" s="26"/>
      <c r="U52" s="26"/>
      <c r="V52" s="26"/>
      <c r="W52" s="26"/>
      <c r="X52" s="26"/>
    </row>
    <row r="53" spans="1:24" s="27" customFormat="1" ht="30">
      <c r="A53" s="24">
        <v>88238</v>
      </c>
      <c r="B53" s="78" t="s">
        <v>394</v>
      </c>
      <c r="C53" s="25" t="s">
        <v>12</v>
      </c>
      <c r="D53" s="25" t="s">
        <v>19</v>
      </c>
      <c r="E53" s="92">
        <v>1.6E-2</v>
      </c>
      <c r="F53" s="26">
        <f>F40</f>
        <v>11.704499999999999</v>
      </c>
      <c r="G53" s="26">
        <f>ROUND(F53*E53,2)</f>
        <v>0.19</v>
      </c>
      <c r="H53" s="26">
        <f>J52</f>
        <v>0</v>
      </c>
      <c r="I53" s="26">
        <f t="shared" ref="I53:I55" si="4">ROUND(H53*E53,2)</f>
        <v>0</v>
      </c>
      <c r="J53" s="365"/>
      <c r="L53" s="365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s="27" customFormat="1">
      <c r="A54" s="24">
        <v>88245</v>
      </c>
      <c r="B54" s="78" t="s">
        <v>395</v>
      </c>
      <c r="C54" s="25" t="s">
        <v>12</v>
      </c>
      <c r="D54" s="25" t="s">
        <v>19</v>
      </c>
      <c r="E54" s="92">
        <v>4.9500000000000002E-2</v>
      </c>
      <c r="F54" s="26">
        <f>F41</f>
        <v>15.044999999999998</v>
      </c>
      <c r="G54" s="26">
        <f>ROUND(F54*E54,2)</f>
        <v>0.74</v>
      </c>
      <c r="H54" s="26">
        <f>J53</f>
        <v>0</v>
      </c>
      <c r="I54" s="26">
        <f t="shared" si="4"/>
        <v>0</v>
      </c>
      <c r="J54" s="365"/>
      <c r="L54" s="365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s="27" customFormat="1" ht="45">
      <c r="A55" s="24" t="s">
        <v>3953</v>
      </c>
      <c r="B55" s="78" t="s">
        <v>3810</v>
      </c>
      <c r="C55" s="25" t="s">
        <v>12</v>
      </c>
      <c r="D55" s="25" t="s">
        <v>45</v>
      </c>
      <c r="E55" s="26">
        <v>1</v>
      </c>
      <c r="F55" s="26"/>
      <c r="G55" s="26">
        <f>ROUND(F55*E55,2)</f>
        <v>0</v>
      </c>
      <c r="H55" s="26">
        <f>J54</f>
        <v>0</v>
      </c>
      <c r="I55" s="26">
        <f t="shared" si="4"/>
        <v>0</v>
      </c>
      <c r="J55" s="365"/>
      <c r="L55" s="365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s="27" customFormat="1" ht="23.25" customHeight="1">
      <c r="A56" s="24" t="s">
        <v>3946</v>
      </c>
      <c r="B56" s="78" t="s">
        <v>3947</v>
      </c>
      <c r="C56" s="25" t="s">
        <v>12</v>
      </c>
      <c r="D56" s="25" t="s">
        <v>45</v>
      </c>
      <c r="E56" s="25" t="s">
        <v>3948</v>
      </c>
      <c r="F56" s="26">
        <f>9.24*1.17</f>
        <v>10.8108</v>
      </c>
      <c r="G56" s="26">
        <f>ROUND(F56*E56*$E$55,2)</f>
        <v>12</v>
      </c>
      <c r="H56" s="26">
        <f t="shared" ref="H56:H57" si="5">J55</f>
        <v>0</v>
      </c>
      <c r="I56" s="26">
        <f>ROUND(H56*E56*$E$55,2)</f>
        <v>0</v>
      </c>
      <c r="J56" s="365"/>
      <c r="L56" s="365"/>
      <c r="M56" s="26"/>
      <c r="N56" s="26"/>
      <c r="O56" s="26"/>
      <c r="P56" s="26"/>
      <c r="Q56" s="26"/>
      <c r="R56" s="26">
        <v>10.87</v>
      </c>
      <c r="S56" s="26">
        <v>11.36</v>
      </c>
      <c r="T56" s="26"/>
      <c r="U56" s="26"/>
      <c r="V56" s="26"/>
      <c r="W56" s="26"/>
      <c r="X56" s="26"/>
    </row>
    <row r="57" spans="1:24" s="27" customFormat="1" ht="25.5" customHeight="1">
      <c r="A57" s="24" t="s">
        <v>3915</v>
      </c>
      <c r="B57" s="78" t="s">
        <v>395</v>
      </c>
      <c r="C57" s="25" t="s">
        <v>12</v>
      </c>
      <c r="D57" s="25" t="s">
        <v>19</v>
      </c>
      <c r="E57" s="25" t="s">
        <v>3952</v>
      </c>
      <c r="F57" s="26">
        <f>17.7*0.85*'PLANILHA ORÇA - CORREGEDORIA'!$BH$19</f>
        <v>16.760255845920241</v>
      </c>
      <c r="G57" s="26">
        <f>ROUND(F57*E57*$E$55,2)</f>
        <v>0.06</v>
      </c>
      <c r="H57" s="26">
        <f t="shared" si="5"/>
        <v>0</v>
      </c>
      <c r="I57" s="26">
        <f>ROUND(H57*E57*E55,2)</f>
        <v>0</v>
      </c>
      <c r="J57" s="365"/>
      <c r="L57" s="365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s="27" customFormat="1" ht="23.25" customHeight="1">
      <c r="A58" s="923" t="s">
        <v>1894</v>
      </c>
      <c r="B58" s="924"/>
      <c r="C58" s="924"/>
      <c r="D58" s="924"/>
      <c r="E58" s="924"/>
      <c r="F58" s="925"/>
      <c r="G58" s="96">
        <f>SUM(G51:G57)</f>
        <v>13.55</v>
      </c>
      <c r="H58" s="836"/>
      <c r="I58" s="79">
        <f>SUM(I51:I57)</f>
        <v>0</v>
      </c>
      <c r="J58" s="365"/>
      <c r="L58" s="365"/>
      <c r="M58" s="54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</row>
    <row r="59" spans="1:24" ht="34.5" customHeight="1">
      <c r="A59" s="53"/>
      <c r="B59" s="53"/>
      <c r="C59" s="53"/>
      <c r="D59" s="53"/>
      <c r="E59" s="53"/>
      <c r="F59" s="53"/>
      <c r="G59" s="54"/>
      <c r="H59" s="53"/>
      <c r="I59" s="82"/>
      <c r="M59" s="812"/>
      <c r="N59" s="75"/>
      <c r="O59" s="589"/>
      <c r="P59" s="75"/>
      <c r="Q59" s="75"/>
      <c r="R59" s="816"/>
      <c r="S59" s="816"/>
      <c r="T59" s="75"/>
      <c r="U59" s="75"/>
      <c r="V59" s="75"/>
      <c r="W59" s="75"/>
      <c r="X59" s="75"/>
    </row>
    <row r="60" spans="1:24" s="27" customFormat="1" ht="38.25" customHeight="1">
      <c r="A60" s="920" t="s">
        <v>2496</v>
      </c>
      <c r="B60" s="921"/>
      <c r="C60" s="921"/>
      <c r="D60" s="921"/>
      <c r="E60" s="929"/>
      <c r="F60" s="835"/>
      <c r="G60" s="835"/>
      <c r="H60" s="75" t="s">
        <v>12</v>
      </c>
      <c r="I60" s="77" t="s">
        <v>368</v>
      </c>
      <c r="J60" s="365"/>
      <c r="L60" s="365"/>
      <c r="M60" s="93"/>
      <c r="N60" s="77"/>
      <c r="O60" s="77"/>
      <c r="P60" s="77"/>
      <c r="Q60" s="77"/>
      <c r="R60" s="93"/>
      <c r="S60" s="93"/>
      <c r="T60" s="77"/>
      <c r="U60" s="77"/>
      <c r="V60" s="77"/>
      <c r="W60" s="77"/>
      <c r="X60" s="77"/>
    </row>
    <row r="61" spans="1:24" s="27" customFormat="1" ht="52.5" customHeight="1">
      <c r="A61" s="77" t="s">
        <v>1917</v>
      </c>
      <c r="B61" s="838"/>
      <c r="C61" s="77" t="s">
        <v>3</v>
      </c>
      <c r="D61" s="77" t="s">
        <v>4</v>
      </c>
      <c r="E61" s="77" t="s">
        <v>1826</v>
      </c>
      <c r="F61" s="93" t="s">
        <v>3781</v>
      </c>
      <c r="G61" s="93" t="s">
        <v>3783</v>
      </c>
      <c r="H61" s="77" t="s">
        <v>367</v>
      </c>
      <c r="I61" s="26" t="e">
        <f>ROUND(H61*E61,2)</f>
        <v>#VALUE!</v>
      </c>
      <c r="J61" s="365"/>
      <c r="L61" s="365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s="27" customFormat="1" ht="30">
      <c r="A62" s="24" t="s">
        <v>3813</v>
      </c>
      <c r="B62" s="78" t="s">
        <v>396</v>
      </c>
      <c r="C62" s="25" t="s">
        <v>12</v>
      </c>
      <c r="D62" s="25" t="s">
        <v>35</v>
      </c>
      <c r="E62" s="524">
        <v>0.70779999999999998</v>
      </c>
      <c r="F62" s="26">
        <f>N62</f>
        <v>50</v>
      </c>
      <c r="G62" s="26">
        <f>ROUND(F62*E62,2)</f>
        <v>35.39</v>
      </c>
      <c r="H62" s="26">
        <f>J61</f>
        <v>0</v>
      </c>
      <c r="I62" s="26">
        <f t="shared" ref="I62:I66" si="6">ROUND(H62*E62,2)</f>
        <v>0</v>
      </c>
      <c r="J62" s="365"/>
      <c r="L62" s="365"/>
      <c r="M62" s="26"/>
      <c r="N62" s="26">
        <v>50</v>
      </c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s="27" customFormat="1" ht="15" customHeight="1">
      <c r="A63" s="24" t="s">
        <v>3814</v>
      </c>
      <c r="B63" s="78" t="s">
        <v>397</v>
      </c>
      <c r="C63" s="25" t="s">
        <v>12</v>
      </c>
      <c r="D63" s="25" t="s">
        <v>45</v>
      </c>
      <c r="E63" s="524">
        <v>388.88260000000002</v>
      </c>
      <c r="F63" s="26">
        <f>0.85*0.71</f>
        <v>0.60349999999999993</v>
      </c>
      <c r="G63" s="26">
        <f t="shared" ref="G63" si="7">ROUND(F63*E63,2)</f>
        <v>234.69</v>
      </c>
      <c r="H63" s="26">
        <f>J62</f>
        <v>0</v>
      </c>
      <c r="I63" s="26">
        <f t="shared" si="6"/>
        <v>0</v>
      </c>
      <c r="J63" s="365"/>
      <c r="L63" s="365"/>
      <c r="M63" s="26"/>
      <c r="N63" s="26"/>
      <c r="O63" s="26"/>
      <c r="P63" s="26"/>
      <c r="Q63" s="26">
        <f>40.46/50</f>
        <v>0.80920000000000003</v>
      </c>
      <c r="R63" s="26"/>
      <c r="S63" s="26"/>
      <c r="T63" s="26"/>
      <c r="U63" s="26"/>
      <c r="V63" s="26"/>
      <c r="W63" s="26"/>
      <c r="X63" s="26"/>
    </row>
    <row r="64" spans="1:24" s="27" customFormat="1" ht="15" customHeight="1">
      <c r="A64" s="24" t="s">
        <v>3815</v>
      </c>
      <c r="B64" s="78" t="s">
        <v>3820</v>
      </c>
      <c r="C64" s="25" t="s">
        <v>12</v>
      </c>
      <c r="D64" s="25" t="s">
        <v>35</v>
      </c>
      <c r="E64" s="524">
        <v>0.58919999999999995</v>
      </c>
      <c r="F64" s="26">
        <f>N64</f>
        <v>165</v>
      </c>
      <c r="G64" s="26">
        <f>ROUND(F64*E64,2)</f>
        <v>97.22</v>
      </c>
      <c r="H64" s="26">
        <f>J63</f>
        <v>0</v>
      </c>
      <c r="I64" s="26">
        <f t="shared" si="6"/>
        <v>0</v>
      </c>
      <c r="J64" s="365"/>
      <c r="L64" s="365"/>
      <c r="M64" s="26"/>
      <c r="N64" s="26">
        <v>165</v>
      </c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s="27" customFormat="1" ht="15" customHeight="1">
      <c r="A65" s="24" t="s">
        <v>3816</v>
      </c>
      <c r="B65" s="78" t="s">
        <v>377</v>
      </c>
      <c r="C65" s="25" t="s">
        <v>12</v>
      </c>
      <c r="D65" s="25" t="s">
        <v>19</v>
      </c>
      <c r="E65" s="524">
        <v>2.2957999999999998</v>
      </c>
      <c r="F65" s="26">
        <f>13.88*0.85</f>
        <v>11.798</v>
      </c>
      <c r="G65" s="26">
        <f t="shared" ref="G65" si="8">ROUND(F65*E65,2)</f>
        <v>27.09</v>
      </c>
      <c r="H65" s="26"/>
      <c r="I65" s="26">
        <f t="shared" si="6"/>
        <v>0</v>
      </c>
      <c r="J65" s="365"/>
      <c r="L65" s="365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s="27" customFormat="1" ht="45">
      <c r="A66" s="24" t="s">
        <v>3817</v>
      </c>
      <c r="B66" s="78" t="s">
        <v>3821</v>
      </c>
      <c r="C66" s="25" t="s">
        <v>12</v>
      </c>
      <c r="D66" s="25" t="s">
        <v>19</v>
      </c>
      <c r="E66" s="524">
        <v>1.4490000000000001</v>
      </c>
      <c r="F66" s="26">
        <f>17.21*0.85</f>
        <v>14.628500000000001</v>
      </c>
      <c r="G66" s="26">
        <f>ROUND(F66*E66,2)</f>
        <v>21.2</v>
      </c>
      <c r="H66" s="26"/>
      <c r="I66" s="26">
        <f t="shared" si="6"/>
        <v>0</v>
      </c>
      <c r="J66" s="365"/>
      <c r="L66" s="365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s="27" customFormat="1" ht="60">
      <c r="A67" s="24" t="s">
        <v>3818</v>
      </c>
      <c r="B67" s="78" t="s">
        <v>3822</v>
      </c>
      <c r="C67" s="25" t="s">
        <v>12</v>
      </c>
      <c r="D67" s="25" t="s">
        <v>388</v>
      </c>
      <c r="E67" s="524">
        <v>0.74580000000000002</v>
      </c>
      <c r="F67" s="26">
        <f>0.85*2.1</f>
        <v>1.7849999999999999</v>
      </c>
      <c r="G67" s="26">
        <f>ROUND(F67*E67,2)</f>
        <v>1.33</v>
      </c>
      <c r="H67" s="26">
        <f>J66</f>
        <v>0</v>
      </c>
      <c r="I67" s="26">
        <f>ROUND(H67*E67,2)</f>
        <v>0</v>
      </c>
      <c r="J67" s="365"/>
      <c r="L67" s="365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s="27" customFormat="1" ht="15" customHeight="1">
      <c r="A68" s="24" t="s">
        <v>3819</v>
      </c>
      <c r="B68" s="78" t="s">
        <v>3823</v>
      </c>
      <c r="C68" s="25" t="s">
        <v>12</v>
      </c>
      <c r="D68" s="25" t="s">
        <v>389</v>
      </c>
      <c r="E68" s="524">
        <v>0.70320000000000005</v>
      </c>
      <c r="F68" s="26">
        <f>0.85*0.42</f>
        <v>0.35699999999999998</v>
      </c>
      <c r="G68" s="26">
        <f>ROUND(F68*E68,2)</f>
        <v>0.25</v>
      </c>
      <c r="H68" s="26">
        <f>J67</f>
        <v>0</v>
      </c>
      <c r="I68" s="26">
        <f>ROUND(H68*E68,2)</f>
        <v>0</v>
      </c>
      <c r="J68" s="365"/>
      <c r="L68" s="365"/>
      <c r="M68" s="79"/>
      <c r="N68" s="836"/>
      <c r="O68" s="836"/>
      <c r="P68" s="836"/>
      <c r="Q68" s="836"/>
      <c r="R68" s="365"/>
      <c r="S68" s="365"/>
      <c r="T68" s="836"/>
      <c r="U68" s="836"/>
      <c r="V68" s="836"/>
      <c r="W68" s="836"/>
      <c r="X68" s="836"/>
    </row>
    <row r="69" spans="1:24" s="27" customFormat="1" ht="24.75" customHeight="1">
      <c r="A69" s="917" t="s">
        <v>1894</v>
      </c>
      <c r="B69" s="918"/>
      <c r="C69" s="918"/>
      <c r="D69" s="918"/>
      <c r="E69" s="918"/>
      <c r="F69" s="926"/>
      <c r="G69" s="79">
        <f>SUM(G62:G68)</f>
        <v>417.1699999999999</v>
      </c>
      <c r="H69" s="836"/>
      <c r="I69" s="79">
        <f>SUM(I62:I68)</f>
        <v>0</v>
      </c>
      <c r="J69" s="365"/>
      <c r="L69" s="365"/>
      <c r="M69" s="54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</row>
    <row r="70" spans="1:24" ht="51.75" customHeight="1">
      <c r="A70" s="53"/>
      <c r="B70" s="53"/>
      <c r="C70" s="53"/>
      <c r="D70" s="53"/>
      <c r="E70" s="53"/>
      <c r="F70" s="53"/>
      <c r="G70" s="54"/>
      <c r="H70" s="53"/>
      <c r="I70" s="82"/>
      <c r="M70" s="812"/>
      <c r="N70" s="75"/>
      <c r="O70" s="589"/>
      <c r="P70" s="75"/>
      <c r="Q70" s="75"/>
      <c r="R70" s="816"/>
      <c r="S70" s="816"/>
      <c r="T70" s="75"/>
      <c r="U70" s="75"/>
      <c r="V70" s="75"/>
      <c r="W70" s="75"/>
      <c r="X70" s="75"/>
    </row>
    <row r="71" spans="1:24" s="27" customFormat="1" ht="60" customHeight="1">
      <c r="A71" s="920" t="s">
        <v>1537</v>
      </c>
      <c r="B71" s="921"/>
      <c r="C71" s="921"/>
      <c r="D71" s="921"/>
      <c r="E71" s="929"/>
      <c r="F71" s="835"/>
      <c r="G71" s="835"/>
      <c r="H71" s="75" t="s">
        <v>12</v>
      </c>
      <c r="I71" s="77" t="s">
        <v>368</v>
      </c>
      <c r="J71" s="365"/>
      <c r="L71" s="365"/>
      <c r="M71" s="93"/>
      <c r="N71" s="77"/>
      <c r="O71" s="77"/>
      <c r="P71" s="77"/>
      <c r="Q71" s="77"/>
      <c r="R71" s="93"/>
      <c r="S71" s="93"/>
      <c r="T71" s="77"/>
      <c r="U71" s="77"/>
      <c r="V71" s="77"/>
      <c r="W71" s="77"/>
      <c r="X71" s="77"/>
    </row>
    <row r="72" spans="1:24" s="27" customFormat="1" ht="45" customHeight="1">
      <c r="A72" s="77" t="s">
        <v>1917</v>
      </c>
      <c r="B72" s="838"/>
      <c r="C72" s="77" t="s">
        <v>3</v>
      </c>
      <c r="D72" s="77" t="s">
        <v>4</v>
      </c>
      <c r="E72" s="77" t="s">
        <v>1826</v>
      </c>
      <c r="F72" s="93" t="s">
        <v>3781</v>
      </c>
      <c r="G72" s="93" t="s">
        <v>3783</v>
      </c>
      <c r="H72" s="77" t="s">
        <v>367</v>
      </c>
      <c r="I72" s="26" t="e">
        <f>ROUND(H72*E72,2)</f>
        <v>#VALUE!</v>
      </c>
      <c r="J72" s="365"/>
      <c r="L72" s="365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s="27" customFormat="1" ht="60">
      <c r="A73" s="24">
        <v>39017</v>
      </c>
      <c r="B73" s="78" t="s">
        <v>3806</v>
      </c>
      <c r="C73" s="25" t="s">
        <v>12</v>
      </c>
      <c r="D73" s="25" t="s">
        <v>4</v>
      </c>
      <c r="E73" s="92">
        <v>0.97</v>
      </c>
      <c r="F73" s="26">
        <f>0.85*0.21</f>
        <v>0.17849999999999999</v>
      </c>
      <c r="G73" s="26">
        <f>ROUND(F73*E73,2)</f>
        <v>0.17</v>
      </c>
      <c r="H73" s="26">
        <f>J72</f>
        <v>0</v>
      </c>
      <c r="I73" s="26">
        <f>ROUND(H73*E73,2)</f>
        <v>0</v>
      </c>
      <c r="J73" s="365"/>
      <c r="L73" s="365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s="27" customFormat="1" ht="15" customHeight="1">
      <c r="A74" s="24">
        <v>43132</v>
      </c>
      <c r="B74" s="78" t="s">
        <v>3807</v>
      </c>
      <c r="C74" s="25" t="s">
        <v>12</v>
      </c>
      <c r="D74" s="25" t="s">
        <v>45</v>
      </c>
      <c r="E74" s="91">
        <v>2.5000000000000001E-2</v>
      </c>
      <c r="F74" s="26">
        <f>F52</f>
        <v>20.942999999999998</v>
      </c>
      <c r="G74" s="26">
        <f t="shared" ref="G74:G76" si="9">ROUND(F74*E74,2)</f>
        <v>0.52</v>
      </c>
      <c r="H74" s="26">
        <f>J73</f>
        <v>0</v>
      </c>
      <c r="I74" s="26">
        <f>ROUND(H74*E74,2)</f>
        <v>0</v>
      </c>
      <c r="J74" s="365"/>
      <c r="L74" s="365"/>
      <c r="M74" s="26"/>
      <c r="N74" s="26"/>
      <c r="O74" s="26"/>
      <c r="P74" s="26"/>
      <c r="Q74" s="26"/>
      <c r="R74" s="26">
        <v>20.95</v>
      </c>
      <c r="S74" s="26">
        <v>20.95</v>
      </c>
      <c r="T74" s="26"/>
      <c r="U74" s="26"/>
      <c r="V74" s="26"/>
      <c r="W74" s="26"/>
      <c r="X74" s="26"/>
    </row>
    <row r="75" spans="1:24" s="27" customFormat="1" ht="15" customHeight="1">
      <c r="A75" s="24">
        <v>88238</v>
      </c>
      <c r="B75" s="78" t="s">
        <v>394</v>
      </c>
      <c r="C75" s="25" t="s">
        <v>12</v>
      </c>
      <c r="D75" s="25" t="s">
        <v>19</v>
      </c>
      <c r="E75" s="92">
        <v>1.55E-2</v>
      </c>
      <c r="F75" s="26">
        <f>F53</f>
        <v>11.704499999999999</v>
      </c>
      <c r="G75" s="26">
        <f t="shared" si="9"/>
        <v>0.18</v>
      </c>
      <c r="H75" s="26">
        <f>J74</f>
        <v>0</v>
      </c>
      <c r="I75" s="26">
        <f t="shared" ref="I75:I77" si="10">ROUND(H75*E75,2)</f>
        <v>0</v>
      </c>
      <c r="J75" s="365"/>
      <c r="L75" s="365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s="27" customFormat="1">
      <c r="A76" s="24">
        <v>88245</v>
      </c>
      <c r="B76" s="78" t="s">
        <v>395</v>
      </c>
      <c r="C76" s="25" t="s">
        <v>12</v>
      </c>
      <c r="D76" s="25" t="s">
        <v>19</v>
      </c>
      <c r="E76" s="92">
        <v>9.4700000000000006E-2</v>
      </c>
      <c r="F76" s="26">
        <f>F54</f>
        <v>15.044999999999998</v>
      </c>
      <c r="G76" s="26">
        <f t="shared" si="9"/>
        <v>1.42</v>
      </c>
      <c r="H76" s="26">
        <f>J75</f>
        <v>0</v>
      </c>
      <c r="I76" s="26">
        <f t="shared" si="10"/>
        <v>0</v>
      </c>
      <c r="J76" s="365"/>
      <c r="L76" s="365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s="27" customFormat="1" ht="15" customHeight="1">
      <c r="A77" s="24" t="s">
        <v>3959</v>
      </c>
      <c r="B77" s="78" t="s">
        <v>3808</v>
      </c>
      <c r="C77" s="25" t="s">
        <v>12</v>
      </c>
      <c r="D77" s="25" t="s">
        <v>45</v>
      </c>
      <c r="E77" s="26">
        <v>1</v>
      </c>
      <c r="F77" s="26"/>
      <c r="G77" s="26"/>
      <c r="H77" s="26">
        <f>J76</f>
        <v>0</v>
      </c>
      <c r="I77" s="26">
        <f t="shared" si="10"/>
        <v>0</v>
      </c>
      <c r="J77" s="365"/>
      <c r="L77" s="365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s="27" customFormat="1" ht="15" customHeight="1">
      <c r="A78" s="24" t="s">
        <v>3954</v>
      </c>
      <c r="B78" s="78" t="s">
        <v>3955</v>
      </c>
      <c r="C78" s="25" t="s">
        <v>12</v>
      </c>
      <c r="D78" s="25" t="s">
        <v>45</v>
      </c>
      <c r="E78" s="25" t="s">
        <v>3956</v>
      </c>
      <c r="F78" s="26">
        <f>9.42*1.17</f>
        <v>11.0214</v>
      </c>
      <c r="G78" s="26">
        <f>ROUND(F78*E78*$E$77,2)</f>
        <v>11.79</v>
      </c>
      <c r="H78" s="26">
        <f t="shared" ref="H78:H80" si="11">J77</f>
        <v>0</v>
      </c>
      <c r="I78" s="26">
        <f>ROUND(H78*E78*$E$77,2)</f>
        <v>0</v>
      </c>
      <c r="J78" s="365"/>
      <c r="L78" s="365"/>
      <c r="M78" s="26"/>
      <c r="N78" s="26"/>
      <c r="O78" s="26"/>
      <c r="P78" s="26"/>
      <c r="Q78" s="26"/>
      <c r="R78" s="26">
        <v>11.83</v>
      </c>
      <c r="S78" s="26">
        <v>12.5</v>
      </c>
      <c r="T78" s="26"/>
      <c r="U78" s="26"/>
      <c r="V78" s="26"/>
      <c r="W78" s="26"/>
      <c r="X78" s="26"/>
    </row>
    <row r="79" spans="1:24" s="27" customFormat="1" ht="15" customHeight="1">
      <c r="A79" s="24" t="s">
        <v>3914</v>
      </c>
      <c r="B79" s="78" t="s">
        <v>394</v>
      </c>
      <c r="C79" s="25" t="s">
        <v>12</v>
      </c>
      <c r="D79" s="25" t="s">
        <v>19</v>
      </c>
      <c r="E79" s="25" t="s">
        <v>3957</v>
      </c>
      <c r="F79" s="26">
        <f>13.77*0.85</f>
        <v>11.704499999999999</v>
      </c>
      <c r="G79" s="26">
        <f>ROUND(F79*E79*$E$77,2)</f>
        <v>7.0000000000000007E-2</v>
      </c>
      <c r="H79" s="26">
        <f t="shared" si="11"/>
        <v>0</v>
      </c>
      <c r="I79" s="26">
        <f>ROUND(H79*E79*$E$77,2)</f>
        <v>0</v>
      </c>
      <c r="J79" s="365"/>
      <c r="L79" s="365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s="27" customFormat="1" ht="15" customHeight="1">
      <c r="A80" s="24" t="s">
        <v>3915</v>
      </c>
      <c r="B80" s="78" t="s">
        <v>395</v>
      </c>
      <c r="C80" s="25" t="s">
        <v>12</v>
      </c>
      <c r="D80" s="25" t="s">
        <v>19</v>
      </c>
      <c r="E80" s="25" t="s">
        <v>3958</v>
      </c>
      <c r="F80" s="26">
        <f>17.7*0.85</f>
        <v>15.044999999999998</v>
      </c>
      <c r="G80" s="26">
        <f>ROUND(F80*E80*$E$77,2)</f>
        <v>0.63</v>
      </c>
      <c r="H80" s="26">
        <f t="shared" si="11"/>
        <v>0</v>
      </c>
      <c r="I80" s="26">
        <f>ROUND(H80*E80*$E$77,2)</f>
        <v>0</v>
      </c>
      <c r="J80" s="365"/>
      <c r="L80" s="365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s="27" customFormat="1" ht="30.75" customHeight="1">
      <c r="A81" s="923" t="s">
        <v>1894</v>
      </c>
      <c r="B81" s="924"/>
      <c r="C81" s="924"/>
      <c r="D81" s="924"/>
      <c r="E81" s="924"/>
      <c r="F81" s="925"/>
      <c r="G81" s="96">
        <f>SUM(G73:G80)</f>
        <v>14.78</v>
      </c>
      <c r="H81" s="836"/>
      <c r="I81" s="79"/>
      <c r="J81" s="365"/>
      <c r="L81" s="365"/>
      <c r="M81" s="54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</row>
    <row r="82" spans="1:24" ht="57.75" customHeight="1">
      <c r="A82" s="53"/>
      <c r="B82" s="53"/>
      <c r="C82" s="53"/>
      <c r="D82" s="53"/>
      <c r="E82" s="53"/>
      <c r="F82" s="53"/>
      <c r="G82" s="54"/>
      <c r="H82" s="53"/>
      <c r="I82" s="82"/>
      <c r="M82" s="812"/>
      <c r="N82" s="75"/>
      <c r="O82" s="589"/>
      <c r="P82" s="75"/>
      <c r="Q82" s="75"/>
      <c r="R82" s="816"/>
      <c r="S82" s="816"/>
      <c r="T82" s="75"/>
      <c r="U82" s="75"/>
      <c r="V82" s="75"/>
      <c r="W82" s="75"/>
      <c r="X82" s="75"/>
    </row>
    <row r="83" spans="1:24" s="27" customFormat="1" ht="51" customHeight="1">
      <c r="A83" s="920" t="s">
        <v>1539</v>
      </c>
      <c r="B83" s="921"/>
      <c r="C83" s="921"/>
      <c r="D83" s="921"/>
      <c r="E83" s="929"/>
      <c r="F83" s="835"/>
      <c r="G83" s="835"/>
      <c r="H83" s="75" t="s">
        <v>12</v>
      </c>
      <c r="I83" s="77" t="s">
        <v>368</v>
      </c>
      <c r="J83" s="365"/>
      <c r="L83" s="365"/>
      <c r="M83" s="93"/>
      <c r="N83" s="77"/>
      <c r="O83" s="77"/>
      <c r="P83" s="77"/>
      <c r="Q83" s="77"/>
      <c r="R83" s="93"/>
      <c r="S83" s="93"/>
      <c r="T83" s="77"/>
      <c r="U83" s="77"/>
      <c r="V83" s="77"/>
      <c r="W83" s="77"/>
      <c r="X83" s="77"/>
    </row>
    <row r="84" spans="1:24" s="27" customFormat="1" ht="28.5">
      <c r="A84" s="77" t="s">
        <v>1917</v>
      </c>
      <c r="B84" s="838"/>
      <c r="C84" s="77" t="s">
        <v>3</v>
      </c>
      <c r="D84" s="77" t="s">
        <v>4</v>
      </c>
      <c r="E84" s="77" t="s">
        <v>1826</v>
      </c>
      <c r="F84" s="93" t="s">
        <v>3781</v>
      </c>
      <c r="G84" s="93" t="s">
        <v>3783</v>
      </c>
      <c r="H84" s="77" t="s">
        <v>367</v>
      </c>
      <c r="I84" s="26">
        <f>ROUND(H85*E85,2)</f>
        <v>0</v>
      </c>
      <c r="J84" s="365"/>
      <c r="L84" s="365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s="27" customFormat="1" ht="60">
      <c r="A85" s="24">
        <v>39017</v>
      </c>
      <c r="B85" s="78" t="s">
        <v>3806</v>
      </c>
      <c r="C85" s="25" t="s">
        <v>12</v>
      </c>
      <c r="D85" s="25" t="s">
        <v>4</v>
      </c>
      <c r="E85" s="92">
        <v>0.54300000000000004</v>
      </c>
      <c r="F85" s="26">
        <f>0.85*0.21</f>
        <v>0.17849999999999999</v>
      </c>
      <c r="G85" s="26">
        <f>ROUND(F85*E85,2)</f>
        <v>0.1</v>
      </c>
      <c r="H85" s="26">
        <f>J84</f>
        <v>0</v>
      </c>
      <c r="I85" s="26">
        <f>ROUND(H86*E86,2)</f>
        <v>0</v>
      </c>
      <c r="J85" s="365"/>
      <c r="L85" s="365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s="27" customFormat="1" ht="15" customHeight="1">
      <c r="A86" s="24">
        <v>43132</v>
      </c>
      <c r="B86" s="78" t="s">
        <v>3807</v>
      </c>
      <c r="C86" s="25" t="s">
        <v>12</v>
      </c>
      <c r="D86" s="25" t="s">
        <v>45</v>
      </c>
      <c r="E86" s="91">
        <v>2.5000000000000001E-2</v>
      </c>
      <c r="F86" s="26">
        <f>F74</f>
        <v>20.942999999999998</v>
      </c>
      <c r="G86" s="26">
        <f t="shared" ref="G86:G88" si="12">ROUND(F86*E86,2)</f>
        <v>0.52</v>
      </c>
      <c r="H86" s="26">
        <f>J85</f>
        <v>0</v>
      </c>
      <c r="I86" s="26">
        <f>ROUND(H86*E86,2)</f>
        <v>0</v>
      </c>
      <c r="J86" s="365"/>
      <c r="L86" s="365"/>
      <c r="M86" s="26"/>
      <c r="N86" s="26"/>
      <c r="O86" s="26"/>
      <c r="P86" s="26"/>
      <c r="Q86" s="26"/>
      <c r="R86" s="26">
        <v>20.95</v>
      </c>
      <c r="S86" s="26">
        <v>20.95</v>
      </c>
      <c r="T86" s="26"/>
      <c r="U86" s="26"/>
      <c r="V86" s="26"/>
      <c r="W86" s="26"/>
      <c r="X86" s="26"/>
    </row>
    <row r="87" spans="1:24" s="27" customFormat="1" ht="15" customHeight="1">
      <c r="A87" s="24">
        <v>88238</v>
      </c>
      <c r="B87" s="78" t="s">
        <v>394</v>
      </c>
      <c r="C87" s="25" t="s">
        <v>12</v>
      </c>
      <c r="D87" s="25" t="s">
        <v>19</v>
      </c>
      <c r="E87" s="92">
        <v>8.6E-3</v>
      </c>
      <c r="F87" s="26">
        <f>F75</f>
        <v>11.704499999999999</v>
      </c>
      <c r="G87" s="26">
        <f t="shared" si="12"/>
        <v>0.1</v>
      </c>
      <c r="H87" s="26">
        <f>J86</f>
        <v>0</v>
      </c>
      <c r="I87" s="26">
        <f t="shared" ref="I87:I88" si="13">ROUND(H87*E87,2)</f>
        <v>0</v>
      </c>
      <c r="J87" s="365"/>
      <c r="L87" s="365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s="27" customFormat="1">
      <c r="A88" s="24">
        <v>88245</v>
      </c>
      <c r="B88" s="78" t="s">
        <v>395</v>
      </c>
      <c r="C88" s="25" t="s">
        <v>12</v>
      </c>
      <c r="D88" s="25" t="s">
        <v>19</v>
      </c>
      <c r="E88" s="92">
        <v>5.2900000000000003E-2</v>
      </c>
      <c r="F88" s="26">
        <f>F76</f>
        <v>15.044999999999998</v>
      </c>
      <c r="G88" s="26">
        <f t="shared" si="12"/>
        <v>0.8</v>
      </c>
      <c r="H88" s="26">
        <f>J87</f>
        <v>0</v>
      </c>
      <c r="I88" s="26">
        <f t="shared" si="13"/>
        <v>0</v>
      </c>
      <c r="J88" s="365"/>
      <c r="L88" s="365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s="27" customFormat="1" ht="15" customHeight="1">
      <c r="A89" s="24" t="s">
        <v>3964</v>
      </c>
      <c r="B89" s="78" t="s">
        <v>3811</v>
      </c>
      <c r="C89" s="25" t="s">
        <v>12</v>
      </c>
      <c r="D89" s="25" t="s">
        <v>45</v>
      </c>
      <c r="E89" s="26">
        <v>1</v>
      </c>
      <c r="F89" s="26"/>
      <c r="G89" s="26"/>
      <c r="H89" s="26"/>
      <c r="I89" s="26"/>
      <c r="J89" s="365"/>
      <c r="L89" s="365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s="27" customFormat="1" ht="15" customHeight="1">
      <c r="A90" s="24" t="s">
        <v>3960</v>
      </c>
      <c r="B90" s="78" t="s">
        <v>3961</v>
      </c>
      <c r="C90" s="25" t="s">
        <v>12</v>
      </c>
      <c r="D90" s="25" t="s">
        <v>45</v>
      </c>
      <c r="E90" s="25" t="s">
        <v>3948</v>
      </c>
      <c r="F90" s="26">
        <f>9.65*1.17</f>
        <v>11.2905</v>
      </c>
      <c r="G90" s="26">
        <f>ROUND(F90*E90*$E$101,2)*E89</f>
        <v>12.53</v>
      </c>
      <c r="H90" s="26">
        <f t="shared" ref="H90:H92" si="14">J89</f>
        <v>0</v>
      </c>
      <c r="I90" s="26">
        <f>ROUND(H90*E90*$E$89,2)</f>
        <v>0</v>
      </c>
      <c r="J90" s="365"/>
      <c r="L90" s="365"/>
      <c r="M90" s="26"/>
      <c r="N90" s="26"/>
      <c r="O90" s="26"/>
      <c r="P90" s="26"/>
      <c r="Q90" s="26"/>
      <c r="R90" s="26">
        <v>11.29</v>
      </c>
      <c r="S90" s="26">
        <v>11.94</v>
      </c>
      <c r="T90" s="26"/>
      <c r="U90" s="26"/>
      <c r="V90" s="26"/>
      <c r="W90" s="26"/>
      <c r="X90" s="26"/>
    </row>
    <row r="91" spans="1:24" s="27" customFormat="1" ht="15" customHeight="1">
      <c r="A91" s="24" t="s">
        <v>3914</v>
      </c>
      <c r="B91" s="78" t="s">
        <v>394</v>
      </c>
      <c r="C91" s="25" t="s">
        <v>12</v>
      </c>
      <c r="D91" s="25" t="s">
        <v>19</v>
      </c>
      <c r="E91" s="25" t="s">
        <v>3962</v>
      </c>
      <c r="F91" s="26">
        <f>13.77*0.85</f>
        <v>11.704499999999999</v>
      </c>
      <c r="G91" s="26">
        <f t="shared" ref="G91:G92" si="15">ROUND(F91*E91*$E$89,2)</f>
        <v>0.02</v>
      </c>
      <c r="H91" s="26">
        <f t="shared" si="14"/>
        <v>0</v>
      </c>
      <c r="I91" s="26">
        <f t="shared" ref="I91:I92" si="16">ROUND(H91*E91*$E$89,2)</f>
        <v>0</v>
      </c>
      <c r="J91" s="365"/>
      <c r="L91" s="365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s="27" customFormat="1" ht="15" customHeight="1">
      <c r="A92" s="24" t="s">
        <v>3915</v>
      </c>
      <c r="B92" s="78" t="s">
        <v>395</v>
      </c>
      <c r="C92" s="25" t="s">
        <v>12</v>
      </c>
      <c r="D92" s="25" t="s">
        <v>19</v>
      </c>
      <c r="E92" s="25" t="s">
        <v>3963</v>
      </c>
      <c r="F92" s="26">
        <f>17.7*0.85</f>
        <v>15.044999999999998</v>
      </c>
      <c r="G92" s="26">
        <f t="shared" si="15"/>
        <v>0.19</v>
      </c>
      <c r="H92" s="26">
        <f t="shared" si="14"/>
        <v>0</v>
      </c>
      <c r="I92" s="26">
        <f t="shared" si="16"/>
        <v>0</v>
      </c>
      <c r="J92" s="365"/>
      <c r="L92" s="365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s="27" customFormat="1" ht="28.5" customHeight="1">
      <c r="A93" s="923" t="s">
        <v>1894</v>
      </c>
      <c r="B93" s="924"/>
      <c r="C93" s="924"/>
      <c r="D93" s="924"/>
      <c r="E93" s="924"/>
      <c r="F93" s="925"/>
      <c r="G93" s="96">
        <f>SUM(G85:G92)</f>
        <v>14.259999999999998</v>
      </c>
      <c r="H93" s="835"/>
      <c r="I93" s="96"/>
      <c r="J93" s="365"/>
      <c r="L93" s="365"/>
      <c r="M93" s="54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</row>
    <row r="94" spans="1:24" ht="36.75" customHeight="1">
      <c r="A94" s="53"/>
      <c r="B94" s="53"/>
      <c r="C94" s="53"/>
      <c r="D94" s="53"/>
      <c r="E94" s="53"/>
      <c r="F94" s="53"/>
      <c r="G94" s="54"/>
      <c r="H94" s="53"/>
      <c r="I94" s="82"/>
      <c r="M94" s="812"/>
      <c r="N94" s="75"/>
      <c r="O94" s="589"/>
      <c r="P94" s="75"/>
      <c r="Q94" s="75"/>
      <c r="R94" s="816"/>
      <c r="S94" s="816"/>
      <c r="T94" s="75"/>
      <c r="U94" s="75"/>
      <c r="V94" s="75"/>
      <c r="W94" s="75"/>
      <c r="X94" s="75"/>
    </row>
    <row r="95" spans="1:24" s="27" customFormat="1" ht="45.75" customHeight="1">
      <c r="A95" s="920" t="s">
        <v>1540</v>
      </c>
      <c r="B95" s="921"/>
      <c r="C95" s="921"/>
      <c r="D95" s="921"/>
      <c r="E95" s="929"/>
      <c r="F95" s="835"/>
      <c r="G95" s="835"/>
      <c r="H95" s="75" t="s">
        <v>12</v>
      </c>
      <c r="I95" s="77" t="s">
        <v>368</v>
      </c>
      <c r="J95" s="365"/>
      <c r="L95" s="365"/>
      <c r="M95" s="93"/>
      <c r="N95" s="77"/>
      <c r="O95" s="77"/>
      <c r="P95" s="77"/>
      <c r="Q95" s="77"/>
      <c r="R95" s="93"/>
      <c r="S95" s="93"/>
      <c r="T95" s="77"/>
      <c r="U95" s="77"/>
      <c r="V95" s="77"/>
      <c r="W95" s="77"/>
      <c r="X95" s="77"/>
    </row>
    <row r="96" spans="1:24" s="27" customFormat="1" ht="28.5">
      <c r="A96" s="77" t="s">
        <v>1917</v>
      </c>
      <c r="B96" s="838"/>
      <c r="C96" s="77" t="s">
        <v>3</v>
      </c>
      <c r="D96" s="77" t="s">
        <v>4</v>
      </c>
      <c r="E96" s="77" t="s">
        <v>1826</v>
      </c>
      <c r="F96" s="93" t="s">
        <v>3781</v>
      </c>
      <c r="G96" s="93" t="s">
        <v>3783</v>
      </c>
      <c r="H96" s="77" t="s">
        <v>367</v>
      </c>
      <c r="I96" s="26" t="e">
        <f t="shared" ref="I96" si="17">ROUND(H96*E96,2)</f>
        <v>#VALUE!</v>
      </c>
      <c r="J96" s="365"/>
      <c r="L96" s="365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s="27" customFormat="1" ht="60">
      <c r="A97" s="24">
        <v>39017</v>
      </c>
      <c r="B97" s="78" t="s">
        <v>3806</v>
      </c>
      <c r="C97" s="25" t="s">
        <v>12</v>
      </c>
      <c r="D97" s="25" t="s">
        <v>4</v>
      </c>
      <c r="E97" s="92">
        <v>0.36699999999999999</v>
      </c>
      <c r="F97" s="26">
        <f>0.85*0.21</f>
        <v>0.17849999999999999</v>
      </c>
      <c r="G97" s="26">
        <f t="shared" ref="G97:G100" si="18">ROUND(F97*E97,2)</f>
        <v>7.0000000000000007E-2</v>
      </c>
      <c r="H97" s="26">
        <f>J96</f>
        <v>0</v>
      </c>
      <c r="I97" s="26">
        <f>ROUND(H97*E97,2)</f>
        <v>0</v>
      </c>
      <c r="J97" s="365"/>
      <c r="L97" s="365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s="27" customFormat="1" ht="15" customHeight="1">
      <c r="A98" s="24">
        <v>43132</v>
      </c>
      <c r="B98" s="78" t="s">
        <v>3807</v>
      </c>
      <c r="C98" s="25" t="s">
        <v>12</v>
      </c>
      <c r="D98" s="25" t="s">
        <v>45</v>
      </c>
      <c r="E98" s="91">
        <v>2.5000000000000001E-2</v>
      </c>
      <c r="F98" s="26">
        <f>F86</f>
        <v>20.942999999999998</v>
      </c>
      <c r="G98" s="26">
        <f t="shared" si="18"/>
        <v>0.52</v>
      </c>
      <c r="H98" s="26">
        <f>J97</f>
        <v>0</v>
      </c>
      <c r="I98" s="26">
        <f>ROUND(H98*E98,2)</f>
        <v>0</v>
      </c>
      <c r="J98" s="365"/>
      <c r="L98" s="365"/>
      <c r="M98" s="26"/>
      <c r="N98" s="26"/>
      <c r="O98" s="26"/>
      <c r="P98" s="26"/>
      <c r="Q98" s="26"/>
      <c r="R98" s="26">
        <v>20.95</v>
      </c>
      <c r="S98" s="26">
        <v>20.95</v>
      </c>
      <c r="T98" s="26"/>
      <c r="U98" s="26"/>
      <c r="V98" s="26"/>
      <c r="W98" s="26"/>
      <c r="X98" s="26"/>
    </row>
    <row r="99" spans="1:24" s="27" customFormat="1" ht="15" customHeight="1">
      <c r="A99" s="24">
        <v>88238</v>
      </c>
      <c r="B99" s="78" t="s">
        <v>394</v>
      </c>
      <c r="C99" s="25" t="s">
        <v>12</v>
      </c>
      <c r="D99" s="25" t="s">
        <v>19</v>
      </c>
      <c r="E99" s="92">
        <v>6.3E-3</v>
      </c>
      <c r="F99" s="26">
        <f>F87</f>
        <v>11.704499999999999</v>
      </c>
      <c r="G99" s="26">
        <f t="shared" si="18"/>
        <v>7.0000000000000007E-2</v>
      </c>
      <c r="H99" s="26">
        <f>J98</f>
        <v>0</v>
      </c>
      <c r="I99" s="26">
        <f t="shared" ref="I99:I100" si="19">ROUND(H99*E99,2)</f>
        <v>0</v>
      </c>
      <c r="J99" s="365"/>
      <c r="L99" s="365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s="27" customFormat="1">
      <c r="A100" s="24">
        <v>88245</v>
      </c>
      <c r="B100" s="78" t="s">
        <v>395</v>
      </c>
      <c r="C100" s="25" t="s">
        <v>12</v>
      </c>
      <c r="D100" s="25" t="s">
        <v>19</v>
      </c>
      <c r="E100" s="92">
        <v>3.8600000000000002E-2</v>
      </c>
      <c r="F100" s="26">
        <f>F88</f>
        <v>15.044999999999998</v>
      </c>
      <c r="G100" s="26">
        <f t="shared" si="18"/>
        <v>0.57999999999999996</v>
      </c>
      <c r="H100" s="26">
        <f>J99</f>
        <v>0</v>
      </c>
      <c r="I100" s="26">
        <f t="shared" si="19"/>
        <v>0</v>
      </c>
      <c r="J100" s="365"/>
      <c r="L100" s="365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s="27" customFormat="1" ht="15" customHeight="1">
      <c r="A101" s="24" t="s">
        <v>3951</v>
      </c>
      <c r="B101" s="78" t="s">
        <v>3809</v>
      </c>
      <c r="C101" s="25" t="s">
        <v>12</v>
      </c>
      <c r="D101" s="25" t="s">
        <v>45</v>
      </c>
      <c r="E101" s="26">
        <v>1</v>
      </c>
      <c r="F101" s="26"/>
      <c r="G101" s="26"/>
      <c r="H101" s="26"/>
      <c r="I101" s="26"/>
      <c r="J101" s="365"/>
      <c r="L101" s="365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s="27" customFormat="1" ht="15" customHeight="1">
      <c r="A102" s="24" t="s">
        <v>3946</v>
      </c>
      <c r="B102" s="78" t="s">
        <v>3947</v>
      </c>
      <c r="C102" s="25" t="s">
        <v>12</v>
      </c>
      <c r="D102" s="25" t="s">
        <v>45</v>
      </c>
      <c r="E102" s="25" t="s">
        <v>3948</v>
      </c>
      <c r="F102" s="26">
        <f>9.24*1.17</f>
        <v>10.8108</v>
      </c>
      <c r="G102" s="26">
        <f>ROUND(F102*E102*$E$101,2)*E101</f>
        <v>12</v>
      </c>
      <c r="H102" s="26">
        <f t="shared" ref="H102:H104" si="20">J101</f>
        <v>0</v>
      </c>
      <c r="I102" s="26">
        <f>ROUND(H102*E102*$E$101,2)</f>
        <v>0</v>
      </c>
      <c r="J102" s="365"/>
      <c r="L102" s="365"/>
      <c r="M102" s="26"/>
      <c r="N102" s="26"/>
      <c r="O102" s="26"/>
      <c r="P102" s="26"/>
      <c r="Q102" s="26"/>
      <c r="R102" s="26">
        <v>10.87</v>
      </c>
      <c r="S102" s="26">
        <v>11.36</v>
      </c>
      <c r="T102" s="26"/>
      <c r="U102" s="26"/>
      <c r="V102" s="26"/>
      <c r="W102" s="26"/>
      <c r="X102" s="26"/>
    </row>
    <row r="103" spans="1:24" s="27" customFormat="1" ht="15" customHeight="1">
      <c r="A103" s="24" t="s">
        <v>3914</v>
      </c>
      <c r="B103" s="78" t="s">
        <v>394</v>
      </c>
      <c r="C103" s="25" t="s">
        <v>12</v>
      </c>
      <c r="D103" s="25" t="s">
        <v>19</v>
      </c>
      <c r="E103" s="25" t="s">
        <v>3949</v>
      </c>
      <c r="F103" s="26">
        <f>13.77*0.85</f>
        <v>11.704499999999999</v>
      </c>
      <c r="G103" s="26">
        <f t="shared" ref="G103:G104" si="21">ROUND(F103*E103*$E$101,2)*E102</f>
        <v>1.11E-2</v>
      </c>
      <c r="H103" s="26">
        <f t="shared" si="20"/>
        <v>0</v>
      </c>
      <c r="I103" s="26">
        <f t="shared" ref="I103" si="22">ROUND(H103*E103*$E$101,2)</f>
        <v>0</v>
      </c>
      <c r="J103" s="365"/>
      <c r="L103" s="365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s="27" customFormat="1" ht="15" customHeight="1">
      <c r="A104" s="24" t="s">
        <v>3915</v>
      </c>
      <c r="B104" s="78" t="s">
        <v>395</v>
      </c>
      <c r="C104" s="25" t="s">
        <v>12</v>
      </c>
      <c r="D104" s="25" t="s">
        <v>19</v>
      </c>
      <c r="E104" s="25" t="s">
        <v>3950</v>
      </c>
      <c r="F104" s="26">
        <f>17.7*0.85</f>
        <v>15.044999999999998</v>
      </c>
      <c r="G104" s="26">
        <f t="shared" si="21"/>
        <v>1.1E-4</v>
      </c>
      <c r="H104" s="26">
        <f t="shared" si="20"/>
        <v>0</v>
      </c>
      <c r="I104" s="26">
        <f>ROUND(H104*E104*$E$101,2)</f>
        <v>0</v>
      </c>
      <c r="J104" s="365"/>
      <c r="L104" s="365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s="27" customFormat="1" ht="28.5" customHeight="1">
      <c r="A105" s="923" t="s">
        <v>1894</v>
      </c>
      <c r="B105" s="924"/>
      <c r="C105" s="924"/>
      <c r="D105" s="924"/>
      <c r="E105" s="924"/>
      <c r="F105" s="925"/>
      <c r="G105" s="96">
        <f>SUM(G97:G104)</f>
        <v>13.25121</v>
      </c>
      <c r="H105" s="835"/>
      <c r="I105" s="96">
        <f>SUM(I97:I104)</f>
        <v>0</v>
      </c>
      <c r="J105" s="365"/>
      <c r="L105" s="365"/>
      <c r="M105" s="54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</row>
    <row r="106" spans="1:24" ht="56.25" customHeight="1">
      <c r="A106" s="53"/>
      <c r="B106" s="53"/>
      <c r="C106" s="53"/>
      <c r="D106" s="53"/>
      <c r="E106" s="53"/>
      <c r="F106" s="53"/>
      <c r="G106" s="54"/>
      <c r="H106" s="53"/>
      <c r="I106" s="82"/>
      <c r="M106" s="812"/>
      <c r="N106" s="75"/>
      <c r="O106" s="589"/>
      <c r="P106" s="75"/>
      <c r="Q106" s="75"/>
      <c r="R106" s="816"/>
      <c r="S106" s="816"/>
      <c r="T106" s="75"/>
      <c r="U106" s="75"/>
      <c r="V106" s="75"/>
      <c r="W106" s="75"/>
      <c r="X106" s="75"/>
    </row>
    <row r="107" spans="1:24" s="27" customFormat="1" ht="51" customHeight="1">
      <c r="A107" s="920" t="s">
        <v>1541</v>
      </c>
      <c r="B107" s="921"/>
      <c r="C107" s="921"/>
      <c r="D107" s="921"/>
      <c r="E107" s="929"/>
      <c r="F107" s="835"/>
      <c r="G107" s="835"/>
      <c r="H107" s="75" t="s">
        <v>12</v>
      </c>
      <c r="I107" s="77" t="s">
        <v>368</v>
      </c>
      <c r="J107" s="365"/>
      <c r="L107" s="365"/>
      <c r="M107" s="93"/>
      <c r="N107" s="77"/>
      <c r="O107" s="77"/>
      <c r="P107" s="77"/>
      <c r="Q107" s="77"/>
      <c r="R107" s="93"/>
      <c r="S107" s="93"/>
      <c r="T107" s="77"/>
      <c r="U107" s="77"/>
      <c r="V107" s="77"/>
      <c r="W107" s="77"/>
      <c r="X107" s="77"/>
    </row>
    <row r="108" spans="1:24" s="27" customFormat="1" ht="45" customHeight="1">
      <c r="A108" s="77" t="s">
        <v>1917</v>
      </c>
      <c r="B108" s="838"/>
      <c r="C108" s="77" t="s">
        <v>3</v>
      </c>
      <c r="D108" s="77" t="s">
        <v>4</v>
      </c>
      <c r="E108" s="77" t="s">
        <v>1826</v>
      </c>
      <c r="F108" s="93" t="s">
        <v>3781</v>
      </c>
      <c r="G108" s="93" t="s">
        <v>3783</v>
      </c>
      <c r="H108" s="77" t="s">
        <v>367</v>
      </c>
      <c r="I108" s="26" t="e">
        <f>ROUND(H108*E108,2)</f>
        <v>#VALUE!</v>
      </c>
      <c r="J108" s="365"/>
      <c r="L108" s="365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s="27" customFormat="1" ht="60">
      <c r="A109" s="24">
        <v>39017</v>
      </c>
      <c r="B109" s="78" t="s">
        <v>3806</v>
      </c>
      <c r="C109" s="25" t="s">
        <v>12</v>
      </c>
      <c r="D109" s="25" t="s">
        <v>4</v>
      </c>
      <c r="E109" s="92">
        <v>0.21199999999999999</v>
      </c>
      <c r="F109" s="26">
        <f>0.85*0.21</f>
        <v>0.17849999999999999</v>
      </c>
      <c r="G109" s="26">
        <f t="shared" ref="G109:G112" si="23">ROUND(F109*E109,2)</f>
        <v>0.04</v>
      </c>
      <c r="H109" s="26">
        <f>J108</f>
        <v>0</v>
      </c>
      <c r="I109" s="26">
        <f t="shared" ref="I109:I112" si="24">ROUND(H109*E109,2)</f>
        <v>0</v>
      </c>
      <c r="J109" s="365"/>
      <c r="L109" s="365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s="27" customFormat="1" ht="30">
      <c r="A110" s="24">
        <v>43132</v>
      </c>
      <c r="B110" s="78" t="s">
        <v>3807</v>
      </c>
      <c r="C110" s="25" t="s">
        <v>12</v>
      </c>
      <c r="D110" s="25" t="s">
        <v>45</v>
      </c>
      <c r="E110" s="91">
        <v>2.5000000000000001E-2</v>
      </c>
      <c r="F110" s="26">
        <f>F98</f>
        <v>20.942999999999998</v>
      </c>
      <c r="G110" s="26">
        <f t="shared" si="23"/>
        <v>0.52</v>
      </c>
      <c r="H110" s="26">
        <f>J109</f>
        <v>0</v>
      </c>
      <c r="I110" s="26">
        <f t="shared" si="24"/>
        <v>0</v>
      </c>
      <c r="J110" s="365"/>
      <c r="L110" s="365"/>
      <c r="M110" s="26"/>
      <c r="N110" s="26"/>
      <c r="O110" s="26"/>
      <c r="P110" s="26"/>
      <c r="Q110" s="26"/>
      <c r="R110" s="26">
        <v>20.95</v>
      </c>
      <c r="S110" s="26">
        <v>20.95</v>
      </c>
      <c r="T110" s="26"/>
      <c r="U110" s="26"/>
      <c r="V110" s="26"/>
      <c r="W110" s="26"/>
      <c r="X110" s="26"/>
    </row>
    <row r="111" spans="1:24" s="27" customFormat="1" ht="30">
      <c r="A111" s="24">
        <v>88238</v>
      </c>
      <c r="B111" s="78" t="s">
        <v>394</v>
      </c>
      <c r="C111" s="25" t="s">
        <v>12</v>
      </c>
      <c r="D111" s="25" t="s">
        <v>19</v>
      </c>
      <c r="E111" s="92">
        <v>4.3E-3</v>
      </c>
      <c r="F111" s="26">
        <f>F99</f>
        <v>11.704499999999999</v>
      </c>
      <c r="G111" s="26">
        <f t="shared" si="23"/>
        <v>0.05</v>
      </c>
      <c r="H111" s="26">
        <f>J110</f>
        <v>0</v>
      </c>
      <c r="I111" s="26">
        <f t="shared" si="24"/>
        <v>0</v>
      </c>
      <c r="J111" s="365"/>
      <c r="L111" s="365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s="27" customFormat="1">
      <c r="A112" s="24">
        <v>88245</v>
      </c>
      <c r="B112" s="78" t="s">
        <v>395</v>
      </c>
      <c r="C112" s="25" t="s">
        <v>12</v>
      </c>
      <c r="D112" s="25" t="s">
        <v>19</v>
      </c>
      <c r="E112" s="92">
        <v>2.6100000000000002E-2</v>
      </c>
      <c r="F112" s="26">
        <f>F100</f>
        <v>15.044999999999998</v>
      </c>
      <c r="G112" s="26">
        <f t="shared" si="23"/>
        <v>0.39</v>
      </c>
      <c r="H112" s="26">
        <f>J111</f>
        <v>0</v>
      </c>
      <c r="I112" s="26">
        <f t="shared" si="24"/>
        <v>0</v>
      </c>
      <c r="J112" s="365"/>
      <c r="L112" s="365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s="27" customFormat="1" ht="45">
      <c r="A113" s="24" t="s">
        <v>3953</v>
      </c>
      <c r="B113" s="78" t="s">
        <v>3810</v>
      </c>
      <c r="C113" s="25" t="s">
        <v>12</v>
      </c>
      <c r="D113" s="25" t="s">
        <v>45</v>
      </c>
      <c r="E113" s="26">
        <v>1</v>
      </c>
      <c r="F113" s="26"/>
      <c r="G113" s="26"/>
      <c r="H113" s="26"/>
      <c r="I113" s="26"/>
      <c r="J113" s="365"/>
      <c r="L113" s="365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s="27" customFormat="1">
      <c r="A114" s="24" t="s">
        <v>3946</v>
      </c>
      <c r="B114" s="78" t="s">
        <v>3947</v>
      </c>
      <c r="C114" s="25" t="s">
        <v>12</v>
      </c>
      <c r="D114" s="25" t="s">
        <v>45</v>
      </c>
      <c r="E114" s="25" t="s">
        <v>3948</v>
      </c>
      <c r="F114" s="26">
        <f>9.24*1.17</f>
        <v>10.8108</v>
      </c>
      <c r="G114" s="26">
        <f>ROUND(F114*E114*$E$101,2)*E113</f>
        <v>12</v>
      </c>
      <c r="H114" s="26">
        <f t="shared" ref="H114:H115" si="25">J113</f>
        <v>0</v>
      </c>
      <c r="I114" s="26">
        <f>ROUND(H114*E114*$E$113,2)</f>
        <v>0</v>
      </c>
      <c r="J114" s="365"/>
      <c r="L114" s="365"/>
      <c r="M114" s="26"/>
      <c r="N114" s="26"/>
      <c r="O114" s="26"/>
      <c r="P114" s="26"/>
      <c r="Q114" s="26"/>
      <c r="R114" s="26">
        <v>10.87</v>
      </c>
      <c r="S114" s="26">
        <v>11.36</v>
      </c>
      <c r="T114" s="26"/>
      <c r="U114" s="26"/>
      <c r="V114" s="26"/>
      <c r="W114" s="26"/>
      <c r="X114" s="26"/>
    </row>
    <row r="115" spans="1:24" s="27" customFormat="1">
      <c r="A115" s="24" t="s">
        <v>3915</v>
      </c>
      <c r="B115" s="78" t="s">
        <v>395</v>
      </c>
      <c r="C115" s="25" t="s">
        <v>12</v>
      </c>
      <c r="D115" s="25" t="s">
        <v>19</v>
      </c>
      <c r="E115" s="25" t="s">
        <v>3952</v>
      </c>
      <c r="F115" s="26">
        <f>17.7*0.85</f>
        <v>15.044999999999998</v>
      </c>
      <c r="G115" s="26">
        <f>ROUND(F115*E115*$E$113,2)</f>
        <v>0.06</v>
      </c>
      <c r="H115" s="26">
        <f t="shared" si="25"/>
        <v>0</v>
      </c>
      <c r="I115" s="26">
        <f>ROUND(H115*E115*$E$113,2)</f>
        <v>0</v>
      </c>
      <c r="J115" s="365"/>
      <c r="L115" s="365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s="27" customFormat="1" ht="28.5" customHeight="1">
      <c r="A116" s="923" t="s">
        <v>1894</v>
      </c>
      <c r="B116" s="924"/>
      <c r="C116" s="924"/>
      <c r="D116" s="924"/>
      <c r="E116" s="924"/>
      <c r="F116" s="925"/>
      <c r="G116" s="96">
        <f>SUM(G109:G115)</f>
        <v>13.06</v>
      </c>
      <c r="H116" s="835"/>
      <c r="I116" s="96">
        <f>SUM(I109:I115)</f>
        <v>0</v>
      </c>
      <c r="J116" s="365"/>
      <c r="L116" s="365"/>
      <c r="M116" s="54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</row>
    <row r="117" spans="1:24" ht="52.5" customHeight="1">
      <c r="A117" s="53"/>
      <c r="B117" s="53"/>
      <c r="C117" s="53"/>
      <c r="D117" s="53"/>
      <c r="E117" s="53"/>
      <c r="F117" s="53"/>
      <c r="G117" s="54"/>
      <c r="H117" s="53"/>
      <c r="I117" s="82">
        <v>92765</v>
      </c>
      <c r="M117" s="812"/>
      <c r="N117" s="75"/>
      <c r="O117" s="589"/>
      <c r="P117" s="75"/>
      <c r="Q117" s="75"/>
      <c r="R117" s="816"/>
      <c r="S117" s="816"/>
      <c r="T117" s="75"/>
      <c r="U117" s="75"/>
      <c r="V117" s="75"/>
      <c r="W117" s="75"/>
      <c r="X117" s="75"/>
    </row>
    <row r="118" spans="1:24" s="27" customFormat="1" ht="58.5" customHeight="1">
      <c r="A118" s="920" t="s">
        <v>1552</v>
      </c>
      <c r="B118" s="921"/>
      <c r="C118" s="921"/>
      <c r="D118" s="921"/>
      <c r="E118" s="929"/>
      <c r="F118" s="835"/>
      <c r="G118" s="835"/>
      <c r="H118" s="75" t="s">
        <v>12</v>
      </c>
      <c r="I118" s="77" t="s">
        <v>368</v>
      </c>
      <c r="J118" s="365"/>
      <c r="L118" s="365"/>
      <c r="M118" s="93"/>
      <c r="N118" s="77"/>
      <c r="O118" s="77"/>
      <c r="P118" s="77"/>
      <c r="Q118" s="77"/>
      <c r="R118" s="93"/>
      <c r="S118" s="93"/>
      <c r="T118" s="77"/>
      <c r="U118" s="77"/>
      <c r="V118" s="77"/>
      <c r="W118" s="77"/>
      <c r="X118" s="77"/>
    </row>
    <row r="119" spans="1:24" s="27" customFormat="1" ht="28.5">
      <c r="A119" s="77" t="s">
        <v>1917</v>
      </c>
      <c r="B119" s="838"/>
      <c r="C119" s="77" t="s">
        <v>3</v>
      </c>
      <c r="D119" s="77" t="s">
        <v>4</v>
      </c>
      <c r="E119" s="77" t="s">
        <v>1826</v>
      </c>
      <c r="F119" s="93" t="s">
        <v>3781</v>
      </c>
      <c r="G119" s="93" t="s">
        <v>3783</v>
      </c>
      <c r="H119" s="77" t="s">
        <v>367</v>
      </c>
      <c r="I119" s="26" t="e">
        <f t="shared" ref="I119:I124" si="26">ROUND(H119*E119,2)</f>
        <v>#VALUE!</v>
      </c>
      <c r="J119" s="365"/>
      <c r="L119" s="365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s="27" customFormat="1" ht="60">
      <c r="A120" s="24">
        <v>39017</v>
      </c>
      <c r="B120" s="78" t="s">
        <v>3806</v>
      </c>
      <c r="C120" s="25" t="s">
        <v>12</v>
      </c>
      <c r="D120" s="25" t="s">
        <v>4</v>
      </c>
      <c r="E120" s="92">
        <v>0.113</v>
      </c>
      <c r="F120" s="26">
        <f>F109</f>
        <v>0.17849999999999999</v>
      </c>
      <c r="G120" s="26">
        <f t="shared" ref="G120:G122" si="27">ROUND(F120*E120,2)</f>
        <v>0.02</v>
      </c>
      <c r="H120" s="26">
        <f>J119</f>
        <v>0</v>
      </c>
      <c r="I120" s="26">
        <f t="shared" si="26"/>
        <v>0</v>
      </c>
      <c r="J120" s="365"/>
      <c r="L120" s="365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s="27" customFormat="1" ht="15" customHeight="1">
      <c r="A121" s="24">
        <v>43132</v>
      </c>
      <c r="B121" s="78" t="s">
        <v>3807</v>
      </c>
      <c r="C121" s="25" t="s">
        <v>12</v>
      </c>
      <c r="D121" s="25" t="s">
        <v>45</v>
      </c>
      <c r="E121" s="91">
        <v>2.5000000000000001E-2</v>
      </c>
      <c r="F121" s="26">
        <f>F110</f>
        <v>20.942999999999998</v>
      </c>
      <c r="G121" s="26">
        <f t="shared" si="27"/>
        <v>0.52</v>
      </c>
      <c r="H121" s="26">
        <f>J120</f>
        <v>0</v>
      </c>
      <c r="I121" s="26">
        <f t="shared" si="26"/>
        <v>0</v>
      </c>
      <c r="J121" s="365"/>
      <c r="L121" s="365"/>
      <c r="M121" s="26"/>
      <c r="N121" s="26"/>
      <c r="O121" s="26"/>
      <c r="P121" s="26"/>
      <c r="Q121" s="26"/>
      <c r="R121" s="26">
        <v>20.95</v>
      </c>
      <c r="S121" s="26">
        <v>20.95</v>
      </c>
      <c r="T121" s="26"/>
      <c r="U121" s="26"/>
      <c r="V121" s="26"/>
      <c r="W121" s="26"/>
      <c r="X121" s="26"/>
    </row>
    <row r="122" spans="1:24" s="27" customFormat="1" ht="15" customHeight="1">
      <c r="A122" s="24">
        <v>88238</v>
      </c>
      <c r="B122" s="78" t="s">
        <v>394</v>
      </c>
      <c r="C122" s="25" t="s">
        <v>12</v>
      </c>
      <c r="D122" s="25" t="s">
        <v>19</v>
      </c>
      <c r="E122" s="92">
        <v>2.8E-3</v>
      </c>
      <c r="F122" s="26">
        <f>F111</f>
        <v>11.704499999999999</v>
      </c>
      <c r="G122" s="26">
        <f t="shared" si="27"/>
        <v>0.03</v>
      </c>
      <c r="H122" s="26">
        <f>J121</f>
        <v>0</v>
      </c>
      <c r="I122" s="26">
        <f t="shared" si="26"/>
        <v>0</v>
      </c>
      <c r="J122" s="365"/>
      <c r="L122" s="365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s="27" customFormat="1">
      <c r="A123" s="24">
        <v>88245</v>
      </c>
      <c r="B123" s="78" t="s">
        <v>395</v>
      </c>
      <c r="C123" s="25" t="s">
        <v>12</v>
      </c>
      <c r="D123" s="25" t="s">
        <v>19</v>
      </c>
      <c r="E123" s="92">
        <v>1.72E-2</v>
      </c>
      <c r="F123" s="26">
        <f>F112</f>
        <v>15.044999999999998</v>
      </c>
      <c r="G123" s="26">
        <f>ROUND(F123*E123,2)</f>
        <v>0.26</v>
      </c>
      <c r="H123" s="26">
        <f>J122</f>
        <v>0</v>
      </c>
      <c r="I123" s="26">
        <f t="shared" si="26"/>
        <v>0</v>
      </c>
      <c r="J123" s="365"/>
      <c r="L123" s="365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s="27" customFormat="1" ht="15" customHeight="1">
      <c r="A124" s="24" t="s">
        <v>3969</v>
      </c>
      <c r="B124" s="78" t="s">
        <v>3812</v>
      </c>
      <c r="C124" s="25" t="s">
        <v>12</v>
      </c>
      <c r="D124" s="25" t="s">
        <v>45</v>
      </c>
      <c r="E124" s="26">
        <v>1</v>
      </c>
      <c r="F124" s="26"/>
      <c r="G124" s="26">
        <f>ROUND(F124*E124,2)</f>
        <v>0</v>
      </c>
      <c r="H124" s="26">
        <f t="shared" ref="H124:H126" si="28">J123</f>
        <v>0</v>
      </c>
      <c r="I124" s="26">
        <f t="shared" si="26"/>
        <v>0</v>
      </c>
      <c r="J124" s="365"/>
      <c r="L124" s="365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s="27" customFormat="1" ht="15" customHeight="1">
      <c r="A125" s="24" t="s">
        <v>3965</v>
      </c>
      <c r="B125" s="78" t="s">
        <v>3966</v>
      </c>
      <c r="C125" s="25" t="s">
        <v>12</v>
      </c>
      <c r="D125" s="25" t="s">
        <v>45</v>
      </c>
      <c r="E125" s="25" t="s">
        <v>3967</v>
      </c>
      <c r="F125" s="26">
        <f>9.24*1.17</f>
        <v>10.8108</v>
      </c>
      <c r="G125" s="26">
        <f>ROUND(F125*E125*$E$101,2)*E124</f>
        <v>12.32</v>
      </c>
      <c r="H125" s="26">
        <f t="shared" si="28"/>
        <v>0</v>
      </c>
      <c r="I125" s="26">
        <f>ROUND(H125*E125*$E$124,2)</f>
        <v>0</v>
      </c>
      <c r="J125" s="365"/>
      <c r="L125" s="365"/>
      <c r="M125" s="26"/>
      <c r="N125" s="26"/>
      <c r="O125" s="26"/>
      <c r="P125" s="26"/>
      <c r="Q125" s="26"/>
      <c r="R125" s="26">
        <v>10.92</v>
      </c>
      <c r="S125" s="26">
        <v>11.36</v>
      </c>
      <c r="T125" s="26"/>
      <c r="U125" s="26"/>
      <c r="V125" s="26"/>
      <c r="W125" s="26"/>
      <c r="X125" s="26"/>
    </row>
    <row r="126" spans="1:24" s="27" customFormat="1" ht="15" customHeight="1">
      <c r="A126" s="24" t="s">
        <v>3915</v>
      </c>
      <c r="B126" s="78" t="s">
        <v>395</v>
      </c>
      <c r="C126" s="25" t="s">
        <v>12</v>
      </c>
      <c r="D126" s="25" t="s">
        <v>19</v>
      </c>
      <c r="E126" s="25" t="s">
        <v>3968</v>
      </c>
      <c r="F126" s="26">
        <f>17.7*0.85</f>
        <v>15.044999999999998</v>
      </c>
      <c r="G126" s="26">
        <f>ROUND(F126*E126*$E$124,2)</f>
        <v>0.03</v>
      </c>
      <c r="H126" s="26">
        <f t="shared" si="28"/>
        <v>0</v>
      </c>
      <c r="I126" s="26">
        <f>ROUND(H126*E126*$E$124,2)</f>
        <v>0</v>
      </c>
      <c r="J126" s="365"/>
      <c r="L126" s="365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s="27" customFormat="1" ht="33.75" customHeight="1">
      <c r="A127" s="923" t="s">
        <v>1894</v>
      </c>
      <c r="B127" s="924"/>
      <c r="C127" s="924"/>
      <c r="D127" s="924"/>
      <c r="E127" s="924"/>
      <c r="F127" s="925"/>
      <c r="G127" s="96">
        <f>SUM(G120:G126)</f>
        <v>13.18</v>
      </c>
      <c r="H127" s="835"/>
      <c r="I127" s="96"/>
      <c r="J127" s="365"/>
      <c r="L127" s="365"/>
      <c r="M127" s="54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</row>
    <row r="128" spans="1:24" ht="60.75" customHeight="1">
      <c r="A128" s="53"/>
      <c r="B128" s="53"/>
      <c r="C128" s="53"/>
      <c r="D128" s="53"/>
      <c r="E128" s="53"/>
      <c r="F128" s="53"/>
      <c r="G128" s="54"/>
      <c r="H128" s="53"/>
      <c r="I128" s="531">
        <v>92408</v>
      </c>
      <c r="M128" s="809"/>
      <c r="N128" s="75"/>
      <c r="O128" s="589"/>
      <c r="P128" s="75"/>
      <c r="Q128" s="75"/>
      <c r="R128" s="75"/>
      <c r="S128" s="75"/>
      <c r="T128" s="75"/>
      <c r="U128" s="75"/>
      <c r="V128" s="75"/>
      <c r="W128" s="75"/>
      <c r="X128" s="75"/>
    </row>
    <row r="129" spans="1:24" ht="49.5" customHeight="1">
      <c r="A129" s="920" t="s">
        <v>1551</v>
      </c>
      <c r="B129" s="921"/>
      <c r="C129" s="921"/>
      <c r="D129" s="921"/>
      <c r="E129" s="929"/>
      <c r="F129" s="75"/>
      <c r="G129" s="809"/>
      <c r="H129" s="75" t="s">
        <v>1915</v>
      </c>
      <c r="I129" s="77" t="s">
        <v>368</v>
      </c>
      <c r="M129" s="93"/>
      <c r="N129" s="77"/>
      <c r="O129" s="590"/>
      <c r="P129" s="77"/>
      <c r="Q129" s="77"/>
      <c r="R129" s="93"/>
      <c r="S129" s="93"/>
      <c r="T129" s="77"/>
      <c r="U129" s="77"/>
      <c r="V129" s="77"/>
      <c r="W129" s="77"/>
      <c r="X129" s="77"/>
    </row>
    <row r="130" spans="1:24" ht="45" customHeight="1">
      <c r="A130" s="77" t="s">
        <v>1917</v>
      </c>
      <c r="B130" s="809"/>
      <c r="C130" s="77" t="s">
        <v>3</v>
      </c>
      <c r="D130" s="77" t="s">
        <v>4</v>
      </c>
      <c r="E130" s="77" t="s">
        <v>1826</v>
      </c>
      <c r="F130" s="93" t="s">
        <v>3781</v>
      </c>
      <c r="G130" s="93" t="s">
        <v>3783</v>
      </c>
      <c r="H130" s="77" t="s">
        <v>367</v>
      </c>
      <c r="I130" s="26"/>
      <c r="M130" s="26"/>
      <c r="N130" s="26"/>
      <c r="O130" s="595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s="27" customFormat="1" ht="45">
      <c r="A131" s="24">
        <v>2692</v>
      </c>
      <c r="B131" s="78" t="s">
        <v>399</v>
      </c>
      <c r="C131" s="25" t="s">
        <v>12</v>
      </c>
      <c r="D131" s="25" t="s">
        <v>381</v>
      </c>
      <c r="E131" s="26">
        <v>1.7000000000000001E-2</v>
      </c>
      <c r="F131" s="26">
        <f>0.85*6.63</f>
        <v>5.6354999999999995</v>
      </c>
      <c r="G131" s="26">
        <f>ROUND(F131*E131,2)</f>
        <v>0.1</v>
      </c>
      <c r="H131" s="26"/>
      <c r="I131" s="26">
        <f t="shared" ref="I131:I135" si="29">ROUND(H131*E131,2)</f>
        <v>0</v>
      </c>
      <c r="J131" s="365"/>
      <c r="L131" s="365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s="27" customFormat="1" ht="30">
      <c r="A132" s="24">
        <v>40304</v>
      </c>
      <c r="B132" s="78" t="s">
        <v>400</v>
      </c>
      <c r="C132" s="25" t="s">
        <v>12</v>
      </c>
      <c r="D132" s="25" t="s">
        <v>45</v>
      </c>
      <c r="E132" s="26">
        <v>2.7E-2</v>
      </c>
      <c r="F132" s="26">
        <f>0.85*23.23</f>
        <v>19.7455</v>
      </c>
      <c r="G132" s="26">
        <f>ROUND(F132*E132,2)</f>
        <v>0.53</v>
      </c>
      <c r="H132" s="26"/>
      <c r="I132" s="26">
        <f t="shared" si="29"/>
        <v>0</v>
      </c>
      <c r="J132" s="365"/>
      <c r="L132" s="365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s="27" customFormat="1" ht="30">
      <c r="A133" s="24">
        <v>88239</v>
      </c>
      <c r="B133" s="78" t="s">
        <v>393</v>
      </c>
      <c r="C133" s="25" t="s">
        <v>12</v>
      </c>
      <c r="D133" s="25" t="s">
        <v>19</v>
      </c>
      <c r="E133" s="26">
        <v>0.628</v>
      </c>
      <c r="F133" s="26">
        <f>14.85*0.85</f>
        <v>12.622499999999999</v>
      </c>
      <c r="G133" s="26">
        <f>ROUND(F133*E133,2)</f>
        <v>7.93</v>
      </c>
      <c r="H133" s="26"/>
      <c r="I133" s="26">
        <f t="shared" si="29"/>
        <v>0</v>
      </c>
      <c r="J133" s="365"/>
      <c r="L133" s="365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s="27" customFormat="1" ht="30">
      <c r="A134" s="24">
        <v>88262</v>
      </c>
      <c r="B134" s="78" t="s">
        <v>376</v>
      </c>
      <c r="C134" s="25" t="s">
        <v>12</v>
      </c>
      <c r="D134" s="25" t="s">
        <v>19</v>
      </c>
      <c r="E134" s="26">
        <v>3.4220000000000002</v>
      </c>
      <c r="F134" s="26">
        <f>17.6*0.85</f>
        <v>14.96</v>
      </c>
      <c r="G134" s="26">
        <f>ROUND(F134*E134,2)</f>
        <v>51.19</v>
      </c>
      <c r="H134" s="26"/>
      <c r="I134" s="26">
        <f t="shared" si="29"/>
        <v>0</v>
      </c>
      <c r="J134" s="365"/>
      <c r="L134" s="365"/>
      <c r="M134" s="26"/>
      <c r="N134" s="155"/>
      <c r="O134" s="155"/>
      <c r="P134" s="155"/>
      <c r="Q134" s="155"/>
      <c r="R134" s="26"/>
      <c r="S134" s="26"/>
      <c r="T134" s="155"/>
      <c r="U134" s="155"/>
      <c r="V134" s="155"/>
      <c r="W134" s="155"/>
      <c r="X134" s="155"/>
    </row>
    <row r="135" spans="1:24" s="27" customFormat="1" ht="45">
      <c r="A135" s="669" t="s">
        <v>3988</v>
      </c>
      <c r="B135" s="670" t="s">
        <v>1787</v>
      </c>
      <c r="C135" s="671" t="s">
        <v>12</v>
      </c>
      <c r="D135" s="671" t="s">
        <v>26</v>
      </c>
      <c r="E135" s="672">
        <v>1.02</v>
      </c>
      <c r="F135" s="26"/>
      <c r="G135" s="672">
        <f>ROUND(F135*E135,2)</f>
        <v>0</v>
      </c>
      <c r="H135" s="864"/>
      <c r="I135" s="26">
        <f t="shared" si="29"/>
        <v>0</v>
      </c>
      <c r="J135" s="365"/>
      <c r="L135" s="365"/>
      <c r="M135" s="865"/>
      <c r="N135" s="866"/>
      <c r="O135" s="866"/>
      <c r="P135" s="866"/>
      <c r="Q135" s="866"/>
      <c r="R135" s="672"/>
      <c r="S135" s="672"/>
      <c r="T135" s="866"/>
      <c r="U135" s="866"/>
      <c r="V135" s="866"/>
      <c r="W135" s="866"/>
      <c r="X135" s="866"/>
    </row>
    <row r="136" spans="1:24" s="27" customFormat="1" ht="30">
      <c r="A136" s="25">
        <v>4517</v>
      </c>
      <c r="B136" s="670" t="s">
        <v>3976</v>
      </c>
      <c r="C136" s="671" t="s">
        <v>12</v>
      </c>
      <c r="D136" s="25" t="s">
        <v>52</v>
      </c>
      <c r="E136" s="26" t="s">
        <v>3977</v>
      </c>
      <c r="F136" s="26">
        <f>2.25*0.85</f>
        <v>1.9124999999999999</v>
      </c>
      <c r="G136" s="26">
        <f>ROUND(F136*E136*$E$135,2)</f>
        <v>8.65</v>
      </c>
      <c r="H136" s="155"/>
      <c r="I136" s="26">
        <f>ROUND(H136*E136*$E$135,2)</f>
        <v>0</v>
      </c>
      <c r="J136" s="365"/>
      <c r="L136" s="365"/>
      <c r="M136" s="532"/>
      <c r="N136" s="836"/>
      <c r="O136" s="836"/>
      <c r="P136" s="836"/>
      <c r="Q136" s="836"/>
      <c r="R136" s="26"/>
      <c r="S136" s="26"/>
      <c r="T136" s="836"/>
      <c r="U136" s="836"/>
      <c r="V136" s="836"/>
      <c r="W136" s="836"/>
      <c r="X136" s="836"/>
    </row>
    <row r="137" spans="1:24" s="27" customFormat="1" ht="30">
      <c r="A137" s="25" t="s">
        <v>3978</v>
      </c>
      <c r="B137" s="670" t="s">
        <v>3979</v>
      </c>
      <c r="C137" s="671" t="s">
        <v>12</v>
      </c>
      <c r="D137" s="25" t="s">
        <v>45</v>
      </c>
      <c r="E137" s="26" t="s">
        <v>3980</v>
      </c>
      <c r="F137" s="26">
        <f>F11</f>
        <v>15.794999999999998</v>
      </c>
      <c r="G137" s="26">
        <f>ROUND(F137*E137*$E$135,2)</f>
        <v>1.39</v>
      </c>
      <c r="H137" s="155"/>
      <c r="I137" s="26">
        <f t="shared" ref="I137:I142" si="30">ROUND(H137*E137*$E$135,2)</f>
        <v>0</v>
      </c>
      <c r="J137" s="365"/>
      <c r="L137" s="365"/>
      <c r="M137" s="532"/>
      <c r="N137" s="836"/>
      <c r="O137" s="836"/>
      <c r="P137" s="836"/>
      <c r="Q137" s="836"/>
      <c r="R137" s="26"/>
      <c r="S137" s="26"/>
      <c r="T137" s="836"/>
      <c r="U137" s="836"/>
      <c r="V137" s="836"/>
      <c r="W137" s="836"/>
      <c r="X137" s="836"/>
    </row>
    <row r="138" spans="1:24" s="27" customFormat="1" ht="45">
      <c r="A138" s="25">
        <v>6189</v>
      </c>
      <c r="B138" s="670" t="s">
        <v>3982</v>
      </c>
      <c r="C138" s="671" t="s">
        <v>12</v>
      </c>
      <c r="D138" s="25" t="s">
        <v>52</v>
      </c>
      <c r="E138" s="26" t="s">
        <v>3983</v>
      </c>
      <c r="F138" s="26">
        <f>F12</f>
        <v>17</v>
      </c>
      <c r="G138" s="26">
        <f>ROUND(F138*E138*$E$135,2)</f>
        <v>113.23</v>
      </c>
      <c r="H138" s="155"/>
      <c r="I138" s="26">
        <f>ROUND(H138*E138*$E$135,2)</f>
        <v>0</v>
      </c>
      <c r="J138" s="365"/>
      <c r="L138" s="365"/>
      <c r="M138" s="532"/>
      <c r="N138" s="836"/>
      <c r="O138" s="836"/>
      <c r="P138" s="836"/>
      <c r="Q138" s="836"/>
      <c r="R138" s="26"/>
      <c r="S138" s="26"/>
      <c r="T138" s="836"/>
      <c r="U138" s="836"/>
      <c r="V138" s="836"/>
      <c r="W138" s="836"/>
      <c r="X138" s="836"/>
    </row>
    <row r="139" spans="1:24" s="27" customFormat="1" ht="30">
      <c r="A139" s="25" t="s">
        <v>3909</v>
      </c>
      <c r="B139" s="670" t="s">
        <v>393</v>
      </c>
      <c r="C139" s="671" t="s">
        <v>12</v>
      </c>
      <c r="D139" s="26" t="s">
        <v>19</v>
      </c>
      <c r="E139" s="26" t="s">
        <v>3984</v>
      </c>
      <c r="F139" s="26">
        <f>14.85*0.85</f>
        <v>12.622499999999999</v>
      </c>
      <c r="G139" s="26">
        <f t="shared" ref="G139:G140" si="31">ROUND(F139*E139*$E$135,2)</f>
        <v>1.84</v>
      </c>
      <c r="H139" s="155"/>
      <c r="I139" s="26">
        <f>ROUND(H139*E139*$E$135,2)</f>
        <v>0</v>
      </c>
      <c r="J139" s="365"/>
      <c r="L139" s="365"/>
      <c r="M139" s="532"/>
      <c r="N139" s="836"/>
      <c r="O139" s="836"/>
      <c r="P139" s="836"/>
      <c r="Q139" s="836"/>
      <c r="R139" s="26"/>
      <c r="S139" s="26"/>
      <c r="T139" s="836"/>
      <c r="U139" s="836"/>
      <c r="V139" s="836"/>
      <c r="W139" s="836"/>
      <c r="X139" s="836"/>
    </row>
    <row r="140" spans="1:24" s="27" customFormat="1" ht="30">
      <c r="A140" s="25" t="s">
        <v>3910</v>
      </c>
      <c r="B140" s="670" t="s">
        <v>376</v>
      </c>
      <c r="C140" s="671" t="s">
        <v>12</v>
      </c>
      <c r="D140" s="26" t="s">
        <v>19</v>
      </c>
      <c r="E140" s="26" t="s">
        <v>3985</v>
      </c>
      <c r="F140" s="26">
        <f>17.6*0.85</f>
        <v>14.96</v>
      </c>
      <c r="G140" s="26">
        <f t="shared" si="31"/>
        <v>10.91</v>
      </c>
      <c r="H140" s="155"/>
      <c r="I140" s="26">
        <f>ROUND(H140*E140*$E$135,2)</f>
        <v>0</v>
      </c>
      <c r="J140" s="365"/>
      <c r="L140" s="365"/>
      <c r="M140" s="532"/>
      <c r="N140" s="836"/>
      <c r="O140" s="836"/>
      <c r="P140" s="836"/>
      <c r="Q140" s="836"/>
      <c r="R140" s="26"/>
      <c r="S140" s="26"/>
      <c r="T140" s="836"/>
      <c r="U140" s="836"/>
      <c r="V140" s="836"/>
      <c r="W140" s="836"/>
      <c r="X140" s="836"/>
    </row>
    <row r="141" spans="1:24" s="27" customFormat="1" ht="45">
      <c r="A141" s="25" t="s">
        <v>3931</v>
      </c>
      <c r="B141" s="670" t="s">
        <v>3932</v>
      </c>
      <c r="C141" s="671" t="s">
        <v>12</v>
      </c>
      <c r="D141" s="25" t="s">
        <v>388</v>
      </c>
      <c r="E141" s="26" t="s">
        <v>3986</v>
      </c>
      <c r="F141" s="26">
        <f>0.85*24.45</f>
        <v>20.782499999999999</v>
      </c>
      <c r="G141" s="26">
        <f>ROUND(F141*E141*$E$135,2)</f>
        <v>1.06</v>
      </c>
      <c r="H141" s="155"/>
      <c r="I141" s="26">
        <f t="shared" si="30"/>
        <v>0</v>
      </c>
      <c r="J141" s="365"/>
      <c r="L141" s="365"/>
      <c r="M141" s="532"/>
      <c r="N141" s="836"/>
      <c r="O141" s="836"/>
      <c r="P141" s="836"/>
      <c r="Q141" s="836"/>
      <c r="R141" s="26"/>
      <c r="S141" s="26"/>
      <c r="T141" s="836"/>
      <c r="U141" s="836"/>
      <c r="V141" s="836"/>
      <c r="W141" s="836"/>
      <c r="X141" s="836"/>
    </row>
    <row r="142" spans="1:24" s="27" customFormat="1" ht="49.5" customHeight="1">
      <c r="A142" s="25" t="s">
        <v>3933</v>
      </c>
      <c r="B142" s="670" t="s">
        <v>3934</v>
      </c>
      <c r="C142" s="671" t="s">
        <v>12</v>
      </c>
      <c r="D142" s="25" t="s">
        <v>389</v>
      </c>
      <c r="E142" s="26" t="s">
        <v>3987</v>
      </c>
      <c r="F142" s="26">
        <f>0.85*23.01</f>
        <v>19.558500000000002</v>
      </c>
      <c r="G142" s="26">
        <f>ROUND(F142*E142*$E$135,2)</f>
        <v>1.86</v>
      </c>
      <c r="H142" s="155"/>
      <c r="I142" s="155">
        <f t="shared" si="30"/>
        <v>0</v>
      </c>
      <c r="J142" s="365"/>
      <c r="L142" s="365"/>
      <c r="M142" s="532"/>
      <c r="N142" s="836"/>
      <c r="O142" s="836"/>
      <c r="P142" s="836"/>
      <c r="Q142" s="836"/>
      <c r="R142" s="26"/>
      <c r="S142" s="26"/>
      <c r="T142" s="836"/>
      <c r="U142" s="836"/>
      <c r="V142" s="836"/>
      <c r="W142" s="836"/>
      <c r="X142" s="836"/>
    </row>
    <row r="143" spans="1:24" ht="18" customHeight="1">
      <c r="A143" s="917" t="s">
        <v>1894</v>
      </c>
      <c r="B143" s="918"/>
      <c r="C143" s="918"/>
      <c r="D143" s="918"/>
      <c r="E143" s="918"/>
      <c r="F143" s="926"/>
      <c r="G143" s="532">
        <f>SUM(G131:G142)</f>
        <v>198.69000000000003</v>
      </c>
      <c r="H143" s="810"/>
      <c r="I143" s="689">
        <f>SUM(I131:I142)</f>
        <v>0</v>
      </c>
      <c r="M143" s="54"/>
      <c r="N143" s="53"/>
      <c r="O143" s="592"/>
      <c r="P143" s="53"/>
      <c r="Q143" s="53"/>
      <c r="R143" s="53"/>
      <c r="S143" s="53"/>
      <c r="T143" s="53"/>
      <c r="U143" s="53"/>
      <c r="V143" s="53"/>
      <c r="W143" s="53"/>
      <c r="X143" s="53"/>
    </row>
    <row r="144" spans="1:24" ht="34.5" customHeight="1">
      <c r="A144" s="53"/>
      <c r="B144" s="53"/>
      <c r="C144" s="53"/>
      <c r="D144" s="53"/>
      <c r="E144" s="53"/>
      <c r="F144" s="53"/>
      <c r="G144" s="54"/>
      <c r="H144" s="53"/>
      <c r="I144" s="688"/>
      <c r="M144" s="812"/>
      <c r="N144" s="75"/>
      <c r="O144" s="589"/>
      <c r="P144" s="75"/>
      <c r="Q144" s="75"/>
      <c r="R144" s="816"/>
      <c r="S144" s="816"/>
      <c r="T144" s="75"/>
      <c r="U144" s="75"/>
      <c r="V144" s="75"/>
      <c r="W144" s="75"/>
      <c r="X144" s="75"/>
    </row>
    <row r="145" spans="1:24" s="27" customFormat="1" ht="48.75" customHeight="1">
      <c r="A145" s="920" t="s">
        <v>1833</v>
      </c>
      <c r="B145" s="921"/>
      <c r="C145" s="921"/>
      <c r="D145" s="921"/>
      <c r="E145" s="929"/>
      <c r="F145" s="835"/>
      <c r="G145" s="835"/>
      <c r="H145" s="75" t="s">
        <v>12</v>
      </c>
      <c r="I145" s="77" t="s">
        <v>368</v>
      </c>
      <c r="J145" s="365"/>
      <c r="L145" s="365"/>
      <c r="M145" s="93"/>
      <c r="N145" s="77"/>
      <c r="O145" s="77"/>
      <c r="P145" s="77"/>
      <c r="Q145" s="77"/>
      <c r="R145" s="93"/>
      <c r="S145" s="93"/>
      <c r="T145" s="77"/>
      <c r="U145" s="77"/>
      <c r="V145" s="77"/>
      <c r="W145" s="77"/>
      <c r="X145" s="77"/>
    </row>
    <row r="146" spans="1:24" ht="45" customHeight="1">
      <c r="A146" s="77" t="s">
        <v>1917</v>
      </c>
      <c r="B146" s="809"/>
      <c r="C146" s="77" t="s">
        <v>3</v>
      </c>
      <c r="D146" s="77" t="s">
        <v>4</v>
      </c>
      <c r="E146" s="77" t="s">
        <v>1826</v>
      </c>
      <c r="F146" s="93" t="s">
        <v>3781</v>
      </c>
      <c r="G146" s="93" t="s">
        <v>3783</v>
      </c>
      <c r="H146" s="77" t="s">
        <v>367</v>
      </c>
      <c r="I146" s="26"/>
      <c r="M146" s="26"/>
      <c r="N146" s="26"/>
      <c r="O146" s="595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s="27" customFormat="1" ht="45">
      <c r="A147" s="24" t="s">
        <v>3898</v>
      </c>
      <c r="B147" s="78" t="s">
        <v>399</v>
      </c>
      <c r="C147" s="25" t="s">
        <v>12</v>
      </c>
      <c r="D147" s="25" t="s">
        <v>381</v>
      </c>
      <c r="E147" s="218">
        <v>0.01</v>
      </c>
      <c r="F147" s="26">
        <f>0.85*6.63</f>
        <v>5.6354999999999995</v>
      </c>
      <c r="G147" s="26">
        <f>ROUND(F147*E147,2)</f>
        <v>0.06</v>
      </c>
      <c r="H147" s="26"/>
      <c r="I147" s="26">
        <f t="shared" ref="I147:I156" si="32">ROUND(H147*E147,2)</f>
        <v>0</v>
      </c>
      <c r="J147" s="365"/>
      <c r="L147" s="365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s="27" customFormat="1" ht="30">
      <c r="A148" s="24">
        <v>4491</v>
      </c>
      <c r="B148" s="78" t="s">
        <v>3900</v>
      </c>
      <c r="C148" s="25" t="s">
        <v>12</v>
      </c>
      <c r="D148" s="25" t="s">
        <v>52</v>
      </c>
      <c r="E148" s="218">
        <v>0.72599999999999998</v>
      </c>
      <c r="F148" s="26">
        <f>AVERAGE(M148:X148)</f>
        <v>26</v>
      </c>
      <c r="G148" s="26">
        <f t="shared" ref="G148:G155" si="33">ROUND(F148*E148,2)</f>
        <v>18.88</v>
      </c>
      <c r="H148" s="26"/>
      <c r="I148" s="26">
        <f t="shared" si="32"/>
        <v>0</v>
      </c>
      <c r="J148" s="365"/>
      <c r="L148" s="365"/>
      <c r="M148" s="26">
        <v>26</v>
      </c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s="27" customFormat="1" ht="60">
      <c r="A149" s="24" t="s">
        <v>3901</v>
      </c>
      <c r="B149" s="78" t="s">
        <v>410</v>
      </c>
      <c r="C149" s="25" t="s">
        <v>12</v>
      </c>
      <c r="D149" s="25" t="s">
        <v>13</v>
      </c>
      <c r="E149" s="218">
        <v>1.1859999999999999</v>
      </c>
      <c r="F149" s="26">
        <f>0.85*4.75</f>
        <v>4.0374999999999996</v>
      </c>
      <c r="G149" s="26">
        <f t="shared" si="33"/>
        <v>4.79</v>
      </c>
      <c r="H149" s="26"/>
      <c r="I149" s="26">
        <f>ROUND(H149*E149,2)</f>
        <v>0</v>
      </c>
      <c r="J149" s="365"/>
      <c r="L149" s="365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s="27" customFormat="1" ht="60">
      <c r="A150" s="24" t="s">
        <v>3902</v>
      </c>
      <c r="B150" s="78" t="s">
        <v>3903</v>
      </c>
      <c r="C150" s="25" t="s">
        <v>12</v>
      </c>
      <c r="D150" s="25" t="s">
        <v>13</v>
      </c>
      <c r="E150" s="218">
        <v>0.35599999999999998</v>
      </c>
      <c r="F150" s="26">
        <f>0.85*10.38</f>
        <v>8.8230000000000004</v>
      </c>
      <c r="G150" s="26">
        <f>ROUND(F150*E150,2)</f>
        <v>3.14</v>
      </c>
      <c r="H150" s="26"/>
      <c r="I150" s="26">
        <f>ROUND(H150*E150,2)</f>
        <v>0</v>
      </c>
      <c r="J150" s="365"/>
      <c r="L150" s="365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s="27" customFormat="1" ht="45">
      <c r="A151" s="24" t="s">
        <v>3904</v>
      </c>
      <c r="B151" s="78" t="s">
        <v>3905</v>
      </c>
      <c r="C151" s="25" t="s">
        <v>12</v>
      </c>
      <c r="D151" s="25" t="s">
        <v>13</v>
      </c>
      <c r="E151" s="218">
        <v>0.47399999999999998</v>
      </c>
      <c r="F151" s="26">
        <f>0.85*2.59</f>
        <v>2.2014999999999998</v>
      </c>
      <c r="G151" s="26">
        <f>ROUND(F151*E151,2)</f>
        <v>1.04</v>
      </c>
      <c r="H151" s="26"/>
      <c r="I151" s="26">
        <f t="shared" si="32"/>
        <v>0</v>
      </c>
      <c r="J151" s="365"/>
      <c r="L151" s="365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s="27" customFormat="1" ht="30">
      <c r="A152" s="24">
        <v>40304</v>
      </c>
      <c r="B152" s="78" t="s">
        <v>400</v>
      </c>
      <c r="C152" s="25" t="s">
        <v>12</v>
      </c>
      <c r="D152" s="25" t="s">
        <v>45</v>
      </c>
      <c r="E152" s="218">
        <v>3.3000000000000002E-2</v>
      </c>
      <c r="F152" s="26">
        <f>0.85*23.23</f>
        <v>19.7455</v>
      </c>
      <c r="G152" s="26">
        <f>ROUND(F152*E152,2)</f>
        <v>0.65</v>
      </c>
      <c r="H152" s="26"/>
      <c r="I152" s="26">
        <f t="shared" si="32"/>
        <v>0</v>
      </c>
      <c r="J152" s="365"/>
      <c r="L152" s="365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s="27" customFormat="1" ht="30">
      <c r="A153" s="24" t="s">
        <v>3907</v>
      </c>
      <c r="B153" s="78" t="s">
        <v>3908</v>
      </c>
      <c r="C153" s="25" t="s">
        <v>12</v>
      </c>
      <c r="D153" s="25" t="s">
        <v>13</v>
      </c>
      <c r="E153" s="218">
        <v>1.1859999999999999</v>
      </c>
      <c r="F153" s="26">
        <f>0.85*2.59</f>
        <v>2.2014999999999998</v>
      </c>
      <c r="G153" s="26">
        <f t="shared" si="33"/>
        <v>2.61</v>
      </c>
      <c r="H153" s="26"/>
      <c r="I153" s="26">
        <f t="shared" si="32"/>
        <v>0</v>
      </c>
      <c r="J153" s="365"/>
      <c r="L153" s="365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s="27" customFormat="1" ht="30">
      <c r="A154" s="24" t="s">
        <v>3909</v>
      </c>
      <c r="B154" s="78" t="s">
        <v>393</v>
      </c>
      <c r="C154" s="25" t="s">
        <v>12</v>
      </c>
      <c r="D154" s="25" t="s">
        <v>19</v>
      </c>
      <c r="E154" s="218">
        <v>0.32400000000000001</v>
      </c>
      <c r="F154" s="26">
        <f>14.85*0.85</f>
        <v>12.622499999999999</v>
      </c>
      <c r="G154" s="26">
        <f t="shared" si="33"/>
        <v>4.09</v>
      </c>
      <c r="H154" s="26"/>
      <c r="I154" s="26">
        <f t="shared" si="32"/>
        <v>0</v>
      </c>
      <c r="J154" s="365"/>
      <c r="L154" s="365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s="27" customFormat="1" ht="30">
      <c r="A155" s="24" t="s">
        <v>3910</v>
      </c>
      <c r="B155" s="78" t="s">
        <v>376</v>
      </c>
      <c r="C155" s="25" t="s">
        <v>12</v>
      </c>
      <c r="D155" s="25" t="s">
        <v>19</v>
      </c>
      <c r="E155" s="218">
        <v>1.7689999999999999</v>
      </c>
      <c r="F155" s="26">
        <f>17.6*0.85</f>
        <v>14.96</v>
      </c>
      <c r="G155" s="26">
        <f t="shared" si="33"/>
        <v>26.46</v>
      </c>
      <c r="H155" s="26"/>
      <c r="I155" s="26">
        <f t="shared" si="32"/>
        <v>0</v>
      </c>
      <c r="J155" s="365"/>
      <c r="L155" s="365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s="27" customFormat="1" ht="15" customHeight="1">
      <c r="A156" s="24" t="s">
        <v>4002</v>
      </c>
      <c r="B156" s="78" t="s">
        <v>3911</v>
      </c>
      <c r="C156" s="25" t="s">
        <v>12</v>
      </c>
      <c r="D156" s="25" t="s">
        <v>26</v>
      </c>
      <c r="E156" s="218">
        <v>0.621</v>
      </c>
      <c r="F156" s="26"/>
      <c r="G156" s="26">
        <f>ROUND(F156*E156,2)</f>
        <v>0</v>
      </c>
      <c r="H156" s="26"/>
      <c r="I156" s="26">
        <f t="shared" si="32"/>
        <v>0</v>
      </c>
      <c r="J156" s="365"/>
      <c r="L156" s="365"/>
      <c r="M156" s="79"/>
      <c r="N156" s="836"/>
      <c r="O156" s="836"/>
      <c r="P156" s="836"/>
      <c r="Q156" s="836"/>
      <c r="R156" s="26"/>
      <c r="S156" s="26"/>
      <c r="T156" s="836"/>
      <c r="U156" s="836"/>
      <c r="V156" s="836"/>
      <c r="W156" s="836"/>
      <c r="X156" s="836"/>
    </row>
    <row r="157" spans="1:24" s="27" customFormat="1" ht="15" customHeight="1">
      <c r="A157" s="25" t="s">
        <v>3989</v>
      </c>
      <c r="B157" s="25" t="s">
        <v>3990</v>
      </c>
      <c r="C157" s="25" t="s">
        <v>12</v>
      </c>
      <c r="D157" s="25" t="s">
        <v>26</v>
      </c>
      <c r="E157" s="218" t="s">
        <v>3991</v>
      </c>
      <c r="F157" s="26">
        <f>AVERAGE(M157:X157)</f>
        <v>80.578512396694208</v>
      </c>
      <c r="G157" s="26">
        <f>ROUND(F157*E157*$E$156,2)</f>
        <v>57.34</v>
      </c>
      <c r="H157" s="26"/>
      <c r="I157" s="26">
        <f>ROUND(H157*E157*$E$156,2)</f>
        <v>0</v>
      </c>
      <c r="J157" s="365"/>
      <c r="L157" s="365"/>
      <c r="M157" s="79">
        <f>195/(2.2*1.1)</f>
        <v>80.578512396694208</v>
      </c>
      <c r="N157" s="836"/>
      <c r="O157" s="836"/>
      <c r="P157" s="836"/>
      <c r="Q157" s="836"/>
      <c r="R157" s="26"/>
      <c r="S157" s="26"/>
      <c r="T157" s="836"/>
      <c r="U157" s="836"/>
      <c r="V157" s="836"/>
      <c r="W157" s="836"/>
      <c r="X157" s="836"/>
    </row>
    <row r="158" spans="1:24" s="27" customFormat="1" ht="15" customHeight="1">
      <c r="A158" s="25" t="s">
        <v>3899</v>
      </c>
      <c r="B158" s="25" t="s">
        <v>3900</v>
      </c>
      <c r="C158" s="25" t="s">
        <v>12</v>
      </c>
      <c r="D158" s="25" t="s">
        <v>52</v>
      </c>
      <c r="E158" s="218" t="s">
        <v>3992</v>
      </c>
      <c r="F158" s="26">
        <f>AVERAGE(M158:X158)</f>
        <v>26</v>
      </c>
      <c r="G158" s="26">
        <f>ROUND(F158*E158*$E$156,2)</f>
        <v>2.68</v>
      </c>
      <c r="H158" s="26"/>
      <c r="I158" s="26">
        <f>ROUND(H158*E158*$E$156,2)</f>
        <v>0</v>
      </c>
      <c r="J158" s="365"/>
      <c r="L158" s="365"/>
      <c r="M158" s="79">
        <v>26</v>
      </c>
      <c r="N158" s="836"/>
      <c r="O158" s="836"/>
      <c r="P158" s="836"/>
      <c r="Q158" s="836"/>
      <c r="R158" s="26"/>
      <c r="S158" s="26"/>
      <c r="T158" s="836"/>
      <c r="U158" s="836"/>
      <c r="V158" s="836"/>
      <c r="W158" s="836"/>
      <c r="X158" s="836"/>
    </row>
    <row r="159" spans="1:24" s="27" customFormat="1" ht="15" customHeight="1">
      <c r="A159" s="25">
        <v>4517</v>
      </c>
      <c r="B159" s="25" t="s">
        <v>3976</v>
      </c>
      <c r="C159" s="25" t="s">
        <v>12</v>
      </c>
      <c r="D159" s="25" t="s">
        <v>52</v>
      </c>
      <c r="E159" s="218" t="s">
        <v>3993</v>
      </c>
      <c r="F159" s="26">
        <f>0.85*2.25</f>
        <v>1.9124999999999999</v>
      </c>
      <c r="G159" s="26">
        <f>ROUND(F159*E159*$E$156,2)</f>
        <v>8.26</v>
      </c>
      <c r="H159" s="26"/>
      <c r="I159" s="26">
        <f t="shared" ref="I159:I162" si="34">ROUND(H159*E159*$E$156,2)</f>
        <v>0</v>
      </c>
      <c r="J159" s="365"/>
      <c r="L159" s="365"/>
      <c r="M159" s="79"/>
      <c r="N159" s="836"/>
      <c r="O159" s="836"/>
      <c r="P159" s="836"/>
      <c r="Q159" s="836"/>
      <c r="R159" s="26"/>
      <c r="S159" s="26"/>
      <c r="T159" s="836"/>
      <c r="U159" s="836"/>
      <c r="V159" s="836"/>
      <c r="W159" s="836"/>
      <c r="X159" s="836"/>
    </row>
    <row r="160" spans="1:24" s="27" customFormat="1" ht="15" customHeight="1">
      <c r="A160" s="25" t="s">
        <v>3978</v>
      </c>
      <c r="B160" s="25" t="s">
        <v>3979</v>
      </c>
      <c r="C160" s="25" t="s">
        <v>12</v>
      </c>
      <c r="D160" s="25" t="s">
        <v>45</v>
      </c>
      <c r="E160" s="218" t="s">
        <v>3994</v>
      </c>
      <c r="F160" s="26">
        <f>0.85*22.34</f>
        <v>18.989000000000001</v>
      </c>
      <c r="G160" s="26">
        <f>ROUND(F160*E160*$E$156,2)</f>
        <v>1.87</v>
      </c>
      <c r="H160" s="26"/>
      <c r="I160" s="26">
        <f>ROUND(H160*E160*$E$156,2)</f>
        <v>0</v>
      </c>
      <c r="J160" s="365"/>
      <c r="L160" s="365"/>
      <c r="M160" s="79"/>
      <c r="N160" s="836"/>
      <c r="O160" s="836"/>
      <c r="P160" s="836"/>
      <c r="Q160" s="836"/>
      <c r="R160" s="26"/>
      <c r="S160" s="26"/>
      <c r="T160" s="836"/>
      <c r="U160" s="836"/>
      <c r="V160" s="836"/>
      <c r="W160" s="836"/>
      <c r="X160" s="836"/>
    </row>
    <row r="161" spans="1:24" s="27" customFormat="1" ht="15" customHeight="1">
      <c r="A161" s="25" t="s">
        <v>3909</v>
      </c>
      <c r="B161" s="25" t="s">
        <v>393</v>
      </c>
      <c r="C161" s="25" t="s">
        <v>12</v>
      </c>
      <c r="D161" s="25" t="s">
        <v>19</v>
      </c>
      <c r="E161" s="218" t="s">
        <v>3995</v>
      </c>
      <c r="F161" s="26">
        <f>14.85*0.85</f>
        <v>12.622499999999999</v>
      </c>
      <c r="G161" s="26">
        <f t="shared" ref="G161:G162" si="35">ROUND(F161*E161*$E$156,2)</f>
        <v>1.58</v>
      </c>
      <c r="H161" s="26"/>
      <c r="I161" s="26">
        <f>ROUND(H161*E161*$E$156,2)</f>
        <v>0</v>
      </c>
      <c r="J161" s="365"/>
      <c r="L161" s="365"/>
      <c r="M161" s="79"/>
      <c r="N161" s="836"/>
      <c r="O161" s="836"/>
      <c r="P161" s="836"/>
      <c r="Q161" s="836"/>
      <c r="R161" s="26"/>
      <c r="S161" s="26"/>
      <c r="T161" s="836"/>
      <c r="U161" s="836"/>
      <c r="V161" s="836"/>
      <c r="W161" s="836"/>
      <c r="X161" s="836"/>
    </row>
    <row r="162" spans="1:24" s="27" customFormat="1" ht="15" customHeight="1">
      <c r="A162" s="25" t="s">
        <v>3910</v>
      </c>
      <c r="B162" s="25" t="s">
        <v>376</v>
      </c>
      <c r="C162" s="25" t="s">
        <v>12</v>
      </c>
      <c r="D162" s="25" t="s">
        <v>19</v>
      </c>
      <c r="E162" s="218" t="s">
        <v>3996</v>
      </c>
      <c r="F162" s="26">
        <f>17.6*0.85</f>
        <v>14.96</v>
      </c>
      <c r="G162" s="26">
        <f t="shared" si="35"/>
        <v>9.4</v>
      </c>
      <c r="H162" s="26"/>
      <c r="I162" s="26">
        <f t="shared" si="34"/>
        <v>0</v>
      </c>
      <c r="J162" s="365"/>
      <c r="L162" s="365"/>
      <c r="M162" s="79"/>
      <c r="N162" s="836"/>
      <c r="O162" s="836"/>
      <c r="P162" s="836"/>
      <c r="Q162" s="836"/>
      <c r="R162" s="26"/>
      <c r="S162" s="26"/>
      <c r="T162" s="836"/>
      <c r="U162" s="836"/>
      <c r="V162" s="836"/>
      <c r="W162" s="836"/>
      <c r="X162" s="836"/>
    </row>
    <row r="163" spans="1:24" s="27" customFormat="1" ht="15" customHeight="1">
      <c r="A163" s="25" t="s">
        <v>3931</v>
      </c>
      <c r="B163" s="25" t="s">
        <v>3932</v>
      </c>
      <c r="C163" s="25" t="s">
        <v>12</v>
      </c>
      <c r="D163" s="25" t="s">
        <v>388</v>
      </c>
      <c r="E163" s="218" t="s">
        <v>3986</v>
      </c>
      <c r="F163" s="26">
        <f>0.85*24.45</f>
        <v>20.782499999999999</v>
      </c>
      <c r="G163" s="26">
        <f>ROUND(F163*E163*$E$156,2)</f>
        <v>0.65</v>
      </c>
      <c r="H163" s="26"/>
      <c r="I163" s="26">
        <f>ROUND(H163*E163*$E$156,2)</f>
        <v>0</v>
      </c>
      <c r="J163" s="365"/>
      <c r="L163" s="365"/>
      <c r="M163" s="79"/>
      <c r="N163" s="836"/>
      <c r="O163" s="836"/>
      <c r="P163" s="836"/>
      <c r="Q163" s="836"/>
      <c r="R163" s="26"/>
      <c r="S163" s="26"/>
      <c r="T163" s="836"/>
      <c r="U163" s="836"/>
      <c r="V163" s="836"/>
      <c r="W163" s="836"/>
      <c r="X163" s="836"/>
    </row>
    <row r="164" spans="1:24" s="27" customFormat="1" ht="15" customHeight="1">
      <c r="A164" s="25" t="s">
        <v>3933</v>
      </c>
      <c r="B164" s="25" t="s">
        <v>3934</v>
      </c>
      <c r="C164" s="25" t="s">
        <v>12</v>
      </c>
      <c r="D164" s="25" t="s">
        <v>389</v>
      </c>
      <c r="E164" s="218" t="s">
        <v>3997</v>
      </c>
      <c r="F164" s="26">
        <f>0.85*23.01</f>
        <v>19.558500000000002</v>
      </c>
      <c r="G164" s="26">
        <f t="shared" ref="G164" si="36">ROUND(F164*E164*$E$156,2)</f>
        <v>1.85</v>
      </c>
      <c r="H164" s="26"/>
      <c r="I164" s="26">
        <f>ROUND(H164*E164*$E$156,2)</f>
        <v>0</v>
      </c>
      <c r="J164" s="365"/>
      <c r="L164" s="365"/>
      <c r="M164" s="79"/>
      <c r="N164" s="836"/>
      <c r="O164" s="836"/>
      <c r="P164" s="836"/>
      <c r="Q164" s="836"/>
      <c r="R164" s="26"/>
      <c r="S164" s="26"/>
      <c r="T164" s="836"/>
      <c r="U164" s="836"/>
      <c r="V164" s="836"/>
      <c r="W164" s="836"/>
      <c r="X164" s="836"/>
    </row>
    <row r="165" spans="1:24" ht="24" customHeight="1">
      <c r="A165" s="923" t="s">
        <v>1894</v>
      </c>
      <c r="B165" s="924"/>
      <c r="C165" s="924"/>
      <c r="D165" s="924"/>
      <c r="E165" s="924"/>
      <c r="F165" s="925"/>
      <c r="G165" s="96">
        <f>SUM(G147:G164)</f>
        <v>145.35000000000002</v>
      </c>
      <c r="H165" s="810"/>
      <c r="I165" s="79">
        <f>SUM(I147:I164)</f>
        <v>0</v>
      </c>
      <c r="M165" s="54"/>
      <c r="N165" s="53"/>
      <c r="O165" s="592"/>
      <c r="P165" s="53"/>
      <c r="Q165" s="53"/>
      <c r="R165" s="53"/>
      <c r="S165" s="53"/>
      <c r="T165" s="53"/>
      <c r="U165" s="53"/>
      <c r="V165" s="53"/>
      <c r="W165" s="53"/>
      <c r="X165" s="53"/>
    </row>
    <row r="166" spans="1:24" ht="52.5" customHeight="1">
      <c r="A166" s="53"/>
      <c r="B166" s="53"/>
      <c r="C166" s="53"/>
      <c r="D166" s="53"/>
      <c r="E166" s="53"/>
      <c r="F166" s="53"/>
      <c r="G166" s="54"/>
      <c r="H166" s="53"/>
      <c r="I166" s="82">
        <v>92773</v>
      </c>
      <c r="M166" s="812"/>
      <c r="N166" s="75"/>
      <c r="O166" s="589"/>
      <c r="P166" s="75"/>
      <c r="Q166" s="75"/>
      <c r="R166" s="816"/>
      <c r="S166" s="816"/>
      <c r="T166" s="75"/>
      <c r="U166" s="75"/>
      <c r="V166" s="75"/>
      <c r="W166" s="75"/>
      <c r="X166" s="75"/>
    </row>
    <row r="167" spans="1:24" s="27" customFormat="1" ht="39.75" customHeight="1">
      <c r="A167" s="920" t="s">
        <v>1560</v>
      </c>
      <c r="B167" s="921"/>
      <c r="C167" s="921"/>
      <c r="D167" s="921"/>
      <c r="E167" s="929"/>
      <c r="F167" s="835"/>
      <c r="G167" s="835"/>
      <c r="H167" s="75" t="s">
        <v>12</v>
      </c>
      <c r="I167" s="77" t="s">
        <v>368</v>
      </c>
      <c r="J167" s="365"/>
      <c r="L167" s="365"/>
      <c r="M167" s="93"/>
      <c r="N167" s="77"/>
      <c r="O167" s="77"/>
      <c r="P167" s="77"/>
      <c r="Q167" s="77"/>
      <c r="R167" s="93"/>
      <c r="S167" s="93"/>
      <c r="T167" s="77"/>
      <c r="U167" s="77"/>
      <c r="V167" s="77"/>
      <c r="W167" s="77"/>
      <c r="X167" s="77"/>
    </row>
    <row r="168" spans="1:24" s="27" customFormat="1" ht="45" customHeight="1">
      <c r="A168" s="77" t="s">
        <v>1917</v>
      </c>
      <c r="B168" s="838"/>
      <c r="C168" s="77" t="s">
        <v>3</v>
      </c>
      <c r="D168" s="77" t="s">
        <v>4</v>
      </c>
      <c r="E168" s="77" t="s">
        <v>1826</v>
      </c>
      <c r="F168" s="93" t="s">
        <v>3781</v>
      </c>
      <c r="G168" s="93" t="s">
        <v>3783</v>
      </c>
      <c r="H168" s="77" t="s">
        <v>367</v>
      </c>
      <c r="I168" s="26" t="e">
        <f>ROUND(H168*E168,2)</f>
        <v>#VALUE!</v>
      </c>
      <c r="J168" s="365"/>
      <c r="L168" s="365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s="27" customFormat="1" ht="30">
      <c r="A169" s="24" t="s">
        <v>3912</v>
      </c>
      <c r="B169" s="78" t="s">
        <v>3913</v>
      </c>
      <c r="C169" s="25" t="s">
        <v>12</v>
      </c>
      <c r="D169" s="25" t="s">
        <v>45</v>
      </c>
      <c r="E169" s="218">
        <v>2.5000000000000001E-2</v>
      </c>
      <c r="F169" s="26">
        <f>F110</f>
        <v>20.942999999999998</v>
      </c>
      <c r="G169" s="26">
        <f>ROUND(F169*E169,2)</f>
        <v>0.52</v>
      </c>
      <c r="H169" s="26">
        <f>J168</f>
        <v>0</v>
      </c>
      <c r="I169" s="26">
        <f t="shared" ref="I169:I172" si="37">ROUND(H169*E169,2)</f>
        <v>0</v>
      </c>
      <c r="J169" s="365"/>
      <c r="L169" s="365"/>
      <c r="M169" s="26"/>
      <c r="N169" s="26"/>
      <c r="O169" s="26"/>
      <c r="P169" s="26"/>
      <c r="Q169" s="26"/>
      <c r="R169" s="26">
        <v>20.95</v>
      </c>
      <c r="S169" s="26">
        <v>20.95</v>
      </c>
      <c r="T169" s="26"/>
      <c r="U169" s="26"/>
      <c r="V169" s="26"/>
      <c r="W169" s="26"/>
      <c r="X169" s="26"/>
    </row>
    <row r="170" spans="1:24" s="27" customFormat="1" ht="30">
      <c r="A170" s="24" t="s">
        <v>3914</v>
      </c>
      <c r="B170" s="78" t="s">
        <v>394</v>
      </c>
      <c r="C170" s="25" t="s">
        <v>12</v>
      </c>
      <c r="D170" s="25" t="s">
        <v>19</v>
      </c>
      <c r="E170" s="218">
        <v>2.5999999999999999E-3</v>
      </c>
      <c r="F170" s="26">
        <f>13.77*0.85</f>
        <v>11.704499999999999</v>
      </c>
      <c r="G170" s="26">
        <f t="shared" ref="G170:G172" si="38">ROUND(F170*E170,2)</f>
        <v>0.03</v>
      </c>
      <c r="H170" s="26">
        <f>J169</f>
        <v>0</v>
      </c>
      <c r="I170" s="26">
        <f t="shared" si="37"/>
        <v>0</v>
      </c>
      <c r="J170" s="365"/>
      <c r="L170" s="365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s="27" customFormat="1">
      <c r="A171" s="24" t="s">
        <v>3915</v>
      </c>
      <c r="B171" s="78" t="s">
        <v>395</v>
      </c>
      <c r="C171" s="25" t="s">
        <v>12</v>
      </c>
      <c r="D171" s="25" t="s">
        <v>19</v>
      </c>
      <c r="E171" s="218">
        <v>1.5800000000000002E-2</v>
      </c>
      <c r="F171" s="26">
        <f>17.7*0.85</f>
        <v>15.044999999999998</v>
      </c>
      <c r="G171" s="26">
        <f t="shared" si="38"/>
        <v>0.24</v>
      </c>
      <c r="H171" s="26">
        <f>J170</f>
        <v>0</v>
      </c>
      <c r="I171" s="26">
        <f t="shared" si="37"/>
        <v>0</v>
      </c>
      <c r="J171" s="365"/>
      <c r="L171" s="365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s="27" customFormat="1" ht="15" customHeight="1">
      <c r="A172" s="24" t="s">
        <v>3971</v>
      </c>
      <c r="B172" s="78" t="s">
        <v>3916</v>
      </c>
      <c r="C172" s="25" t="s">
        <v>12</v>
      </c>
      <c r="D172" s="25" t="s">
        <v>45</v>
      </c>
      <c r="E172" s="533">
        <v>1</v>
      </c>
      <c r="F172" s="26"/>
      <c r="G172" s="26">
        <f t="shared" si="38"/>
        <v>0</v>
      </c>
      <c r="H172" s="26">
        <f t="shared" ref="H172:H174" si="39">J171</f>
        <v>0</v>
      </c>
      <c r="I172" s="26">
        <f t="shared" si="37"/>
        <v>0</v>
      </c>
      <c r="J172" s="365"/>
      <c r="L172" s="365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s="27" customFormat="1" ht="15" customHeight="1">
      <c r="A173" s="24" t="s">
        <v>3946</v>
      </c>
      <c r="B173" s="78" t="s">
        <v>3947</v>
      </c>
      <c r="C173" s="25" t="s">
        <v>12</v>
      </c>
      <c r="D173" s="25" t="s">
        <v>45</v>
      </c>
      <c r="E173" s="25" t="s">
        <v>3948</v>
      </c>
      <c r="F173" s="26">
        <f>F114</f>
        <v>10.8108</v>
      </c>
      <c r="G173" s="26">
        <f>ROUND(F173*E173*$E$172,2)</f>
        <v>12</v>
      </c>
      <c r="H173" s="26">
        <f t="shared" si="39"/>
        <v>0</v>
      </c>
      <c r="I173" s="26">
        <f>ROUND(H173*E173*$E$172,2)</f>
        <v>0</v>
      </c>
      <c r="J173" s="365"/>
      <c r="L173" s="365"/>
      <c r="M173" s="26"/>
      <c r="N173" s="26"/>
      <c r="O173" s="26"/>
      <c r="P173" s="26"/>
      <c r="Q173" s="26"/>
      <c r="R173" s="26">
        <v>10.87</v>
      </c>
      <c r="S173" s="26">
        <v>11.36</v>
      </c>
      <c r="T173" s="26"/>
      <c r="U173" s="26"/>
      <c r="V173" s="26"/>
      <c r="W173" s="26"/>
      <c r="X173" s="26"/>
    </row>
    <row r="174" spans="1:24" s="27" customFormat="1" ht="15" customHeight="1">
      <c r="A174" s="24" t="s">
        <v>3915</v>
      </c>
      <c r="B174" s="78" t="s">
        <v>395</v>
      </c>
      <c r="C174" s="25" t="s">
        <v>12</v>
      </c>
      <c r="D174" s="25" t="s">
        <v>19</v>
      </c>
      <c r="E174" s="25" t="s">
        <v>3970</v>
      </c>
      <c r="F174" s="26">
        <f>17.7*0.85</f>
        <v>15.044999999999998</v>
      </c>
      <c r="G174" s="26">
        <f>ROUND(F174*E174*$E$172,2)</f>
        <v>0.04</v>
      </c>
      <c r="H174" s="26">
        <f t="shared" si="39"/>
        <v>0</v>
      </c>
      <c r="I174" s="26">
        <f>ROUND(H174*E174*$E$172,2)</f>
        <v>0</v>
      </c>
      <c r="J174" s="365"/>
      <c r="L174" s="365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s="27" customFormat="1" ht="32.25" customHeight="1">
      <c r="A175" s="917" t="s">
        <v>1894</v>
      </c>
      <c r="B175" s="918"/>
      <c r="C175" s="918"/>
      <c r="D175" s="918"/>
      <c r="E175" s="918"/>
      <c r="F175" s="926"/>
      <c r="G175" s="79">
        <f>SUM(G169:G174)</f>
        <v>12.829999999999998</v>
      </c>
      <c r="H175" s="836"/>
      <c r="I175" s="79">
        <f>SUM(I169:I174)</f>
        <v>0</v>
      </c>
      <c r="J175" s="365"/>
      <c r="L175" s="365"/>
      <c r="M175" s="54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</row>
    <row r="176" spans="1:24" ht="53.25" customHeight="1">
      <c r="A176" s="53"/>
      <c r="B176" s="53"/>
      <c r="C176" s="53"/>
      <c r="D176" s="53"/>
      <c r="E176" s="53"/>
      <c r="F176" s="53"/>
      <c r="G176" s="54"/>
      <c r="H176" s="53"/>
      <c r="I176" s="82">
        <v>92774</v>
      </c>
      <c r="M176" s="812"/>
      <c r="N176" s="75"/>
      <c r="O176" s="589"/>
      <c r="P176" s="75"/>
      <c r="Q176" s="75"/>
      <c r="R176" s="816"/>
      <c r="S176" s="816"/>
      <c r="T176" s="75"/>
      <c r="U176" s="75"/>
      <c r="V176" s="75"/>
      <c r="W176" s="75"/>
      <c r="X176" s="75"/>
    </row>
    <row r="177" spans="1:24" s="27" customFormat="1" ht="42" customHeight="1">
      <c r="A177" s="920" t="s">
        <v>1561</v>
      </c>
      <c r="B177" s="921"/>
      <c r="C177" s="921"/>
      <c r="D177" s="921"/>
      <c r="E177" s="929"/>
      <c r="F177" s="835"/>
      <c r="G177" s="835"/>
      <c r="H177" s="75" t="s">
        <v>12</v>
      </c>
      <c r="I177" s="77" t="s">
        <v>368</v>
      </c>
      <c r="J177" s="365"/>
      <c r="L177" s="365"/>
      <c r="M177" s="93"/>
      <c r="N177" s="77"/>
      <c r="O177" s="77"/>
      <c r="P177" s="77"/>
      <c r="Q177" s="77"/>
      <c r="R177" s="93"/>
      <c r="S177" s="93"/>
      <c r="T177" s="77"/>
      <c r="U177" s="77"/>
      <c r="V177" s="77"/>
      <c r="W177" s="77"/>
      <c r="X177" s="77"/>
    </row>
    <row r="178" spans="1:24" s="27" customFormat="1" ht="45" customHeight="1">
      <c r="A178" s="77" t="s">
        <v>1917</v>
      </c>
      <c r="B178" s="838"/>
      <c r="C178" s="77" t="s">
        <v>3</v>
      </c>
      <c r="D178" s="77" t="s">
        <v>4</v>
      </c>
      <c r="E178" s="77" t="s">
        <v>1826</v>
      </c>
      <c r="F178" s="93" t="s">
        <v>3781</v>
      </c>
      <c r="G178" s="93" t="s">
        <v>3783</v>
      </c>
      <c r="H178" s="77" t="s">
        <v>367</v>
      </c>
      <c r="I178" s="26" t="e">
        <f>ROUND(H178*E178,2)</f>
        <v>#VALUE!</v>
      </c>
      <c r="J178" s="365"/>
      <c r="L178" s="365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s="27" customFormat="1" ht="30">
      <c r="A179" s="24" t="s">
        <v>3912</v>
      </c>
      <c r="B179" s="78" t="s">
        <v>3913</v>
      </c>
      <c r="C179" s="25" t="s">
        <v>12</v>
      </c>
      <c r="D179" s="25" t="s">
        <v>45</v>
      </c>
      <c r="E179" s="218">
        <v>2.5000000000000001E-2</v>
      </c>
      <c r="F179" s="26">
        <f>F169</f>
        <v>20.942999999999998</v>
      </c>
      <c r="G179" s="26">
        <f>ROUND(F179*E179,2)</f>
        <v>0.52</v>
      </c>
      <c r="H179" s="26">
        <f>J178</f>
        <v>0</v>
      </c>
      <c r="I179" s="26">
        <f t="shared" ref="I179:I182" si="40">ROUND(H179*E179,2)</f>
        <v>0</v>
      </c>
      <c r="J179" s="365"/>
      <c r="L179" s="365"/>
      <c r="M179" s="26"/>
      <c r="N179" s="26"/>
      <c r="O179" s="26"/>
      <c r="P179" s="26"/>
      <c r="Q179" s="26"/>
      <c r="R179" s="26">
        <v>20.95</v>
      </c>
      <c r="S179" s="26">
        <v>20.95</v>
      </c>
      <c r="T179" s="26"/>
      <c r="U179" s="26"/>
      <c r="V179" s="26"/>
      <c r="W179" s="26"/>
      <c r="X179" s="26"/>
    </row>
    <row r="180" spans="1:24" s="27" customFormat="1" ht="30">
      <c r="A180" s="24" t="s">
        <v>3914</v>
      </c>
      <c r="B180" s="78" t="s">
        <v>394</v>
      </c>
      <c r="C180" s="25" t="s">
        <v>12</v>
      </c>
      <c r="D180" s="25" t="s">
        <v>19</v>
      </c>
      <c r="E180" s="218">
        <v>1.5E-3</v>
      </c>
      <c r="F180" s="26">
        <f>13.77*0.85</f>
        <v>11.704499999999999</v>
      </c>
      <c r="G180" s="26">
        <f t="shared" ref="G180:G181" si="41">ROUND(F180*E180,2)</f>
        <v>0.02</v>
      </c>
      <c r="H180" s="26">
        <f>J179</f>
        <v>0</v>
      </c>
      <c r="I180" s="26">
        <f t="shared" si="40"/>
        <v>0</v>
      </c>
      <c r="J180" s="365"/>
      <c r="L180" s="365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s="27" customFormat="1">
      <c r="A181" s="24" t="s">
        <v>3915</v>
      </c>
      <c r="B181" s="78" t="s">
        <v>395</v>
      </c>
      <c r="C181" s="25" t="s">
        <v>12</v>
      </c>
      <c r="D181" s="25" t="s">
        <v>19</v>
      </c>
      <c r="E181" s="218">
        <v>9.4000000000000004E-3</v>
      </c>
      <c r="F181" s="26">
        <f>17.7*0.85</f>
        <v>15.044999999999998</v>
      </c>
      <c r="G181" s="26">
        <f t="shared" si="41"/>
        <v>0.14000000000000001</v>
      </c>
      <c r="H181" s="26">
        <f>J180</f>
        <v>0</v>
      </c>
      <c r="I181" s="26">
        <f t="shared" si="40"/>
        <v>0</v>
      </c>
      <c r="J181" s="365"/>
      <c r="L181" s="365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s="27" customFormat="1" ht="30">
      <c r="A182" s="24" t="s">
        <v>3973</v>
      </c>
      <c r="B182" s="78" t="s">
        <v>3917</v>
      </c>
      <c r="C182" s="25" t="s">
        <v>12</v>
      </c>
      <c r="D182" s="25" t="s">
        <v>45</v>
      </c>
      <c r="E182" s="533">
        <v>1</v>
      </c>
      <c r="F182" s="26"/>
      <c r="G182" s="26">
        <f>ROUND(F182*E182,2)</f>
        <v>0</v>
      </c>
      <c r="H182" s="26">
        <f>J181</f>
        <v>0</v>
      </c>
      <c r="I182" s="26">
        <f t="shared" si="40"/>
        <v>0</v>
      </c>
      <c r="J182" s="365"/>
      <c r="L182" s="365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s="27" customFormat="1">
      <c r="A183" s="24" t="s">
        <v>3965</v>
      </c>
      <c r="B183" s="78" t="s">
        <v>3966</v>
      </c>
      <c r="C183" s="25" t="s">
        <v>12</v>
      </c>
      <c r="D183" s="25" t="s">
        <v>45</v>
      </c>
      <c r="E183" s="25" t="s">
        <v>3967</v>
      </c>
      <c r="F183" s="26">
        <f>F125</f>
        <v>10.8108</v>
      </c>
      <c r="G183" s="26">
        <f>ROUND(F183*E183*$E$182,2)</f>
        <v>12.32</v>
      </c>
      <c r="H183" s="155"/>
      <c r="I183" s="26">
        <f>ROUND(H183*E183*$E$182,2)</f>
        <v>0</v>
      </c>
      <c r="J183" s="365"/>
      <c r="L183" s="365"/>
      <c r="M183" s="26"/>
      <c r="N183" s="26"/>
      <c r="O183" s="26"/>
      <c r="P183" s="26"/>
      <c r="Q183" s="26"/>
      <c r="R183" s="26">
        <v>10.92</v>
      </c>
      <c r="S183" s="26">
        <v>11.36</v>
      </c>
      <c r="T183" s="26"/>
      <c r="U183" s="26"/>
      <c r="V183" s="26"/>
      <c r="W183" s="26"/>
      <c r="X183" s="26"/>
    </row>
    <row r="184" spans="1:24" s="27" customFormat="1" ht="15" customHeight="1">
      <c r="A184" s="24" t="s">
        <v>3915</v>
      </c>
      <c r="B184" s="78" t="s">
        <v>395</v>
      </c>
      <c r="C184" s="25" t="s">
        <v>12</v>
      </c>
      <c r="D184" s="25" t="s">
        <v>19</v>
      </c>
      <c r="E184" s="25" t="s">
        <v>3972</v>
      </c>
      <c r="F184" s="157">
        <f>17.7*0.85*'PLANILHA ORÇA - CORREGEDORIA'!$BH$19</f>
        <v>16.760255845920241</v>
      </c>
      <c r="G184" s="26">
        <f>ROUND(F184*E184*$E$182,2)</f>
        <v>0.02</v>
      </c>
      <c r="H184" s="481"/>
      <c r="I184" s="26">
        <f>ROUND(H184*E184*$E$182,2)</f>
        <v>0</v>
      </c>
      <c r="J184" s="365"/>
      <c r="L184" s="365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s="27" customFormat="1" ht="15" customHeight="1">
      <c r="A185" s="917" t="s">
        <v>1894</v>
      </c>
      <c r="B185" s="918"/>
      <c r="C185" s="918"/>
      <c r="D185" s="918"/>
      <c r="E185" s="918"/>
      <c r="F185" s="926"/>
      <c r="G185" s="527">
        <f>SUM(G179:G183)</f>
        <v>13</v>
      </c>
      <c r="H185" s="528"/>
      <c r="I185" s="527">
        <f>SUM(I179:I183)</f>
        <v>0</v>
      </c>
      <c r="J185" s="365"/>
      <c r="L185" s="365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5" customHeight="1">
      <c r="A186" s="53"/>
      <c r="B186" s="53"/>
      <c r="C186" s="53"/>
      <c r="D186" s="53"/>
      <c r="E186" s="53"/>
      <c r="F186" s="53"/>
      <c r="G186" s="54"/>
      <c r="H186" s="53"/>
      <c r="I186" s="54"/>
      <c r="M186" s="54"/>
      <c r="N186" s="53"/>
      <c r="O186" s="592"/>
      <c r="P186" s="53"/>
      <c r="Q186" s="53"/>
      <c r="R186" s="53"/>
      <c r="S186" s="53"/>
      <c r="T186" s="53"/>
      <c r="U186" s="53"/>
      <c r="V186" s="53"/>
      <c r="W186" s="53"/>
      <c r="X186" s="53"/>
    </row>
    <row r="187" spans="1:24" ht="15" customHeight="1">
      <c r="A187" s="53"/>
      <c r="B187" s="53"/>
      <c r="C187" s="53"/>
      <c r="D187" s="53"/>
      <c r="E187" s="53"/>
      <c r="F187" s="53"/>
      <c r="G187" s="54"/>
      <c r="H187" s="53"/>
      <c r="I187" s="54"/>
      <c r="M187" s="54"/>
      <c r="N187" s="53"/>
      <c r="O187" s="592"/>
      <c r="P187" s="53"/>
      <c r="Q187" s="53"/>
      <c r="R187" s="53"/>
      <c r="S187" s="53"/>
      <c r="T187" s="53"/>
      <c r="U187" s="53"/>
      <c r="V187" s="53"/>
      <c r="W187" s="53"/>
      <c r="X187" s="53"/>
    </row>
    <row r="188" spans="1:24" ht="15" customHeight="1">
      <c r="A188" s="53"/>
      <c r="B188" s="53"/>
      <c r="C188" s="53"/>
      <c r="D188" s="53"/>
      <c r="E188" s="53"/>
      <c r="F188" s="53"/>
      <c r="G188" s="54"/>
      <c r="H188" s="53"/>
      <c r="I188" s="54"/>
      <c r="M188" s="54"/>
      <c r="N188" s="53"/>
      <c r="O188" s="592"/>
      <c r="P188" s="53"/>
      <c r="Q188" s="53"/>
      <c r="R188" s="53"/>
      <c r="S188" s="53"/>
      <c r="T188" s="53"/>
      <c r="U188" s="53"/>
      <c r="V188" s="53"/>
      <c r="W188" s="53"/>
      <c r="X188" s="53"/>
    </row>
    <row r="189" spans="1:24" ht="48.75" customHeight="1">
      <c r="A189" s="53"/>
      <c r="B189" s="53"/>
      <c r="C189" s="53"/>
      <c r="D189" s="53"/>
      <c r="E189" s="53"/>
      <c r="F189" s="53"/>
      <c r="G189" s="54"/>
      <c r="H189" s="53"/>
      <c r="I189" s="809"/>
      <c r="M189" s="812"/>
      <c r="N189" s="75"/>
      <c r="O189" s="589"/>
      <c r="P189" s="75"/>
      <c r="Q189" s="75"/>
      <c r="R189" s="816"/>
      <c r="S189" s="816"/>
      <c r="T189" s="75"/>
      <c r="U189" s="75"/>
      <c r="V189" s="75"/>
      <c r="W189" s="75"/>
      <c r="X189" s="75"/>
    </row>
    <row r="190" spans="1:24" s="27" customFormat="1">
      <c r="A190" s="920" t="s">
        <v>2049</v>
      </c>
      <c r="B190" s="921"/>
      <c r="C190" s="921"/>
      <c r="D190" s="921"/>
      <c r="E190" s="922"/>
      <c r="F190" s="835"/>
      <c r="G190" s="835"/>
      <c r="H190" s="75" t="s">
        <v>1915</v>
      </c>
      <c r="I190" s="77" t="s">
        <v>368</v>
      </c>
      <c r="J190" s="365"/>
      <c r="L190" s="365"/>
      <c r="M190" s="93"/>
      <c r="N190" s="77"/>
      <c r="O190" s="77"/>
      <c r="P190" s="77"/>
      <c r="Q190" s="77"/>
      <c r="R190" s="93"/>
      <c r="S190" s="93"/>
      <c r="T190" s="77"/>
      <c r="U190" s="77"/>
      <c r="V190" s="77"/>
      <c r="W190" s="77"/>
      <c r="X190" s="77"/>
    </row>
    <row r="191" spans="1:24" s="27" customFormat="1" ht="45" customHeight="1">
      <c r="A191" s="77" t="s">
        <v>1917</v>
      </c>
      <c r="B191" s="838"/>
      <c r="C191" s="77" t="s">
        <v>3</v>
      </c>
      <c r="D191" s="77" t="s">
        <v>4</v>
      </c>
      <c r="E191" s="77" t="s">
        <v>1826</v>
      </c>
      <c r="F191" s="93" t="s">
        <v>3781</v>
      </c>
      <c r="G191" s="93" t="s">
        <v>3783</v>
      </c>
      <c r="H191" s="77" t="s">
        <v>367</v>
      </c>
      <c r="I191" s="26" t="e">
        <f>ROUND(H191*E191,2)</f>
        <v>#VALUE!</v>
      </c>
      <c r="J191" s="365">
        <v>5.6355000000000004</v>
      </c>
      <c r="L191" s="365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s="27" customFormat="1" ht="45">
      <c r="A192" s="24">
        <v>2692</v>
      </c>
      <c r="B192" s="78" t="s">
        <v>399</v>
      </c>
      <c r="C192" s="25" t="s">
        <v>12</v>
      </c>
      <c r="D192" s="25" t="s">
        <v>381</v>
      </c>
      <c r="E192" s="26">
        <v>1.7000000000000001E-2</v>
      </c>
      <c r="F192" s="26">
        <f>0.85*6.63</f>
        <v>5.6354999999999995</v>
      </c>
      <c r="G192" s="26">
        <f t="shared" ref="G192:G202" si="42">ROUND(F192*E192,2)</f>
        <v>0.1</v>
      </c>
      <c r="H192" s="26">
        <f>J191</f>
        <v>5.6355000000000004</v>
      </c>
      <c r="I192" s="26">
        <f t="shared" ref="I192:I202" si="43">ROUND(H192*E192,2)</f>
        <v>0.1</v>
      </c>
      <c r="J192" s="365">
        <v>12.0105</v>
      </c>
      <c r="L192" s="365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s="27" customFormat="1" ht="30">
      <c r="A193" s="24">
        <v>6193</v>
      </c>
      <c r="B193" s="78" t="s">
        <v>384</v>
      </c>
      <c r="C193" s="25" t="s">
        <v>12</v>
      </c>
      <c r="D193" s="25" t="s">
        <v>52</v>
      </c>
      <c r="E193" s="26">
        <v>3.1120000000000001</v>
      </c>
      <c r="F193" s="26">
        <f>0.85*14.13</f>
        <v>12.0105</v>
      </c>
      <c r="G193" s="26">
        <f t="shared" si="42"/>
        <v>37.380000000000003</v>
      </c>
      <c r="H193" s="26">
        <f t="shared" ref="H193:H208" si="44">J192</f>
        <v>12.0105</v>
      </c>
      <c r="I193" s="26">
        <f t="shared" si="43"/>
        <v>37.380000000000003</v>
      </c>
      <c r="J193" s="365">
        <v>19.7455</v>
      </c>
      <c r="L193" s="365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s="27" customFormat="1" ht="30">
      <c r="A194" s="24">
        <v>40304</v>
      </c>
      <c r="B194" s="78" t="s">
        <v>400</v>
      </c>
      <c r="C194" s="25" t="s">
        <v>12</v>
      </c>
      <c r="D194" s="25" t="s">
        <v>45</v>
      </c>
      <c r="E194" s="26">
        <v>6.5000000000000002E-2</v>
      </c>
      <c r="F194" s="26">
        <f>0.85*23.23</f>
        <v>19.7455</v>
      </c>
      <c r="G194" s="26">
        <f t="shared" si="42"/>
        <v>1.28</v>
      </c>
      <c r="H194" s="26">
        <f t="shared" si="44"/>
        <v>19.7455</v>
      </c>
      <c r="I194" s="26">
        <f t="shared" si="43"/>
        <v>1.28</v>
      </c>
      <c r="J194" s="365">
        <v>12.622499999999999</v>
      </c>
      <c r="L194" s="365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s="27" customFormat="1" ht="30">
      <c r="A195" s="24">
        <v>88239</v>
      </c>
      <c r="B195" s="78" t="s">
        <v>393</v>
      </c>
      <c r="C195" s="25" t="s">
        <v>12</v>
      </c>
      <c r="D195" s="25" t="s">
        <v>19</v>
      </c>
      <c r="E195" s="26">
        <v>0.81499999999999995</v>
      </c>
      <c r="F195" s="26">
        <f>14.85*0.85</f>
        <v>12.622499999999999</v>
      </c>
      <c r="G195" s="26">
        <f>ROUND(F195*E195,2)</f>
        <v>10.29</v>
      </c>
      <c r="H195" s="26">
        <f t="shared" si="44"/>
        <v>12.622499999999999</v>
      </c>
      <c r="I195" s="26">
        <f>ROUND(H195*E195,2)</f>
        <v>10.29</v>
      </c>
      <c r="J195" s="365">
        <v>14.96</v>
      </c>
      <c r="L195" s="365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s="27" customFormat="1" ht="30">
      <c r="A196" s="24">
        <v>88262</v>
      </c>
      <c r="B196" s="78" t="s">
        <v>376</v>
      </c>
      <c r="C196" s="25" t="s">
        <v>12</v>
      </c>
      <c r="D196" s="25" t="s">
        <v>19</v>
      </c>
      <c r="E196" s="26">
        <v>4.4450000000000003</v>
      </c>
      <c r="F196" s="26">
        <f>17.6*0.85</f>
        <v>14.96</v>
      </c>
      <c r="G196" s="26">
        <f t="shared" si="42"/>
        <v>66.5</v>
      </c>
      <c r="H196" s="26">
        <f t="shared" si="44"/>
        <v>14.96</v>
      </c>
      <c r="I196" s="26">
        <f>ROUND(H196*E196,2)</f>
        <v>66.5</v>
      </c>
      <c r="J196" s="365">
        <v>67.846999999999994</v>
      </c>
      <c r="L196" s="365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s="27" customFormat="1" ht="30">
      <c r="A197" s="24" t="s">
        <v>4001</v>
      </c>
      <c r="B197" s="78" t="s">
        <v>1781</v>
      </c>
      <c r="C197" s="25" t="s">
        <v>12</v>
      </c>
      <c r="D197" s="25" t="s">
        <v>26</v>
      </c>
      <c r="E197" s="26">
        <v>1.02</v>
      </c>
      <c r="F197" s="26"/>
      <c r="G197" s="26">
        <f t="shared" si="42"/>
        <v>0</v>
      </c>
      <c r="H197" s="26">
        <f t="shared" si="44"/>
        <v>67.846999999999994</v>
      </c>
      <c r="I197" s="26">
        <f>ROUND(H197*E197,2)</f>
        <v>69.2</v>
      </c>
      <c r="J197" s="365">
        <v>9.7580000000000009</v>
      </c>
      <c r="L197" s="365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s="27" customFormat="1" ht="45">
      <c r="A198" s="25">
        <v>6189</v>
      </c>
      <c r="B198" s="25" t="s">
        <v>3982</v>
      </c>
      <c r="C198" s="25" t="s">
        <v>12</v>
      </c>
      <c r="D198" s="25" t="s">
        <v>52</v>
      </c>
      <c r="E198" s="26" t="s">
        <v>3998</v>
      </c>
      <c r="F198" s="26">
        <f>0.85*20.62</f>
        <v>17.527000000000001</v>
      </c>
      <c r="G198" s="26">
        <f>ROUND(F198*E198*$E$197,2)</f>
        <v>68.92</v>
      </c>
      <c r="H198" s="26">
        <f>J197</f>
        <v>9.7580000000000009</v>
      </c>
      <c r="I198" s="26">
        <f t="shared" si="43"/>
        <v>37.619999999999997</v>
      </c>
      <c r="J198" s="365"/>
      <c r="L198" s="365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s="27" customFormat="1" ht="30">
      <c r="A199" s="25" t="s">
        <v>3909</v>
      </c>
      <c r="B199" s="25" t="s">
        <v>393</v>
      </c>
      <c r="C199" s="25" t="s">
        <v>12</v>
      </c>
      <c r="D199" s="25" t="s">
        <v>19</v>
      </c>
      <c r="E199" s="26" t="s">
        <v>3999</v>
      </c>
      <c r="F199" s="26">
        <f>14.85*0.85</f>
        <v>12.622499999999999</v>
      </c>
      <c r="G199" s="26">
        <f>ROUND(F199*E199*$E$197,2)</f>
        <v>0.04</v>
      </c>
      <c r="H199" s="26">
        <f t="shared" si="44"/>
        <v>0</v>
      </c>
      <c r="I199" s="26">
        <f>ROUND(H199*E199,2)</f>
        <v>0</v>
      </c>
      <c r="J199" s="365"/>
      <c r="L199" s="365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s="27" customFormat="1" ht="30">
      <c r="A200" s="25" t="s">
        <v>3910</v>
      </c>
      <c r="B200" s="25" t="s">
        <v>376</v>
      </c>
      <c r="C200" s="25" t="s">
        <v>12</v>
      </c>
      <c r="D200" s="25" t="s">
        <v>19</v>
      </c>
      <c r="E200" s="26" t="s">
        <v>4000</v>
      </c>
      <c r="F200" s="26">
        <f>17.6*0.85</f>
        <v>14.96</v>
      </c>
      <c r="G200" s="26">
        <f t="shared" ref="G200:G201" si="45">ROUND(F200*E200*$E$197,2)</f>
        <v>0.2</v>
      </c>
      <c r="H200" s="26">
        <f t="shared" si="44"/>
        <v>0</v>
      </c>
      <c r="I200" s="26">
        <f t="shared" si="43"/>
        <v>0</v>
      </c>
      <c r="J200" s="365"/>
      <c r="L200" s="365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s="27" customFormat="1" ht="45">
      <c r="A201" s="25" t="s">
        <v>3931</v>
      </c>
      <c r="B201" s="25" t="s">
        <v>3932</v>
      </c>
      <c r="C201" s="25" t="s">
        <v>12</v>
      </c>
      <c r="D201" s="25" t="s">
        <v>388</v>
      </c>
      <c r="E201" s="26" t="s">
        <v>3999</v>
      </c>
      <c r="F201" s="26">
        <f>0.85*24.45</f>
        <v>20.782499999999999</v>
      </c>
      <c r="G201" s="26">
        <f t="shared" si="45"/>
        <v>0.06</v>
      </c>
      <c r="H201" s="26">
        <f t="shared" si="44"/>
        <v>0</v>
      </c>
      <c r="I201" s="26">
        <f t="shared" si="43"/>
        <v>0</v>
      </c>
      <c r="J201" s="365"/>
      <c r="L201" s="365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s="27" customFormat="1" ht="15" customHeight="1">
      <c r="A202" s="24" t="s">
        <v>4011</v>
      </c>
      <c r="B202" s="78" t="s">
        <v>1782</v>
      </c>
      <c r="C202" s="25" t="s">
        <v>12</v>
      </c>
      <c r="D202" s="25" t="s">
        <v>52</v>
      </c>
      <c r="E202" s="26">
        <v>1.3480000000000001</v>
      </c>
      <c r="F202" s="26"/>
      <c r="G202" s="26">
        <f t="shared" si="42"/>
        <v>0</v>
      </c>
      <c r="H202" s="26">
        <f t="shared" si="44"/>
        <v>0</v>
      </c>
      <c r="I202" s="26">
        <f t="shared" si="43"/>
        <v>0</v>
      </c>
      <c r="J202" s="365"/>
      <c r="L202" s="365"/>
      <c r="M202" s="79"/>
      <c r="N202" s="836"/>
      <c r="O202" s="836"/>
      <c r="P202" s="836"/>
      <c r="Q202" s="836"/>
      <c r="R202" s="836"/>
      <c r="S202" s="836"/>
      <c r="T202" s="836"/>
      <c r="U202" s="836"/>
      <c r="V202" s="836"/>
      <c r="W202" s="836"/>
      <c r="X202" s="836"/>
    </row>
    <row r="203" spans="1:24" s="27" customFormat="1" ht="15" customHeight="1">
      <c r="A203" s="25" t="s">
        <v>3899</v>
      </c>
      <c r="B203" s="25" t="s">
        <v>3900</v>
      </c>
      <c r="C203" s="25" t="s">
        <v>12</v>
      </c>
      <c r="D203" s="25" t="s">
        <v>52</v>
      </c>
      <c r="E203" s="26" t="s">
        <v>4003</v>
      </c>
      <c r="F203" s="26">
        <f>AVERAGE(M203:X203)</f>
        <v>26</v>
      </c>
      <c r="G203" s="26">
        <f>ROUND(F203*E203*$E$202,2)</f>
        <v>45.91</v>
      </c>
      <c r="H203" s="26">
        <f t="shared" si="44"/>
        <v>0</v>
      </c>
      <c r="I203" s="26">
        <f>ROUND(H203*E203*$E$202,2)</f>
        <v>0</v>
      </c>
      <c r="J203" s="365"/>
      <c r="L203" s="365"/>
      <c r="M203" s="79">
        <v>26</v>
      </c>
      <c r="N203" s="836"/>
      <c r="O203" s="836"/>
      <c r="P203" s="836"/>
      <c r="Q203" s="836"/>
      <c r="R203" s="836"/>
      <c r="S203" s="836"/>
      <c r="T203" s="836"/>
      <c r="U203" s="836"/>
      <c r="V203" s="836"/>
      <c r="W203" s="836"/>
      <c r="X203" s="836"/>
    </row>
    <row r="204" spans="1:24" s="27" customFormat="1" ht="15" customHeight="1">
      <c r="A204" s="25" t="s">
        <v>3978</v>
      </c>
      <c r="B204" s="25" t="s">
        <v>3979</v>
      </c>
      <c r="C204" s="25" t="s">
        <v>12</v>
      </c>
      <c r="D204" s="25" t="s">
        <v>45</v>
      </c>
      <c r="E204" s="26" t="s">
        <v>4004</v>
      </c>
      <c r="F204" s="26">
        <f>13.5*1.17</f>
        <v>15.794999999999998</v>
      </c>
      <c r="G204" s="26">
        <f t="shared" ref="G204:G206" si="46">ROUND(F204*E204*$E$202,2)</f>
        <v>0.49</v>
      </c>
      <c r="H204" s="26">
        <f t="shared" si="44"/>
        <v>0</v>
      </c>
      <c r="I204" s="26">
        <f t="shared" ref="I204:I207" si="47">ROUND(H204*E204*$E$202,2)</f>
        <v>0</v>
      </c>
      <c r="J204" s="365"/>
      <c r="L204" s="365"/>
      <c r="M204" s="79"/>
      <c r="N204" s="836"/>
      <c r="O204" s="836"/>
      <c r="P204" s="836"/>
      <c r="Q204" s="836"/>
      <c r="R204" s="836"/>
      <c r="S204" s="836"/>
      <c r="T204" s="836"/>
      <c r="U204" s="836"/>
      <c r="V204" s="836"/>
      <c r="W204" s="836"/>
      <c r="X204" s="836"/>
    </row>
    <row r="205" spans="1:24" s="27" customFormat="1" ht="15" customHeight="1">
      <c r="A205" s="25" t="s">
        <v>3909</v>
      </c>
      <c r="B205" s="25" t="s">
        <v>393</v>
      </c>
      <c r="C205" s="25" t="s">
        <v>12</v>
      </c>
      <c r="D205" s="25" t="s">
        <v>19</v>
      </c>
      <c r="E205" s="26" t="s">
        <v>4005</v>
      </c>
      <c r="F205" s="26">
        <f>14.85*0.85</f>
        <v>12.622499999999999</v>
      </c>
      <c r="G205" s="26">
        <f t="shared" si="46"/>
        <v>0.36</v>
      </c>
      <c r="H205" s="26">
        <f t="shared" si="44"/>
        <v>0</v>
      </c>
      <c r="I205" s="26">
        <f t="shared" si="47"/>
        <v>0</v>
      </c>
      <c r="J205" s="365"/>
      <c r="L205" s="365"/>
      <c r="M205" s="79"/>
      <c r="N205" s="836"/>
      <c r="O205" s="836"/>
      <c r="P205" s="836"/>
      <c r="Q205" s="836"/>
      <c r="R205" s="836"/>
      <c r="S205" s="836"/>
      <c r="T205" s="836"/>
      <c r="U205" s="836"/>
      <c r="V205" s="836"/>
      <c r="W205" s="836"/>
      <c r="X205" s="836"/>
    </row>
    <row r="206" spans="1:24" s="27" customFormat="1" ht="15" customHeight="1">
      <c r="A206" s="25" t="s">
        <v>3910</v>
      </c>
      <c r="B206" s="25" t="s">
        <v>376</v>
      </c>
      <c r="C206" s="25" t="s">
        <v>12</v>
      </c>
      <c r="D206" s="25" t="s">
        <v>19</v>
      </c>
      <c r="E206" s="26" t="s">
        <v>4006</v>
      </c>
      <c r="F206" s="26">
        <f>17.6*0.85</f>
        <v>14.96</v>
      </c>
      <c r="G206" s="26">
        <f t="shared" si="46"/>
        <v>2.14</v>
      </c>
      <c r="H206" s="26">
        <f t="shared" si="44"/>
        <v>0</v>
      </c>
      <c r="I206" s="26">
        <f t="shared" si="47"/>
        <v>0</v>
      </c>
      <c r="J206" s="365"/>
      <c r="L206" s="365"/>
      <c r="M206" s="79"/>
      <c r="N206" s="836"/>
      <c r="O206" s="836"/>
      <c r="P206" s="836"/>
      <c r="Q206" s="836"/>
      <c r="R206" s="836"/>
      <c r="S206" s="836"/>
      <c r="T206" s="836"/>
      <c r="U206" s="836"/>
      <c r="V206" s="836"/>
      <c r="W206" s="836"/>
      <c r="X206" s="836"/>
    </row>
    <row r="207" spans="1:24" s="27" customFormat="1" ht="27" customHeight="1">
      <c r="A207" s="25" t="s">
        <v>3931</v>
      </c>
      <c r="B207" s="25" t="s">
        <v>3932</v>
      </c>
      <c r="C207" s="25" t="s">
        <v>12</v>
      </c>
      <c r="D207" s="25" t="s">
        <v>388</v>
      </c>
      <c r="E207" s="26" t="s">
        <v>3950</v>
      </c>
      <c r="F207" s="26">
        <f>0.85*24.45</f>
        <v>20.782499999999999</v>
      </c>
      <c r="G207" s="26">
        <f>ROUND(F207*E207*$E$202,2)</f>
        <v>0.2</v>
      </c>
      <c r="H207" s="26">
        <f t="shared" si="44"/>
        <v>0</v>
      </c>
      <c r="I207" s="26">
        <f t="shared" si="47"/>
        <v>0</v>
      </c>
      <c r="J207" s="365"/>
      <c r="L207" s="365"/>
      <c r="M207" s="79"/>
      <c r="N207" s="836"/>
      <c r="O207" s="836"/>
      <c r="P207" s="836"/>
      <c r="Q207" s="836"/>
      <c r="R207" s="836"/>
      <c r="S207" s="836"/>
      <c r="T207" s="836"/>
      <c r="U207" s="836"/>
      <c r="V207" s="836"/>
      <c r="W207" s="836"/>
      <c r="X207" s="836"/>
    </row>
    <row r="208" spans="1:24" s="27" customFormat="1" ht="48" customHeight="1">
      <c r="A208" s="25" t="s">
        <v>3933</v>
      </c>
      <c r="B208" s="25" t="s">
        <v>3934</v>
      </c>
      <c r="C208" s="25" t="s">
        <v>12</v>
      </c>
      <c r="D208" s="25" t="s">
        <v>389</v>
      </c>
      <c r="E208" s="26" t="s">
        <v>4007</v>
      </c>
      <c r="F208" s="26">
        <f>0.85*23.01</f>
        <v>19.558500000000002</v>
      </c>
      <c r="G208" s="26">
        <f>ROUND(F208*E208*$E$202,2)</f>
        <v>0.37</v>
      </c>
      <c r="H208" s="26">
        <f t="shared" si="44"/>
        <v>0</v>
      </c>
      <c r="I208" s="26">
        <f>ROUND(H208*E208*$E$202,2)</f>
        <v>0</v>
      </c>
      <c r="J208" s="365"/>
      <c r="L208" s="365"/>
      <c r="M208" s="79"/>
      <c r="N208" s="836"/>
      <c r="O208" s="836"/>
      <c r="P208" s="836"/>
      <c r="Q208" s="836"/>
      <c r="R208" s="836"/>
      <c r="S208" s="836"/>
      <c r="T208" s="836"/>
      <c r="U208" s="836"/>
      <c r="V208" s="836"/>
      <c r="W208" s="836"/>
      <c r="X208" s="836"/>
    </row>
    <row r="209" spans="1:24" s="27" customFormat="1">
      <c r="A209" s="917" t="s">
        <v>1894</v>
      </c>
      <c r="B209" s="918"/>
      <c r="C209" s="918"/>
      <c r="D209" s="918"/>
      <c r="E209" s="918"/>
      <c r="F209" s="919"/>
      <c r="G209" s="79">
        <f>SUM(G192:G208)</f>
        <v>234.24</v>
      </c>
      <c r="H209" s="836"/>
      <c r="I209" s="79">
        <f>SUM(I192:I208)</f>
        <v>222.37</v>
      </c>
      <c r="J209" s="365"/>
      <c r="L209" s="365"/>
      <c r="M209" s="104"/>
      <c r="N209" s="80"/>
      <c r="O209" s="104"/>
      <c r="P209" s="80"/>
      <c r="Q209" s="80"/>
      <c r="R209" s="104"/>
      <c r="S209" s="104"/>
      <c r="T209" s="80"/>
      <c r="U209" s="80"/>
      <c r="V209" s="104"/>
      <c r="W209" s="104"/>
      <c r="X209" s="104"/>
    </row>
    <row r="210" spans="1:24">
      <c r="A210" s="697"/>
      <c r="B210" s="80"/>
      <c r="C210" s="807"/>
      <c r="D210" s="808"/>
      <c r="E210" s="80"/>
      <c r="F210" s="104"/>
      <c r="G210" s="104"/>
      <c r="H210" s="80"/>
      <c r="I210" s="80"/>
      <c r="M210" s="104"/>
      <c r="N210" s="80"/>
      <c r="O210" s="426"/>
      <c r="P210" s="80"/>
      <c r="Q210" s="80"/>
      <c r="R210" s="104"/>
      <c r="S210" s="104"/>
      <c r="T210" s="80"/>
      <c r="U210" s="80"/>
      <c r="V210" s="104"/>
      <c r="W210" s="104"/>
      <c r="X210" s="104"/>
    </row>
    <row r="211" spans="1:24" ht="57.75" customHeight="1">
      <c r="A211" s="697"/>
      <c r="B211" s="80"/>
      <c r="C211" s="807"/>
      <c r="D211" s="808"/>
      <c r="E211" s="80"/>
      <c r="F211" s="104"/>
      <c r="G211" s="104"/>
      <c r="H211" s="80"/>
      <c r="I211" s="809"/>
      <c r="M211" s="812"/>
      <c r="N211" s="75"/>
      <c r="O211" s="589"/>
      <c r="P211" s="75"/>
      <c r="Q211" s="75"/>
      <c r="R211" s="816"/>
      <c r="S211" s="816"/>
      <c r="T211" s="75"/>
      <c r="U211" s="75"/>
      <c r="V211" s="75"/>
      <c r="W211" s="75"/>
      <c r="X211" s="75"/>
    </row>
    <row r="212" spans="1:24" s="27" customFormat="1" ht="56.25" customHeight="1">
      <c r="A212" s="920" t="s">
        <v>2057</v>
      </c>
      <c r="B212" s="921"/>
      <c r="C212" s="921"/>
      <c r="D212" s="921"/>
      <c r="E212" s="922"/>
      <c r="F212" s="835"/>
      <c r="G212" s="835"/>
      <c r="H212" s="75" t="s">
        <v>1915</v>
      </c>
      <c r="I212" s="77" t="s">
        <v>368</v>
      </c>
      <c r="J212" s="365"/>
      <c r="L212" s="365"/>
      <c r="M212" s="93"/>
      <c r="N212" s="77"/>
      <c r="O212" s="77"/>
      <c r="P212" s="77"/>
      <c r="Q212" s="77"/>
      <c r="R212" s="93"/>
      <c r="S212" s="93"/>
      <c r="T212" s="77"/>
      <c r="U212" s="77"/>
      <c r="V212" s="77"/>
      <c r="W212" s="77"/>
      <c r="X212" s="77"/>
    </row>
    <row r="213" spans="1:24" s="27" customFormat="1" ht="45" customHeight="1">
      <c r="A213" s="77" t="s">
        <v>1917</v>
      </c>
      <c r="B213" s="838"/>
      <c r="C213" s="77" t="s">
        <v>3</v>
      </c>
      <c r="D213" s="77" t="s">
        <v>4</v>
      </c>
      <c r="E213" s="77" t="s">
        <v>1826</v>
      </c>
      <c r="F213" s="93" t="s">
        <v>3781</v>
      </c>
      <c r="G213" s="93" t="s">
        <v>3783</v>
      </c>
      <c r="H213" s="77" t="s">
        <v>367</v>
      </c>
      <c r="I213" s="26" t="e">
        <f>ROUND(H213*E213,2)</f>
        <v>#VALUE!</v>
      </c>
      <c r="J213" s="365">
        <v>341.56399999999996</v>
      </c>
      <c r="L213" s="365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s="27" customFormat="1" ht="60">
      <c r="A214" s="24">
        <v>1525</v>
      </c>
      <c r="B214" s="78" t="s">
        <v>401</v>
      </c>
      <c r="C214" s="25" t="s">
        <v>12</v>
      </c>
      <c r="D214" s="25" t="s">
        <v>35</v>
      </c>
      <c r="E214" s="26">
        <v>1.103</v>
      </c>
      <c r="F214" s="26">
        <v>430</v>
      </c>
      <c r="G214" s="26">
        <f>ROUND(F214*E214,2)</f>
        <v>474.29</v>
      </c>
      <c r="H214" s="26">
        <f t="shared" ref="H214:H219" si="48">J213</f>
        <v>341.56399999999996</v>
      </c>
      <c r="I214" s="26">
        <f t="shared" ref="I214:I217" si="49">ROUND(H214*E214,2)</f>
        <v>376.75</v>
      </c>
      <c r="J214" s="365">
        <v>14.96</v>
      </c>
      <c r="L214" s="365"/>
      <c r="M214" s="26"/>
      <c r="N214" s="26"/>
      <c r="O214" s="26">
        <v>485.39</v>
      </c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s="27" customFormat="1" ht="30">
      <c r="A215" s="24">
        <v>88262</v>
      </c>
      <c r="B215" s="78" t="s">
        <v>376</v>
      </c>
      <c r="C215" s="25" t="s">
        <v>12</v>
      </c>
      <c r="D215" s="25" t="s">
        <v>19</v>
      </c>
      <c r="E215" s="26">
        <v>9.4E-2</v>
      </c>
      <c r="F215" s="26">
        <f>17.6*0.85</f>
        <v>14.96</v>
      </c>
      <c r="G215" s="26">
        <f>ROUND(F215*E215,2)</f>
        <v>1.41</v>
      </c>
      <c r="H215" s="26">
        <f t="shared" si="48"/>
        <v>14.96</v>
      </c>
      <c r="I215" s="26">
        <f t="shared" si="49"/>
        <v>1.41</v>
      </c>
      <c r="J215" s="365">
        <v>15.121499999999999</v>
      </c>
      <c r="L215" s="365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s="27" customFormat="1">
      <c r="A216" s="24">
        <v>88309</v>
      </c>
      <c r="B216" s="78" t="s">
        <v>390</v>
      </c>
      <c r="C216" s="25" t="s">
        <v>12</v>
      </c>
      <c r="D216" s="25" t="s">
        <v>19</v>
      </c>
      <c r="E216" s="26">
        <v>0.56499999999999995</v>
      </c>
      <c r="F216" s="26">
        <f>17.79*0.85</f>
        <v>15.121499999999999</v>
      </c>
      <c r="G216" s="26">
        <f t="shared" ref="G216:G219" si="50">ROUND(F216*E216,2)</f>
        <v>8.5399999999999991</v>
      </c>
      <c r="H216" s="26">
        <f t="shared" si="48"/>
        <v>15.121499999999999</v>
      </c>
      <c r="I216" s="26">
        <f t="shared" si="49"/>
        <v>8.5399999999999991</v>
      </c>
      <c r="J216" s="365">
        <v>11.798000000000002</v>
      </c>
      <c r="L216" s="365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s="27" customFormat="1">
      <c r="A217" s="24">
        <v>88316</v>
      </c>
      <c r="B217" s="78" t="s">
        <v>377</v>
      </c>
      <c r="C217" s="25" t="s">
        <v>12</v>
      </c>
      <c r="D217" s="25" t="s">
        <v>19</v>
      </c>
      <c r="E217" s="26">
        <v>0.63800000000000001</v>
      </c>
      <c r="F217" s="26">
        <f>13.88*0.85</f>
        <v>11.798</v>
      </c>
      <c r="G217" s="26">
        <f t="shared" si="50"/>
        <v>7.53</v>
      </c>
      <c r="H217" s="26">
        <f t="shared" si="48"/>
        <v>11.798000000000002</v>
      </c>
      <c r="I217" s="26">
        <f t="shared" si="49"/>
        <v>7.53</v>
      </c>
      <c r="J217" s="365">
        <v>1.4449999999999998</v>
      </c>
      <c r="L217" s="365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s="27" customFormat="1" ht="45">
      <c r="A218" s="24">
        <v>90586</v>
      </c>
      <c r="B218" s="78" t="s">
        <v>1780</v>
      </c>
      <c r="C218" s="25" t="s">
        <v>12</v>
      </c>
      <c r="D218" s="25" t="s">
        <v>388</v>
      </c>
      <c r="E218" s="26">
        <v>5.6000000000000001E-2</v>
      </c>
      <c r="F218" s="26">
        <f>0.85*1.48</f>
        <v>1.258</v>
      </c>
      <c r="G218" s="26">
        <f>ROUND(F218*E218,2)</f>
        <v>7.0000000000000007E-2</v>
      </c>
      <c r="H218" s="26">
        <f>J217</f>
        <v>1.4449999999999998</v>
      </c>
      <c r="I218" s="26">
        <f>ROUND(H218*E218,2)</f>
        <v>0.08</v>
      </c>
      <c r="J218" s="365">
        <v>0.374</v>
      </c>
      <c r="L218" s="365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s="27" customFormat="1" ht="15" customHeight="1">
      <c r="A219" s="24">
        <v>90587</v>
      </c>
      <c r="B219" s="78" t="s">
        <v>1783</v>
      </c>
      <c r="C219" s="25" t="s">
        <v>12</v>
      </c>
      <c r="D219" s="25" t="s">
        <v>389</v>
      </c>
      <c r="E219" s="26">
        <v>0.13300000000000001</v>
      </c>
      <c r="F219" s="26">
        <f>0.85*0.56</f>
        <v>0.47600000000000003</v>
      </c>
      <c r="G219" s="26">
        <f t="shared" si="50"/>
        <v>0.06</v>
      </c>
      <c r="H219" s="26">
        <f t="shared" si="48"/>
        <v>0.374</v>
      </c>
      <c r="I219" s="26">
        <f>ROUND(H219*E219,2)</f>
        <v>0.05</v>
      </c>
      <c r="J219" s="365"/>
      <c r="L219" s="365"/>
      <c r="M219" s="79"/>
      <c r="N219" s="836"/>
      <c r="O219" s="836"/>
      <c r="P219" s="836"/>
      <c r="Q219" s="836"/>
      <c r="R219" s="365"/>
      <c r="S219" s="365"/>
      <c r="T219" s="836"/>
      <c r="U219" s="836"/>
      <c r="V219" s="836"/>
      <c r="W219" s="836"/>
      <c r="X219" s="836"/>
    </row>
    <row r="220" spans="1:24" s="27" customFormat="1" ht="35.25" customHeight="1">
      <c r="A220" s="923" t="s">
        <v>1894</v>
      </c>
      <c r="B220" s="924"/>
      <c r="C220" s="924"/>
      <c r="D220" s="924"/>
      <c r="E220" s="924"/>
      <c r="F220" s="925"/>
      <c r="G220" s="96">
        <f>ROUND(SUM(G214:G219),2)</f>
        <v>491.9</v>
      </c>
      <c r="H220" s="835"/>
      <c r="I220" s="96">
        <f>ROUND(SUM(I214:I219),2)</f>
        <v>394.36</v>
      </c>
      <c r="J220" s="365"/>
      <c r="L220" s="365"/>
      <c r="M220" s="104"/>
      <c r="N220" s="80"/>
      <c r="O220" s="104"/>
      <c r="P220" s="80"/>
      <c r="Q220" s="80"/>
      <c r="R220" s="104"/>
      <c r="S220" s="104"/>
      <c r="T220" s="80"/>
      <c r="U220" s="80"/>
      <c r="V220" s="104"/>
      <c r="W220" s="104"/>
      <c r="X220" s="104"/>
    </row>
    <row r="221" spans="1:24" ht="57.75" customHeight="1">
      <c r="A221" s="697"/>
      <c r="B221" s="80"/>
      <c r="C221" s="807"/>
      <c r="D221" s="808"/>
      <c r="E221" s="80"/>
      <c r="F221" s="104"/>
      <c r="G221" s="104"/>
      <c r="H221" s="80"/>
      <c r="I221" s="82">
        <v>92489</v>
      </c>
      <c r="M221" s="812"/>
      <c r="N221" s="75"/>
      <c r="O221" s="589"/>
      <c r="P221" s="75"/>
      <c r="Q221" s="75"/>
      <c r="R221" s="816"/>
      <c r="S221" s="816"/>
      <c r="T221" s="75"/>
      <c r="U221" s="75"/>
      <c r="V221" s="75"/>
      <c r="W221" s="75"/>
      <c r="X221" s="75"/>
    </row>
    <row r="222" spans="1:24" s="27" customFormat="1" ht="45.75" customHeight="1">
      <c r="A222" s="920" t="s">
        <v>3897</v>
      </c>
      <c r="B222" s="921"/>
      <c r="C222" s="921"/>
      <c r="D222" s="921"/>
      <c r="E222" s="922"/>
      <c r="F222" s="835"/>
      <c r="G222" s="835"/>
      <c r="H222" s="75" t="s">
        <v>1915</v>
      </c>
      <c r="I222" s="77" t="s">
        <v>368</v>
      </c>
      <c r="J222" s="365"/>
      <c r="L222" s="365"/>
      <c r="M222" s="93"/>
      <c r="N222" s="77"/>
      <c r="O222" s="77"/>
      <c r="P222" s="77"/>
      <c r="Q222" s="77"/>
      <c r="R222" s="93"/>
      <c r="S222" s="93"/>
      <c r="T222" s="77"/>
      <c r="U222" s="77"/>
      <c r="V222" s="77"/>
      <c r="W222" s="77"/>
      <c r="X222" s="77"/>
    </row>
    <row r="223" spans="1:24" s="27" customFormat="1" ht="45" customHeight="1">
      <c r="A223" s="77" t="s">
        <v>1917</v>
      </c>
      <c r="B223" s="838"/>
      <c r="C223" s="77" t="s">
        <v>3</v>
      </c>
      <c r="D223" s="77" t="s">
        <v>4</v>
      </c>
      <c r="E223" s="77" t="s">
        <v>1826</v>
      </c>
      <c r="F223" s="93" t="s">
        <v>3781</v>
      </c>
      <c r="G223" s="93" t="s">
        <v>3783</v>
      </c>
      <c r="H223" s="77" t="s">
        <v>367</v>
      </c>
      <c r="I223" s="26" t="e">
        <f>ROUND(H223*E223,2)</f>
        <v>#VALUE!</v>
      </c>
      <c r="J223" s="365">
        <v>5.6355000000000004</v>
      </c>
      <c r="L223" s="365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s="27" customFormat="1" ht="45">
      <c r="A224" s="24">
        <v>2692</v>
      </c>
      <c r="B224" s="78" t="s">
        <v>399</v>
      </c>
      <c r="C224" s="25" t="s">
        <v>12</v>
      </c>
      <c r="D224" s="25" t="s">
        <v>381</v>
      </c>
      <c r="E224" s="26">
        <v>8.0000000000000002E-3</v>
      </c>
      <c r="F224" s="26">
        <f>0.85*6.63</f>
        <v>5.6354999999999995</v>
      </c>
      <c r="G224" s="26">
        <f t="shared" ref="G224:G230" si="51">ROUND(F224*E224,2)</f>
        <v>0.05</v>
      </c>
      <c r="H224" s="26">
        <f>J223</f>
        <v>5.6355000000000004</v>
      </c>
      <c r="I224" s="26">
        <f t="shared" ref="I224:I230" si="52">ROUND(H224*E224,2)</f>
        <v>0.05</v>
      </c>
      <c r="J224" s="365">
        <v>2.5245000000000002</v>
      </c>
      <c r="L224" s="365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s="27" customFormat="1" ht="60">
      <c r="A225" s="24">
        <v>10749</v>
      </c>
      <c r="B225" s="78" t="s">
        <v>410</v>
      </c>
      <c r="C225" s="25" t="s">
        <v>12</v>
      </c>
      <c r="D225" s="25" t="s">
        <v>13</v>
      </c>
      <c r="E225" s="26">
        <v>0.39700000000000002</v>
      </c>
      <c r="F225" s="26">
        <f>0.85*4.753</f>
        <v>4.0400499999999999</v>
      </c>
      <c r="G225" s="26">
        <f t="shared" si="51"/>
        <v>1.6</v>
      </c>
      <c r="H225" s="26">
        <f t="shared" ref="H225:H229" si="53">J224</f>
        <v>2.5245000000000002</v>
      </c>
      <c r="I225" s="26">
        <f t="shared" si="52"/>
        <v>1</v>
      </c>
      <c r="J225" s="365">
        <v>59.270500000000006</v>
      </c>
      <c r="L225" s="365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s="27" customFormat="1" ht="45">
      <c r="A226" s="24">
        <v>40270</v>
      </c>
      <c r="B226" s="78" t="s">
        <v>411</v>
      </c>
      <c r="C226" s="25" t="s">
        <v>12</v>
      </c>
      <c r="D226" s="25" t="s">
        <v>52</v>
      </c>
      <c r="E226" s="26">
        <v>0.03</v>
      </c>
      <c r="F226" s="26">
        <f>0.85*111.03</f>
        <v>94.375500000000002</v>
      </c>
      <c r="G226" s="26">
        <f t="shared" si="51"/>
        <v>2.83</v>
      </c>
      <c r="H226" s="26">
        <f t="shared" si="53"/>
        <v>59.270500000000006</v>
      </c>
      <c r="I226" s="26">
        <f t="shared" si="52"/>
        <v>1.78</v>
      </c>
      <c r="J226" s="365">
        <v>3.6465000000000001</v>
      </c>
      <c r="L226" s="365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s="27" customFormat="1" ht="30">
      <c r="A227" s="24">
        <v>40290</v>
      </c>
      <c r="B227" s="78" t="s">
        <v>412</v>
      </c>
      <c r="C227" s="25" t="s">
        <v>12</v>
      </c>
      <c r="D227" s="25" t="s">
        <v>13</v>
      </c>
      <c r="E227" s="26">
        <v>1.03</v>
      </c>
      <c r="F227" s="26">
        <f>0.85*6.85</f>
        <v>5.8224999999999998</v>
      </c>
      <c r="G227" s="26">
        <f t="shared" si="51"/>
        <v>6</v>
      </c>
      <c r="H227" s="26">
        <f>J226</f>
        <v>3.6465000000000001</v>
      </c>
      <c r="I227" s="26">
        <f t="shared" si="52"/>
        <v>3.76</v>
      </c>
      <c r="J227" s="365">
        <v>12.622499999999999</v>
      </c>
      <c r="L227" s="365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s="27" customFormat="1" ht="30">
      <c r="A228" s="24">
        <v>88239</v>
      </c>
      <c r="B228" s="78" t="s">
        <v>393</v>
      </c>
      <c r="C228" s="25" t="s">
        <v>12</v>
      </c>
      <c r="D228" s="25" t="s">
        <v>19</v>
      </c>
      <c r="E228" s="26">
        <v>0.17599999999999999</v>
      </c>
      <c r="F228" s="26">
        <f>14.85*0.85</f>
        <v>12.622499999999999</v>
      </c>
      <c r="G228" s="26">
        <f t="shared" si="51"/>
        <v>2.2200000000000002</v>
      </c>
      <c r="H228" s="26">
        <f t="shared" si="53"/>
        <v>12.622499999999999</v>
      </c>
      <c r="I228" s="26">
        <f t="shared" si="52"/>
        <v>2.2200000000000002</v>
      </c>
      <c r="J228" s="365">
        <v>14.96</v>
      </c>
      <c r="L228" s="365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s="27" customFormat="1" ht="30">
      <c r="A229" s="24">
        <v>88262</v>
      </c>
      <c r="B229" s="78" t="s">
        <v>376</v>
      </c>
      <c r="C229" s="25" t="s">
        <v>12</v>
      </c>
      <c r="D229" s="25" t="s">
        <v>19</v>
      </c>
      <c r="E229" s="26">
        <v>0.96099999999999997</v>
      </c>
      <c r="F229" s="26">
        <f>17.6*0.85</f>
        <v>14.96</v>
      </c>
      <c r="G229" s="26">
        <f t="shared" si="51"/>
        <v>14.38</v>
      </c>
      <c r="H229" s="26">
        <f t="shared" si="53"/>
        <v>14.96</v>
      </c>
      <c r="I229" s="26">
        <f t="shared" si="52"/>
        <v>14.38</v>
      </c>
      <c r="J229" s="365">
        <v>30.880499999999998</v>
      </c>
      <c r="L229" s="365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s="27" customFormat="1" ht="15" customHeight="1">
      <c r="A230" s="24" t="s">
        <v>4012</v>
      </c>
      <c r="B230" s="78" t="s">
        <v>1788</v>
      </c>
      <c r="C230" s="25" t="s">
        <v>12</v>
      </c>
      <c r="D230" s="25" t="s">
        <v>26</v>
      </c>
      <c r="E230" s="26">
        <v>0.183</v>
      </c>
      <c r="F230" s="26"/>
      <c r="G230" s="26">
        <f t="shared" si="51"/>
        <v>0</v>
      </c>
      <c r="H230" s="26"/>
      <c r="I230" s="26">
        <f t="shared" si="52"/>
        <v>0</v>
      </c>
      <c r="J230" s="365"/>
      <c r="L230" s="365"/>
      <c r="M230" s="79"/>
      <c r="N230" s="836"/>
      <c r="O230" s="836"/>
      <c r="P230" s="836"/>
      <c r="Q230" s="836"/>
      <c r="R230" s="836"/>
      <c r="S230" s="836"/>
      <c r="T230" s="836"/>
      <c r="U230" s="836"/>
      <c r="V230" s="836"/>
      <c r="W230" s="836"/>
      <c r="X230" s="836"/>
    </row>
    <row r="231" spans="1:24" s="27" customFormat="1" ht="15" customHeight="1">
      <c r="A231" s="25" t="s">
        <v>3989</v>
      </c>
      <c r="B231" s="25" t="s">
        <v>3990</v>
      </c>
      <c r="C231" s="25" t="s">
        <v>12</v>
      </c>
      <c r="D231" s="25" t="s">
        <v>26</v>
      </c>
      <c r="E231" s="26" t="s">
        <v>4008</v>
      </c>
      <c r="F231" s="26">
        <f>AVERAGE(M231:X231)</f>
        <v>80.578512396694208</v>
      </c>
      <c r="G231" s="26">
        <f>ROUND(F231*E231*$E$230,2)</f>
        <v>15.48</v>
      </c>
      <c r="H231" s="26"/>
      <c r="I231" s="26">
        <f>ROUND(H231*E231*$E$230,2)</f>
        <v>0</v>
      </c>
      <c r="J231" s="365"/>
      <c r="L231" s="365"/>
      <c r="M231" s="79">
        <f>195/(2.2*1.1)</f>
        <v>80.578512396694208</v>
      </c>
      <c r="N231" s="836"/>
      <c r="O231" s="836"/>
      <c r="P231" s="836"/>
      <c r="Q231" s="836"/>
      <c r="R231" s="836"/>
      <c r="S231" s="836"/>
      <c r="T231" s="836"/>
      <c r="U231" s="836"/>
      <c r="V231" s="836"/>
      <c r="W231" s="836"/>
      <c r="X231" s="836"/>
    </row>
    <row r="232" spans="1:24" s="27" customFormat="1" ht="15" customHeight="1">
      <c r="A232" s="25" t="s">
        <v>3909</v>
      </c>
      <c r="B232" s="25" t="s">
        <v>393</v>
      </c>
      <c r="C232" s="25" t="s">
        <v>12</v>
      </c>
      <c r="D232" s="25" t="s">
        <v>19</v>
      </c>
      <c r="E232" s="26" t="s">
        <v>4009</v>
      </c>
      <c r="F232" s="26">
        <f>14.85*0.85</f>
        <v>12.622499999999999</v>
      </c>
      <c r="G232" s="26">
        <f t="shared" ref="G232:G233" si="54">ROUND(F232*E232*$E$230,2)</f>
        <v>0.01</v>
      </c>
      <c r="H232" s="26"/>
      <c r="I232" s="26">
        <f t="shared" ref="I232:I233" si="55">ROUND(H232*E232*$E$230,2)</f>
        <v>0</v>
      </c>
      <c r="J232" s="365"/>
      <c r="L232" s="365"/>
      <c r="M232" s="79"/>
      <c r="N232" s="836"/>
      <c r="O232" s="836"/>
      <c r="P232" s="836"/>
      <c r="Q232" s="836"/>
      <c r="R232" s="836"/>
      <c r="S232" s="836"/>
      <c r="T232" s="836"/>
      <c r="U232" s="836"/>
      <c r="V232" s="836"/>
      <c r="W232" s="836"/>
      <c r="X232" s="836"/>
    </row>
    <row r="233" spans="1:24" s="27" customFormat="1" ht="15" customHeight="1">
      <c r="A233" s="25" t="s">
        <v>3910</v>
      </c>
      <c r="B233" s="25" t="s">
        <v>376</v>
      </c>
      <c r="C233" s="25" t="s">
        <v>12</v>
      </c>
      <c r="D233" s="25" t="s">
        <v>19</v>
      </c>
      <c r="E233" s="26" t="s">
        <v>4010</v>
      </c>
      <c r="F233" s="26">
        <f>17.6*0.85</f>
        <v>14.96</v>
      </c>
      <c r="G233" s="26">
        <f t="shared" si="54"/>
        <v>7.0000000000000007E-2</v>
      </c>
      <c r="H233" s="26"/>
      <c r="I233" s="26">
        <f t="shared" si="55"/>
        <v>0</v>
      </c>
      <c r="J233" s="365"/>
      <c r="L233" s="365"/>
      <c r="M233" s="79"/>
      <c r="N233" s="836"/>
      <c r="O233" s="836"/>
      <c r="P233" s="836"/>
      <c r="Q233" s="836"/>
      <c r="R233" s="836"/>
      <c r="S233" s="836"/>
      <c r="T233" s="836"/>
      <c r="U233" s="836"/>
      <c r="V233" s="836"/>
      <c r="W233" s="836"/>
      <c r="X233" s="836"/>
    </row>
    <row r="234" spans="1:24" s="27" customFormat="1" ht="15" customHeight="1">
      <c r="A234" s="25" t="s">
        <v>3931</v>
      </c>
      <c r="B234" s="25" t="s">
        <v>3932</v>
      </c>
      <c r="C234" s="25" t="s">
        <v>12</v>
      </c>
      <c r="D234" s="25" t="s">
        <v>388</v>
      </c>
      <c r="E234" s="26" t="s">
        <v>4009</v>
      </c>
      <c r="F234" s="26">
        <f>0.85*24.45</f>
        <v>20.782499999999999</v>
      </c>
      <c r="G234" s="26">
        <f>ROUND(F234*E234*$E$230,2)</f>
        <v>0.02</v>
      </c>
      <c r="H234" s="26"/>
      <c r="I234" s="26">
        <f>ROUND(H234*E234*$E$230,2)</f>
        <v>0</v>
      </c>
      <c r="J234" s="365"/>
      <c r="L234" s="365"/>
      <c r="M234" s="79"/>
      <c r="N234" s="836"/>
      <c r="O234" s="836"/>
      <c r="P234" s="836"/>
      <c r="Q234" s="836"/>
      <c r="R234" s="836"/>
      <c r="S234" s="836"/>
      <c r="T234" s="836"/>
      <c r="U234" s="836"/>
      <c r="V234" s="836"/>
      <c r="W234" s="836"/>
      <c r="X234" s="836"/>
    </row>
    <row r="235" spans="1:24" s="27" customFormat="1" ht="15" customHeight="1">
      <c r="A235" s="25" t="s">
        <v>3933</v>
      </c>
      <c r="B235" s="25" t="s">
        <v>3934</v>
      </c>
      <c r="C235" s="25" t="s">
        <v>12</v>
      </c>
      <c r="D235" s="25" t="s">
        <v>389</v>
      </c>
      <c r="E235" s="26" t="s">
        <v>3949</v>
      </c>
      <c r="F235" s="26">
        <f>0.85*23.01</f>
        <v>19.558500000000002</v>
      </c>
      <c r="G235" s="26">
        <f>ROUND(F235*E235*$E$230,2)</f>
        <v>0</v>
      </c>
      <c r="H235" s="26"/>
      <c r="I235" s="26">
        <f>ROUND(H235*E235*$E$230,2)</f>
        <v>0</v>
      </c>
      <c r="J235" s="365"/>
      <c r="L235" s="365"/>
      <c r="M235" s="79"/>
      <c r="N235" s="836"/>
      <c r="O235" s="836"/>
      <c r="P235" s="836"/>
      <c r="Q235" s="836"/>
      <c r="R235" s="836"/>
      <c r="S235" s="836"/>
      <c r="T235" s="836"/>
      <c r="U235" s="836"/>
      <c r="V235" s="836"/>
      <c r="W235" s="836"/>
      <c r="X235" s="836"/>
    </row>
    <row r="236" spans="1:24" s="27" customFormat="1" ht="24" customHeight="1">
      <c r="A236" s="917" t="s">
        <v>1894</v>
      </c>
      <c r="B236" s="918"/>
      <c r="C236" s="918"/>
      <c r="D236" s="918"/>
      <c r="E236" s="918"/>
      <c r="F236" s="926"/>
      <c r="G236" s="79">
        <f>ROUND(SUM(G224:G235),2)</f>
        <v>42.66</v>
      </c>
      <c r="H236" s="836"/>
      <c r="I236" s="79">
        <f>ROUND(SUM(I224:I235),2)</f>
        <v>23.19</v>
      </c>
      <c r="J236" s="365"/>
      <c r="L236" s="365"/>
      <c r="M236" s="104"/>
      <c r="N236" s="80"/>
      <c r="O236" s="104"/>
      <c r="P236" s="80"/>
      <c r="Q236" s="80"/>
      <c r="R236" s="104"/>
      <c r="S236" s="104"/>
      <c r="T236" s="80"/>
      <c r="U236" s="80"/>
      <c r="V236" s="104"/>
      <c r="W236" s="104"/>
      <c r="X236" s="104"/>
    </row>
    <row r="237" spans="1:24" ht="33.75" customHeight="1">
      <c r="A237" s="697"/>
      <c r="B237" s="80"/>
      <c r="C237" s="807"/>
      <c r="D237" s="808"/>
      <c r="E237" s="80"/>
      <c r="F237" s="104"/>
      <c r="G237" s="104"/>
      <c r="H237" s="80"/>
      <c r="I237" s="809"/>
      <c r="M237" s="812"/>
      <c r="N237" s="75"/>
      <c r="O237" s="589"/>
      <c r="P237" s="75"/>
      <c r="Q237" s="75"/>
      <c r="R237" s="816"/>
      <c r="S237" s="816"/>
      <c r="T237" s="75"/>
      <c r="U237" s="75"/>
      <c r="V237" s="75"/>
      <c r="W237" s="75"/>
      <c r="X237" s="75"/>
    </row>
    <row r="239" spans="1:24">
      <c r="A239" s="761"/>
      <c r="B239" s="21"/>
      <c r="C239" s="21"/>
      <c r="D239" s="21"/>
      <c r="E239" s="21"/>
      <c r="F239" s="21"/>
      <c r="G239" s="21"/>
      <c r="H239" s="21"/>
      <c r="I239" s="21"/>
      <c r="J239" s="755"/>
      <c r="K239" s="21"/>
    </row>
    <row r="240" spans="1:24">
      <c r="A240" s="409"/>
      <c r="B240" s="409"/>
      <c r="C240" s="409"/>
      <c r="D240" s="409"/>
      <c r="E240" s="763"/>
      <c r="F240" s="410"/>
      <c r="G240" s="410"/>
      <c r="H240" s="410"/>
      <c r="I240" s="410"/>
      <c r="J240" s="755"/>
      <c r="K240" s="21"/>
    </row>
    <row r="241" spans="1:11">
      <c r="A241" s="761"/>
      <c r="B241" s="21"/>
      <c r="C241" s="21"/>
      <c r="D241" s="21"/>
      <c r="E241" s="21"/>
      <c r="F241" s="21"/>
      <c r="G241" s="21"/>
      <c r="H241" s="21"/>
      <c r="I241" s="21"/>
      <c r="J241" s="755"/>
      <c r="K241" s="21"/>
    </row>
    <row r="242" spans="1:11">
      <c r="A242" s="761"/>
      <c r="B242" s="21"/>
      <c r="C242" s="21"/>
      <c r="D242" s="21"/>
      <c r="E242" s="21"/>
      <c r="F242" s="21"/>
      <c r="G242" s="21"/>
      <c r="H242" s="21"/>
      <c r="I242" s="21"/>
      <c r="J242" s="755"/>
      <c r="K242" s="21"/>
    </row>
    <row r="243" spans="1:11">
      <c r="A243" s="761"/>
      <c r="B243" s="21"/>
      <c r="C243" s="21"/>
      <c r="D243" s="21"/>
      <c r="E243" s="21"/>
      <c r="F243" s="21"/>
      <c r="G243" s="21"/>
      <c r="H243" s="21"/>
      <c r="I243" s="21"/>
      <c r="J243" s="755"/>
      <c r="K243" s="21"/>
    </row>
    <row r="244" spans="1:11">
      <c r="A244" s="761"/>
      <c r="B244" s="21"/>
      <c r="C244" s="21"/>
      <c r="D244" s="21"/>
      <c r="E244" s="21"/>
      <c r="F244" s="21"/>
      <c r="G244" s="21"/>
      <c r="H244" s="21"/>
      <c r="I244" s="21"/>
      <c r="J244" s="755"/>
      <c r="K244" s="21"/>
    </row>
    <row r="245" spans="1:11">
      <c r="A245" s="761"/>
      <c r="B245" s="21"/>
      <c r="C245" s="21"/>
      <c r="D245" s="21"/>
      <c r="E245" s="21"/>
      <c r="F245" s="21"/>
      <c r="G245" s="21"/>
      <c r="H245" s="21"/>
      <c r="I245" s="21"/>
      <c r="J245" s="755"/>
      <c r="K245" s="21"/>
    </row>
  </sheetData>
  <mergeCells count="42">
    <mergeCell ref="A190:E190"/>
    <mergeCell ref="A48:E48"/>
    <mergeCell ref="A46:F46"/>
    <mergeCell ref="A49:E49"/>
    <mergeCell ref="A58:F58"/>
    <mergeCell ref="A60:E60"/>
    <mergeCell ref="A145:E145"/>
    <mergeCell ref="A81:F81"/>
    <mergeCell ref="A83:E83"/>
    <mergeCell ref="A93:F93"/>
    <mergeCell ref="A95:E95"/>
    <mergeCell ref="A105:F105"/>
    <mergeCell ref="A107:E107"/>
    <mergeCell ref="A116:F116"/>
    <mergeCell ref="A167:E167"/>
    <mergeCell ref="A175:F175"/>
    <mergeCell ref="A177:E177"/>
    <mergeCell ref="A185:F185"/>
    <mergeCell ref="A36:E36"/>
    <mergeCell ref="A118:E118"/>
    <mergeCell ref="A127:F127"/>
    <mergeCell ref="A129:E129"/>
    <mergeCell ref="A143:F143"/>
    <mergeCell ref="A165:F165"/>
    <mergeCell ref="A69:F69"/>
    <mergeCell ref="A71:E71"/>
    <mergeCell ref="A1:I1"/>
    <mergeCell ref="A2:A3"/>
    <mergeCell ref="B2:D3"/>
    <mergeCell ref="E2:I5"/>
    <mergeCell ref="A4:A5"/>
    <mergeCell ref="B4:D5"/>
    <mergeCell ref="C7:D7"/>
    <mergeCell ref="A8:E8"/>
    <mergeCell ref="A15:F15"/>
    <mergeCell ref="A18:E18"/>
    <mergeCell ref="A33:F33"/>
    <mergeCell ref="A209:F209"/>
    <mergeCell ref="A212:E212"/>
    <mergeCell ref="A220:F220"/>
    <mergeCell ref="A222:E222"/>
    <mergeCell ref="A236:F236"/>
  </mergeCells>
  <pageMargins left="0.98425196850393704" right="0.39370078740157483" top="0.39370078740157483" bottom="0.39370078740157483" header="0" footer="0"/>
  <pageSetup paperSize="9" scale="48" orientation="portrait" r:id="rId1"/>
  <rowBreaks count="2" manualBreakCount="2">
    <brk id="34" max="8" man="1"/>
    <brk id="10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XFD871"/>
  <sheetViews>
    <sheetView view="pageBreakPreview" topLeftCell="A621" zoomScale="80" zoomScaleSheetLayoutView="80" workbookViewId="0">
      <selection activeCell="H645" sqref="H645"/>
    </sheetView>
  </sheetViews>
  <sheetFormatPr defaultColWidth="9.140625" defaultRowHeight="15"/>
  <cols>
    <col min="1" max="1" width="17.85546875" style="747" customWidth="1"/>
    <col min="2" max="2" width="52.140625" style="2" customWidth="1"/>
    <col min="3" max="3" width="12.42578125" style="2" customWidth="1"/>
    <col min="4" max="4" width="7.5703125" style="2" customWidth="1"/>
    <col min="5" max="5" width="12.42578125" style="2" customWidth="1"/>
    <col min="6" max="6" width="15.42578125" style="2" customWidth="1"/>
    <col min="7" max="7" width="15.7109375" style="2" customWidth="1"/>
    <col min="8" max="8" width="17.140625" style="2" customWidth="1"/>
    <col min="9" max="9" width="19.85546875" style="2" bestFit="1" customWidth="1"/>
    <col min="10" max="10" width="10.42578125" style="375" customWidth="1"/>
    <col min="11" max="11" width="10" style="2" customWidth="1"/>
    <col min="12" max="12" width="10.85546875" style="375" bestFit="1" customWidth="1"/>
    <col min="13" max="13" width="15.42578125" style="2" customWidth="1"/>
    <col min="14" max="14" width="15.7109375" style="2" customWidth="1"/>
    <col min="15" max="15" width="17.140625" style="2" customWidth="1"/>
    <col min="16" max="16" width="17.140625" style="588" customWidth="1"/>
    <col min="17" max="30" width="17.140625" style="2" customWidth="1"/>
    <col min="31" max="38" width="17.140625" style="716" customWidth="1"/>
    <col min="39" max="16384" width="9.140625" style="2"/>
  </cols>
  <sheetData>
    <row r="1" spans="1:38" ht="34.9" customHeight="1">
      <c r="A1" s="930" t="s">
        <v>3782</v>
      </c>
      <c r="B1" s="931"/>
      <c r="C1" s="931"/>
      <c r="D1" s="931"/>
      <c r="E1" s="931"/>
      <c r="F1" s="931"/>
      <c r="G1" s="931"/>
      <c r="H1" s="931"/>
      <c r="I1" s="932"/>
      <c r="M1" s="375"/>
      <c r="N1" s="375"/>
      <c r="O1" s="375"/>
      <c r="P1" s="587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237"/>
      <c r="AF1" s="237"/>
      <c r="AG1" s="237"/>
      <c r="AH1" s="237"/>
      <c r="AI1" s="237"/>
      <c r="AJ1" s="237"/>
      <c r="AK1" s="237"/>
      <c r="AL1" s="237"/>
    </row>
    <row r="2" spans="1:38">
      <c r="A2" s="933" t="s">
        <v>1829</v>
      </c>
      <c r="B2" s="934" t="s">
        <v>2969</v>
      </c>
      <c r="C2" s="934"/>
      <c r="D2" s="934"/>
      <c r="E2" s="935" t="s">
        <v>3422</v>
      </c>
      <c r="F2" s="936"/>
      <c r="G2" s="936"/>
      <c r="H2" s="936"/>
      <c r="I2" s="937"/>
      <c r="M2" s="375"/>
      <c r="N2" s="375"/>
      <c r="O2" s="375"/>
      <c r="P2" s="587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237"/>
      <c r="AF2" s="237"/>
      <c r="AG2" s="237"/>
      <c r="AH2" s="237"/>
      <c r="AI2" s="237"/>
      <c r="AJ2" s="237"/>
      <c r="AK2" s="237"/>
      <c r="AL2" s="237"/>
    </row>
    <row r="3" spans="1:38">
      <c r="A3" s="933"/>
      <c r="B3" s="934"/>
      <c r="C3" s="934"/>
      <c r="D3" s="934"/>
      <c r="E3" s="938"/>
      <c r="F3" s="939"/>
      <c r="G3" s="939"/>
      <c r="H3" s="939"/>
      <c r="I3" s="940"/>
      <c r="M3" s="375"/>
      <c r="N3" s="375"/>
      <c r="O3" s="375"/>
      <c r="P3" s="587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237"/>
      <c r="AF3" s="237"/>
      <c r="AG3" s="237"/>
      <c r="AH3" s="237"/>
      <c r="AI3" s="237"/>
      <c r="AJ3" s="237"/>
      <c r="AK3" s="237"/>
      <c r="AL3" s="237"/>
    </row>
    <row r="4" spans="1:38">
      <c r="A4" s="933" t="s">
        <v>1830</v>
      </c>
      <c r="B4" s="934" t="s">
        <v>3021</v>
      </c>
      <c r="C4" s="934"/>
      <c r="D4" s="934"/>
      <c r="E4" s="938"/>
      <c r="F4" s="939"/>
      <c r="G4" s="939"/>
      <c r="H4" s="939"/>
      <c r="I4" s="940"/>
      <c r="M4" s="375"/>
      <c r="N4" s="375"/>
      <c r="O4" s="375"/>
      <c r="P4" s="587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237"/>
      <c r="AF4" s="237"/>
      <c r="AG4" s="237"/>
      <c r="AH4" s="237"/>
      <c r="AI4" s="237"/>
      <c r="AJ4" s="237"/>
      <c r="AK4" s="237"/>
      <c r="AL4" s="237"/>
    </row>
    <row r="5" spans="1:38">
      <c r="A5" s="933"/>
      <c r="B5" s="934"/>
      <c r="C5" s="934"/>
      <c r="D5" s="934"/>
      <c r="E5" s="941"/>
      <c r="F5" s="942"/>
      <c r="G5" s="942"/>
      <c r="H5" s="942"/>
      <c r="I5" s="943"/>
      <c r="M5" s="375"/>
      <c r="N5" s="375"/>
      <c r="O5" s="375"/>
      <c r="P5" s="587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237"/>
      <c r="AF5" s="237"/>
      <c r="AG5" s="237"/>
      <c r="AH5" s="237"/>
      <c r="AI5" s="237"/>
      <c r="AJ5" s="237"/>
      <c r="AK5" s="237"/>
      <c r="AL5" s="237"/>
    </row>
    <row r="6" spans="1:38" ht="4.9000000000000004" customHeight="1"/>
    <row r="7" spans="1:38">
      <c r="A7" s="696"/>
      <c r="B7" s="4"/>
      <c r="C7" s="927"/>
      <c r="D7" s="928"/>
      <c r="E7" s="4"/>
      <c r="F7" s="231"/>
      <c r="G7" s="231"/>
      <c r="H7" s="4"/>
      <c r="I7" s="4"/>
      <c r="M7" s="231"/>
      <c r="N7" s="231"/>
      <c r="O7" s="4"/>
      <c r="P7" s="426"/>
      <c r="Q7" s="4"/>
      <c r="R7" s="4"/>
      <c r="S7" s="4"/>
      <c r="T7" s="4"/>
      <c r="U7" s="4"/>
      <c r="V7" s="4"/>
      <c r="W7" s="231"/>
      <c r="X7" s="231"/>
      <c r="Y7" s="231"/>
      <c r="Z7" s="231"/>
      <c r="AA7" s="231"/>
      <c r="AB7" s="231"/>
      <c r="AC7" s="4"/>
      <c r="AD7" s="4"/>
      <c r="AE7" s="696"/>
      <c r="AF7" s="696"/>
      <c r="AG7" s="696"/>
      <c r="AH7" s="696"/>
      <c r="AI7" s="696"/>
      <c r="AJ7" s="696"/>
      <c r="AK7" s="696"/>
      <c r="AL7" s="696"/>
    </row>
    <row r="8" spans="1:38" ht="24" customHeight="1">
      <c r="A8" s="920" t="s">
        <v>3918</v>
      </c>
      <c r="B8" s="921"/>
      <c r="C8" s="921"/>
      <c r="D8" s="921"/>
      <c r="E8" s="929"/>
      <c r="F8" s="484"/>
      <c r="G8" s="484"/>
      <c r="H8" s="75" t="s">
        <v>1915</v>
      </c>
      <c r="I8" s="82" t="s">
        <v>2046</v>
      </c>
      <c r="M8" s="537"/>
      <c r="N8" s="537"/>
      <c r="O8" s="75"/>
      <c r="P8" s="589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</row>
    <row r="9" spans="1:38" ht="45" customHeight="1">
      <c r="A9" s="77" t="s">
        <v>1917</v>
      </c>
      <c r="B9" s="668"/>
      <c r="C9" s="77" t="s">
        <v>3</v>
      </c>
      <c r="D9" s="77" t="s">
        <v>4</v>
      </c>
      <c r="E9" s="77" t="s">
        <v>1826</v>
      </c>
      <c r="F9" s="93" t="s">
        <v>3781</v>
      </c>
      <c r="G9" s="93" t="s">
        <v>3783</v>
      </c>
      <c r="H9" s="77" t="s">
        <v>367</v>
      </c>
      <c r="I9" s="26" t="s">
        <v>368</v>
      </c>
      <c r="M9" s="25" t="s">
        <v>3936</v>
      </c>
      <c r="N9" s="25" t="s">
        <v>3937</v>
      </c>
      <c r="O9" s="25" t="s">
        <v>3938</v>
      </c>
      <c r="P9" s="617" t="s">
        <v>3945</v>
      </c>
      <c r="Q9" s="25" t="s">
        <v>3939</v>
      </c>
      <c r="R9" s="25" t="s">
        <v>3940</v>
      </c>
      <c r="S9" s="25" t="s">
        <v>3941</v>
      </c>
      <c r="T9" s="25" t="s">
        <v>3943</v>
      </c>
      <c r="U9" s="25" t="s">
        <v>3944</v>
      </c>
      <c r="V9" s="25" t="s">
        <v>3974</v>
      </c>
      <c r="W9" s="25" t="s">
        <v>4056</v>
      </c>
      <c r="X9" s="25" t="s">
        <v>4053</v>
      </c>
      <c r="Y9" s="25" t="s">
        <v>4058</v>
      </c>
      <c r="Z9" s="25" t="s">
        <v>4057</v>
      </c>
      <c r="AA9" s="25" t="s">
        <v>4052</v>
      </c>
      <c r="AB9" s="25" t="s">
        <v>4051</v>
      </c>
      <c r="AC9" s="25" t="s">
        <v>4050</v>
      </c>
      <c r="AD9" s="25" t="s">
        <v>4013</v>
      </c>
      <c r="AE9" s="25" t="s">
        <v>4054</v>
      </c>
      <c r="AF9" s="25" t="s">
        <v>4055</v>
      </c>
      <c r="AG9" s="25" t="s">
        <v>4076</v>
      </c>
      <c r="AH9" s="25" t="s">
        <v>4077</v>
      </c>
      <c r="AI9" s="25" t="s">
        <v>4078</v>
      </c>
      <c r="AJ9" s="25" t="s">
        <v>4079</v>
      </c>
      <c r="AK9" s="25" t="s">
        <v>4080</v>
      </c>
      <c r="AL9" s="25"/>
    </row>
    <row r="10" spans="1:38" ht="30">
      <c r="A10" s="24">
        <v>4509</v>
      </c>
      <c r="B10" s="78" t="s">
        <v>392</v>
      </c>
      <c r="C10" s="25" t="s">
        <v>12</v>
      </c>
      <c r="D10" s="25" t="s">
        <v>52</v>
      </c>
      <c r="E10" s="26">
        <v>3.5</v>
      </c>
      <c r="F10" s="26">
        <f>AVERAGE(M10:AL10)</f>
        <v>10</v>
      </c>
      <c r="G10" s="26">
        <f>ROUND(F10*E10,2)</f>
        <v>35</v>
      </c>
      <c r="H10" s="26">
        <f>J10</f>
        <v>2.7709999999999999</v>
      </c>
      <c r="I10" s="26">
        <f>ROUND(H10*E10,2)</f>
        <v>9.6999999999999993</v>
      </c>
      <c r="J10" s="375">
        <v>2.7709999999999999</v>
      </c>
      <c r="K10" s="2" t="e">
        <f>IF(A10&lt;&gt;0,VLOOKUP(A10,#REF!,2,FALSE),"")</f>
        <v>#REF!</v>
      </c>
      <c r="M10" s="93"/>
      <c r="N10" s="93"/>
      <c r="O10" s="93"/>
      <c r="P10" s="591"/>
      <c r="Q10" s="93"/>
      <c r="R10" s="93"/>
      <c r="S10" s="93"/>
      <c r="T10" s="93"/>
      <c r="U10" s="93"/>
      <c r="V10" s="93">
        <v>10</v>
      </c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</row>
    <row r="11" spans="1:38" ht="30">
      <c r="A11" s="24">
        <v>5061</v>
      </c>
      <c r="B11" s="78" t="s">
        <v>386</v>
      </c>
      <c r="C11" s="25" t="s">
        <v>12</v>
      </c>
      <c r="D11" s="25" t="s">
        <v>45</v>
      </c>
      <c r="E11" s="26">
        <v>0.15</v>
      </c>
      <c r="F11" s="26">
        <f t="shared" ref="F11:F12" si="0">AVERAGE(M11:AL11)</f>
        <v>28</v>
      </c>
      <c r="G11" s="26">
        <f t="shared" ref="G11:G14" si="1">ROUND(F11*E11,2)</f>
        <v>4.2</v>
      </c>
      <c r="H11" s="26">
        <f>J11</f>
        <v>15.725</v>
      </c>
      <c r="I11" s="26">
        <f>ROUND(H11*E11,2)</f>
        <v>2.36</v>
      </c>
      <c r="J11" s="375">
        <v>15.725</v>
      </c>
      <c r="K11" s="2" t="e">
        <f>IF(A11&lt;&gt;0,VLOOKUP(A11,#REF!,2,FALSE),"")</f>
        <v>#REF!</v>
      </c>
      <c r="M11" s="93"/>
      <c r="N11" s="93"/>
      <c r="O11" s="93"/>
      <c r="P11" s="591"/>
      <c r="Q11" s="93"/>
      <c r="R11" s="93"/>
      <c r="S11" s="93"/>
      <c r="T11" s="93"/>
      <c r="U11" s="93"/>
      <c r="V11" s="93">
        <v>28</v>
      </c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</row>
    <row r="12" spans="1:38" ht="30">
      <c r="A12" s="24">
        <v>6189</v>
      </c>
      <c r="B12" s="78" t="s">
        <v>387</v>
      </c>
      <c r="C12" s="25" t="s">
        <v>12</v>
      </c>
      <c r="D12" s="25" t="s">
        <v>52</v>
      </c>
      <c r="E12" s="26">
        <v>3.4870000000000001</v>
      </c>
      <c r="F12" s="26">
        <f t="shared" si="0"/>
        <v>30.03</v>
      </c>
      <c r="G12" s="26">
        <f t="shared" si="1"/>
        <v>104.71</v>
      </c>
      <c r="H12" s="26">
        <f>J12</f>
        <v>17.527000000000001</v>
      </c>
      <c r="I12" s="26">
        <f>ROUND(H12*E12,2)</f>
        <v>61.12</v>
      </c>
      <c r="J12" s="375">
        <v>17.527000000000001</v>
      </c>
      <c r="K12" s="2" t="e">
        <f>IF(A12&lt;&gt;0,VLOOKUP(A12,#REF!,2,FALSE),"")</f>
        <v>#REF!</v>
      </c>
      <c r="M12" s="93"/>
      <c r="N12" s="93"/>
      <c r="O12" s="93"/>
      <c r="P12" s="591"/>
      <c r="Q12" s="93"/>
      <c r="R12" s="93"/>
      <c r="S12" s="93"/>
      <c r="T12" s="93"/>
      <c r="U12" s="93"/>
      <c r="V12" s="93">
        <v>30.03</v>
      </c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</row>
    <row r="13" spans="1:38" ht="30">
      <c r="A13" s="503">
        <v>88262</v>
      </c>
      <c r="B13" s="628" t="s">
        <v>376</v>
      </c>
      <c r="C13" s="504" t="s">
        <v>12</v>
      </c>
      <c r="D13" s="504" t="s">
        <v>19</v>
      </c>
      <c r="E13" s="505">
        <v>1.3</v>
      </c>
      <c r="F13" s="505">
        <f>17.6*0.85*'PLANILHA ORÇA - CORREGEDORIA'!$BH$19</f>
        <v>16.665565134926347</v>
      </c>
      <c r="G13" s="505">
        <f t="shared" si="1"/>
        <v>21.67</v>
      </c>
      <c r="H13" s="26">
        <f>J13</f>
        <v>14.96</v>
      </c>
      <c r="I13" s="26">
        <f>ROUND(H13*E13,2)</f>
        <v>19.45</v>
      </c>
      <c r="J13" s="375">
        <v>14.96</v>
      </c>
      <c r="K13" s="2" t="e">
        <f>IF(A13&lt;&gt;0,VLOOKUP(A13,#REF!,2,FALSE),"")</f>
        <v>#REF!</v>
      </c>
      <c r="M13" s="93"/>
      <c r="N13" s="93"/>
      <c r="O13" s="93"/>
      <c r="P13" s="591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</row>
    <row r="14" spans="1:38" ht="30">
      <c r="A14" s="503">
        <v>88239</v>
      </c>
      <c r="B14" s="628" t="s">
        <v>393</v>
      </c>
      <c r="C14" s="504" t="s">
        <v>12</v>
      </c>
      <c r="D14" s="504" t="s">
        <v>19</v>
      </c>
      <c r="E14" s="505">
        <v>0.32500000000000001</v>
      </c>
      <c r="F14" s="505">
        <f>14.85*0.85*'PLANILHA ORÇA - CORREGEDORIA'!$BH$19</f>
        <v>14.061570582594101</v>
      </c>
      <c r="G14" s="505">
        <f t="shared" si="1"/>
        <v>4.57</v>
      </c>
      <c r="H14" s="26">
        <f>J14</f>
        <v>12.622499999999999</v>
      </c>
      <c r="I14" s="26">
        <f>ROUND(H14*E14,2)</f>
        <v>4.0999999999999996</v>
      </c>
      <c r="J14" s="375">
        <v>12.622499999999999</v>
      </c>
      <c r="K14" s="2" t="e">
        <f>IF(A14&lt;&gt;0,VLOOKUP(A14,#REF!,2,FALSE),"")</f>
        <v>#REF!</v>
      </c>
      <c r="M14" s="93"/>
      <c r="N14" s="93"/>
      <c r="O14" s="93"/>
      <c r="P14" s="591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</row>
    <row r="15" spans="1:38" ht="15" customHeight="1">
      <c r="A15" s="917" t="s">
        <v>1894</v>
      </c>
      <c r="B15" s="918"/>
      <c r="C15" s="918"/>
      <c r="D15" s="918"/>
      <c r="E15" s="918"/>
      <c r="F15" s="926"/>
      <c r="G15" s="79">
        <f>SUM(G10:G14)</f>
        <v>170.14999999999998</v>
      </c>
      <c r="H15" s="485"/>
      <c r="I15" s="79">
        <f>SUM(I10:I14)</f>
        <v>96.72999999999999</v>
      </c>
      <c r="M15" s="375"/>
      <c r="N15" s="93"/>
      <c r="O15" s="93"/>
      <c r="P15" s="591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</row>
    <row r="16" spans="1:38" ht="15" customHeight="1">
      <c r="A16" s="53"/>
      <c r="B16" s="53"/>
      <c r="C16" s="53"/>
      <c r="D16" s="53"/>
      <c r="E16" s="53"/>
      <c r="F16" s="53"/>
      <c r="G16" s="54"/>
      <c r="H16" s="53"/>
      <c r="I16" s="54"/>
      <c r="M16" s="53"/>
      <c r="N16" s="54"/>
      <c r="O16" s="53"/>
      <c r="P16" s="592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</row>
    <row r="17" spans="1:38" ht="15" customHeight="1">
      <c r="A17" s="53"/>
      <c r="B17" s="53"/>
      <c r="C17" s="53"/>
      <c r="D17" s="53"/>
      <c r="E17" s="53"/>
      <c r="F17" s="53"/>
      <c r="G17" s="54"/>
      <c r="H17" s="53"/>
      <c r="I17" s="54"/>
      <c r="M17" s="53"/>
      <c r="N17" s="54"/>
      <c r="O17" s="53"/>
      <c r="P17" s="592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</row>
    <row r="18" spans="1:38" ht="15" customHeight="1">
      <c r="A18" s="920" t="s">
        <v>3007</v>
      </c>
      <c r="B18" s="921"/>
      <c r="C18" s="921"/>
      <c r="D18" s="921"/>
      <c r="E18" s="929"/>
      <c r="F18" s="522"/>
      <c r="G18" s="522"/>
      <c r="H18" s="75" t="s">
        <v>12</v>
      </c>
      <c r="I18" s="82">
        <v>98459</v>
      </c>
      <c r="M18" s="537"/>
      <c r="N18" s="537"/>
      <c r="O18" s="537"/>
      <c r="P18" s="593"/>
      <c r="Q18" s="544"/>
      <c r="R18" s="544"/>
      <c r="S18" s="544"/>
      <c r="T18" s="570"/>
      <c r="U18" s="570"/>
      <c r="V18" s="654"/>
      <c r="W18" s="717"/>
      <c r="X18" s="705"/>
      <c r="Y18" s="717"/>
      <c r="Z18" s="717"/>
      <c r="AA18" s="705"/>
      <c r="AB18" s="705"/>
      <c r="AC18" s="654"/>
      <c r="AD18" s="675"/>
      <c r="AE18" s="717"/>
      <c r="AF18" s="717"/>
      <c r="AG18" s="717"/>
      <c r="AH18" s="717"/>
      <c r="AI18" s="717"/>
      <c r="AJ18" s="717"/>
      <c r="AK18" s="717"/>
      <c r="AL18" s="717"/>
    </row>
    <row r="19" spans="1:38" ht="45" customHeight="1">
      <c r="A19" s="77" t="s">
        <v>1917</v>
      </c>
      <c r="B19" s="668"/>
      <c r="C19" s="77" t="s">
        <v>3</v>
      </c>
      <c r="D19" s="77" t="s">
        <v>4</v>
      </c>
      <c r="E19" s="77" t="s">
        <v>1826</v>
      </c>
      <c r="F19" s="93" t="s">
        <v>3781</v>
      </c>
      <c r="G19" s="93" t="s">
        <v>3783</v>
      </c>
      <c r="H19" s="77" t="s">
        <v>367</v>
      </c>
      <c r="I19" s="26" t="s">
        <v>368</v>
      </c>
      <c r="M19" s="26"/>
      <c r="N19" s="26"/>
      <c r="O19" s="26"/>
      <c r="P19" s="595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5"/>
      <c r="AF19" s="25"/>
      <c r="AG19" s="25"/>
      <c r="AH19" s="25"/>
      <c r="AI19" s="25"/>
      <c r="AJ19" s="25"/>
      <c r="AK19" s="25"/>
      <c r="AL19" s="25"/>
    </row>
    <row r="20" spans="1:38" ht="45">
      <c r="A20" s="24" t="s">
        <v>3924</v>
      </c>
      <c r="B20" s="78" t="s">
        <v>3925</v>
      </c>
      <c r="C20" s="25" t="s">
        <v>12</v>
      </c>
      <c r="D20" s="25" t="s">
        <v>52</v>
      </c>
      <c r="E20" s="524">
        <v>1</v>
      </c>
      <c r="F20" s="26">
        <f t="shared" ref="F20:F23" si="2">AVERAGE(M20:AL20)</f>
        <v>30.03</v>
      </c>
      <c r="G20" s="26">
        <f>ROUND(F20*E20,2)</f>
        <v>30.03</v>
      </c>
      <c r="H20" s="26"/>
      <c r="I20" s="26"/>
      <c r="M20" s="537"/>
      <c r="N20" s="537"/>
      <c r="O20" s="537"/>
      <c r="P20" s="593"/>
      <c r="Q20" s="544"/>
      <c r="R20" s="544"/>
      <c r="S20" s="544"/>
      <c r="T20" s="570"/>
      <c r="U20" s="570"/>
      <c r="V20" s="654">
        <v>30.03</v>
      </c>
      <c r="W20" s="717"/>
      <c r="X20" s="705"/>
      <c r="Y20" s="717"/>
      <c r="Z20" s="717"/>
      <c r="AA20" s="705"/>
      <c r="AB20" s="705"/>
      <c r="AC20" s="654"/>
      <c r="AD20" s="675"/>
      <c r="AE20" s="717"/>
      <c r="AF20" s="717"/>
      <c r="AG20" s="717"/>
      <c r="AH20" s="717"/>
      <c r="AI20" s="717"/>
      <c r="AJ20" s="717"/>
      <c r="AK20" s="717"/>
      <c r="AL20" s="717"/>
    </row>
    <row r="21" spans="1:38" ht="45">
      <c r="A21" s="24" t="s">
        <v>3926</v>
      </c>
      <c r="B21" s="78" t="s">
        <v>3927</v>
      </c>
      <c r="C21" s="25" t="s">
        <v>12</v>
      </c>
      <c r="D21" s="25" t="s">
        <v>52</v>
      </c>
      <c r="E21" s="524">
        <v>1.2273000000000001</v>
      </c>
      <c r="F21" s="26">
        <f t="shared" si="2"/>
        <v>13.5</v>
      </c>
      <c r="G21" s="26">
        <f t="shared" ref="G21:G31" si="3">ROUND(F21*E21,2)</f>
        <v>16.57</v>
      </c>
      <c r="H21" s="26"/>
      <c r="I21" s="26"/>
      <c r="M21" s="537"/>
      <c r="N21" s="537"/>
      <c r="O21" s="537"/>
      <c r="P21" s="593"/>
      <c r="Q21" s="544"/>
      <c r="R21" s="544"/>
      <c r="S21" s="544"/>
      <c r="T21" s="570"/>
      <c r="U21" s="570"/>
      <c r="V21" s="654">
        <v>13.5</v>
      </c>
      <c r="W21" s="717"/>
      <c r="X21" s="705"/>
      <c r="Y21" s="717"/>
      <c r="Z21" s="717"/>
      <c r="AA21" s="705"/>
      <c r="AB21" s="705"/>
      <c r="AC21" s="654"/>
      <c r="AD21" s="675"/>
      <c r="AE21" s="717"/>
      <c r="AF21" s="717"/>
      <c r="AG21" s="717"/>
      <c r="AH21" s="717"/>
      <c r="AI21" s="717"/>
      <c r="AJ21" s="717"/>
      <c r="AK21" s="717"/>
      <c r="AL21" s="717"/>
    </row>
    <row r="22" spans="1:38" ht="30">
      <c r="A22" s="24" t="s">
        <v>3928</v>
      </c>
      <c r="B22" s="78" t="s">
        <v>386</v>
      </c>
      <c r="C22" s="25" t="s">
        <v>12</v>
      </c>
      <c r="D22" s="25" t="s">
        <v>45</v>
      </c>
      <c r="E22" s="524">
        <v>4.2799999999999998E-2</v>
      </c>
      <c r="F22" s="26">
        <f t="shared" si="2"/>
        <v>28</v>
      </c>
      <c r="G22" s="26">
        <f t="shared" si="3"/>
        <v>1.2</v>
      </c>
      <c r="H22" s="26"/>
      <c r="I22" s="26"/>
      <c r="M22" s="537"/>
      <c r="N22" s="537"/>
      <c r="O22" s="537"/>
      <c r="P22" s="593"/>
      <c r="Q22" s="544"/>
      <c r="R22" s="544"/>
      <c r="S22" s="544"/>
      <c r="T22" s="570"/>
      <c r="U22" s="570"/>
      <c r="V22" s="654">
        <v>28</v>
      </c>
      <c r="W22" s="717"/>
      <c r="X22" s="705"/>
      <c r="Y22" s="717"/>
      <c r="Z22" s="717"/>
      <c r="AA22" s="705"/>
      <c r="AB22" s="705"/>
      <c r="AC22" s="654"/>
      <c r="AD22" s="675"/>
      <c r="AE22" s="717"/>
      <c r="AF22" s="717"/>
      <c r="AG22" s="717"/>
      <c r="AH22" s="717"/>
      <c r="AI22" s="717"/>
      <c r="AJ22" s="717"/>
      <c r="AK22" s="717"/>
      <c r="AL22" s="717"/>
    </row>
    <row r="23" spans="1:38" ht="60">
      <c r="A23" s="24" t="s">
        <v>3929</v>
      </c>
      <c r="B23" s="78" t="s">
        <v>3930</v>
      </c>
      <c r="C23" s="25" t="s">
        <v>12</v>
      </c>
      <c r="D23" s="25" t="s">
        <v>26</v>
      </c>
      <c r="E23" s="524">
        <v>0.58530000000000004</v>
      </c>
      <c r="F23" s="26">
        <f t="shared" si="2"/>
        <v>48.924999999999997</v>
      </c>
      <c r="G23" s="26">
        <f t="shared" si="3"/>
        <v>28.64</v>
      </c>
      <c r="H23" s="26"/>
      <c r="I23" s="26"/>
      <c r="M23" s="537"/>
      <c r="N23" s="537"/>
      <c r="O23" s="537"/>
      <c r="P23" s="593"/>
      <c r="Q23" s="544"/>
      <c r="R23" s="544"/>
      <c r="S23" s="544"/>
      <c r="T23" s="570">
        <v>49.35</v>
      </c>
      <c r="U23" s="570">
        <v>48.5</v>
      </c>
      <c r="V23" s="654"/>
      <c r="W23" s="717"/>
      <c r="X23" s="705"/>
      <c r="Y23" s="717"/>
      <c r="Z23" s="717"/>
      <c r="AA23" s="705"/>
      <c r="AB23" s="705"/>
      <c r="AC23" s="654"/>
      <c r="AD23" s="675"/>
      <c r="AE23" s="717"/>
      <c r="AF23" s="717"/>
      <c r="AG23" s="717"/>
      <c r="AH23" s="717"/>
      <c r="AI23" s="717"/>
      <c r="AJ23" s="717"/>
      <c r="AK23" s="717"/>
      <c r="AL23" s="717"/>
    </row>
    <row r="24" spans="1:38" ht="30">
      <c r="A24" s="503" t="s">
        <v>3909</v>
      </c>
      <c r="B24" s="628" t="s">
        <v>393</v>
      </c>
      <c r="C24" s="504" t="s">
        <v>12</v>
      </c>
      <c r="D24" s="504" t="s">
        <v>19</v>
      </c>
      <c r="E24" s="629">
        <v>0.18970000000000001</v>
      </c>
      <c r="F24" s="505">
        <f>14.85*0.85*'PLANILHA ORÇA - CORREGEDORIA'!$BH$19</f>
        <v>14.061570582594101</v>
      </c>
      <c r="G24" s="505">
        <f t="shared" si="3"/>
        <v>2.67</v>
      </c>
      <c r="H24" s="26"/>
      <c r="I24" s="26"/>
      <c r="M24" s="537"/>
      <c r="N24" s="537"/>
      <c r="O24" s="537"/>
      <c r="P24" s="593"/>
      <c r="Q24" s="544"/>
      <c r="R24" s="544"/>
      <c r="S24" s="544"/>
      <c r="T24" s="570"/>
      <c r="U24" s="570"/>
      <c r="V24" s="654"/>
      <c r="W24" s="717"/>
      <c r="X24" s="705"/>
      <c r="Y24" s="717"/>
      <c r="Z24" s="717"/>
      <c r="AA24" s="705"/>
      <c r="AB24" s="705"/>
      <c r="AC24" s="654"/>
      <c r="AD24" s="675"/>
      <c r="AE24" s="717"/>
      <c r="AF24" s="717"/>
      <c r="AG24" s="717"/>
      <c r="AH24" s="717"/>
      <c r="AI24" s="717"/>
      <c r="AJ24" s="717"/>
      <c r="AK24" s="717"/>
      <c r="AL24" s="717"/>
    </row>
    <row r="25" spans="1:38" ht="30">
      <c r="A25" s="503" t="s">
        <v>3910</v>
      </c>
      <c r="B25" s="628" t="s">
        <v>376</v>
      </c>
      <c r="C25" s="504" t="s">
        <v>12</v>
      </c>
      <c r="D25" s="504" t="s">
        <v>19</v>
      </c>
      <c r="E25" s="629">
        <v>0.56910000000000005</v>
      </c>
      <c r="F25" s="505">
        <f>17.6*0.85*'PLANILHA ORÇA - CORREGEDORIA'!$BH$19</f>
        <v>16.665565134926347</v>
      </c>
      <c r="G25" s="505">
        <f t="shared" si="3"/>
        <v>9.48</v>
      </c>
      <c r="H25" s="26"/>
      <c r="I25" s="26"/>
      <c r="M25" s="537"/>
      <c r="N25" s="537"/>
      <c r="O25" s="537"/>
      <c r="P25" s="593"/>
      <c r="Q25" s="544"/>
      <c r="R25" s="544"/>
      <c r="S25" s="544"/>
      <c r="T25" s="570"/>
      <c r="U25" s="570"/>
      <c r="V25" s="654"/>
      <c r="W25" s="717"/>
      <c r="X25" s="705"/>
      <c r="Y25" s="717"/>
      <c r="Z25" s="717"/>
      <c r="AA25" s="705"/>
      <c r="AB25" s="705"/>
      <c r="AC25" s="654"/>
      <c r="AD25" s="675"/>
      <c r="AE25" s="717"/>
      <c r="AF25" s="717"/>
      <c r="AG25" s="717"/>
      <c r="AH25" s="717"/>
      <c r="AI25" s="717"/>
      <c r="AJ25" s="717"/>
      <c r="AK25" s="717"/>
      <c r="AL25" s="717"/>
    </row>
    <row r="26" spans="1:38" s="27" customFormat="1" ht="45">
      <c r="A26" s="727">
        <v>91692</v>
      </c>
      <c r="B26" s="728" t="s">
        <v>3932</v>
      </c>
      <c r="C26" s="729" t="s">
        <v>12</v>
      </c>
      <c r="D26" s="729" t="s">
        <v>388</v>
      </c>
      <c r="E26" s="730">
        <v>4.4000000000000003E-3</v>
      </c>
      <c r="F26" s="731">
        <v>24.45</v>
      </c>
      <c r="G26" s="731">
        <f>ROUND(F26*E26,2)</f>
        <v>0.11</v>
      </c>
      <c r="H26" s="26"/>
      <c r="I26" s="26"/>
      <c r="J26" s="365"/>
      <c r="L26" s="365"/>
      <c r="M26" s="717"/>
      <c r="N26" s="717"/>
      <c r="O26" s="717"/>
      <c r="P26" s="717"/>
      <c r="Q26" s="717"/>
      <c r="R26" s="717"/>
      <c r="S26" s="717"/>
      <c r="T26" s="717"/>
      <c r="U26" s="717"/>
      <c r="V26" s="717"/>
      <c r="W26" s="717"/>
      <c r="X26" s="717"/>
      <c r="Y26" s="717"/>
      <c r="Z26" s="717"/>
      <c r="AA26" s="717"/>
      <c r="AB26" s="717"/>
      <c r="AC26" s="717"/>
      <c r="AD26" s="717"/>
      <c r="AE26" s="717"/>
      <c r="AF26" s="717"/>
      <c r="AG26" s="717"/>
      <c r="AH26" s="717"/>
      <c r="AI26" s="717"/>
      <c r="AJ26" s="717"/>
      <c r="AK26" s="717"/>
      <c r="AL26" s="717"/>
    </row>
    <row r="27" spans="1:38" ht="45">
      <c r="A27" s="727">
        <v>91693</v>
      </c>
      <c r="B27" s="728" t="s">
        <v>3934</v>
      </c>
      <c r="C27" s="729" t="s">
        <v>12</v>
      </c>
      <c r="D27" s="729" t="s">
        <v>389</v>
      </c>
      <c r="E27" s="730">
        <v>1.9099999999999999E-2</v>
      </c>
      <c r="F27" s="731">
        <v>23.01</v>
      </c>
      <c r="G27" s="731">
        <f t="shared" si="3"/>
        <v>0.44</v>
      </c>
      <c r="H27" s="26"/>
      <c r="I27" s="26"/>
      <c r="M27" s="537"/>
      <c r="N27" s="537"/>
      <c r="O27" s="537"/>
      <c r="P27" s="593"/>
      <c r="Q27" s="544"/>
      <c r="R27" s="544"/>
      <c r="S27" s="544"/>
      <c r="T27" s="570"/>
      <c r="U27" s="570"/>
      <c r="V27" s="654"/>
      <c r="W27" s="717"/>
      <c r="X27" s="705"/>
      <c r="Y27" s="717"/>
      <c r="Z27" s="717"/>
      <c r="AA27" s="705"/>
      <c r="AB27" s="705"/>
      <c r="AC27" s="654"/>
      <c r="AD27" s="675"/>
      <c r="AE27" s="717"/>
      <c r="AF27" s="717"/>
      <c r="AG27" s="717"/>
      <c r="AH27" s="717"/>
      <c r="AI27" s="717"/>
      <c r="AJ27" s="717"/>
      <c r="AK27" s="717"/>
      <c r="AL27" s="717"/>
    </row>
    <row r="28" spans="1:38" s="34" customFormat="1" ht="60">
      <c r="A28" s="475" t="s">
        <v>4049</v>
      </c>
      <c r="B28" s="661" t="s">
        <v>3935</v>
      </c>
      <c r="C28" s="472" t="s">
        <v>12</v>
      </c>
      <c r="D28" s="472" t="s">
        <v>35</v>
      </c>
      <c r="E28" s="702">
        <v>1.1999999999999999E-3</v>
      </c>
      <c r="F28" s="473"/>
      <c r="G28" s="473">
        <f t="shared" si="3"/>
        <v>0</v>
      </c>
      <c r="H28" s="473"/>
      <c r="I28" s="473"/>
      <c r="J28" s="378"/>
      <c r="L28" s="378"/>
      <c r="M28" s="657" t="s">
        <v>1920</v>
      </c>
      <c r="N28" s="657" t="s">
        <v>1920</v>
      </c>
      <c r="O28" s="657" t="s">
        <v>1920</v>
      </c>
      <c r="P28" s="657"/>
      <c r="Q28" s="657" t="s">
        <v>1920</v>
      </c>
      <c r="R28" s="657" t="s">
        <v>1920</v>
      </c>
      <c r="S28" s="657" t="s">
        <v>1920</v>
      </c>
      <c r="T28" s="657" t="s">
        <v>1920</v>
      </c>
      <c r="U28" s="657"/>
      <c r="V28" s="657"/>
      <c r="W28" s="657"/>
      <c r="X28" s="657"/>
      <c r="Y28" s="657"/>
      <c r="Z28" s="657"/>
      <c r="AA28" s="657"/>
      <c r="AB28" s="657"/>
      <c r="AC28" s="657"/>
      <c r="AD28" s="657"/>
      <c r="AE28" s="657"/>
      <c r="AF28" s="657"/>
      <c r="AG28" s="657"/>
      <c r="AH28" s="657"/>
      <c r="AI28" s="657"/>
      <c r="AJ28" s="657"/>
      <c r="AK28" s="657"/>
      <c r="AL28" s="657"/>
    </row>
    <row r="29" spans="1:38" ht="30">
      <c r="A29" s="24" t="s">
        <v>3813</v>
      </c>
      <c r="B29" s="78" t="s">
        <v>396</v>
      </c>
      <c r="C29" s="25" t="s">
        <v>12</v>
      </c>
      <c r="D29" s="25" t="s">
        <v>35</v>
      </c>
      <c r="E29" s="524">
        <v>1.0245600000000001E-3</v>
      </c>
      <c r="F29" s="26">
        <f t="shared" ref="F29:F30" si="4">AVERAGE(M29:AL29)</f>
        <v>81.166666666666671</v>
      </c>
      <c r="G29" s="26">
        <f t="shared" si="3"/>
        <v>0.08</v>
      </c>
      <c r="H29" s="26"/>
      <c r="I29" s="26"/>
      <c r="M29" s="537"/>
      <c r="N29" s="537"/>
      <c r="O29" s="537"/>
      <c r="P29" s="593"/>
      <c r="Q29" s="544"/>
      <c r="R29" s="544"/>
      <c r="S29" s="544"/>
      <c r="T29" s="570"/>
      <c r="U29" s="570"/>
      <c r="V29" s="654"/>
      <c r="W29" s="717"/>
      <c r="X29" s="705"/>
      <c r="Y29" s="717"/>
      <c r="Z29" s="717"/>
      <c r="AA29" s="705"/>
      <c r="AB29" s="705"/>
      <c r="AC29" s="654"/>
      <c r="AD29" s="675"/>
      <c r="AE29" s="717"/>
      <c r="AF29" s="717"/>
      <c r="AG29" s="717">
        <v>76</v>
      </c>
      <c r="AH29" s="717">
        <v>80</v>
      </c>
      <c r="AI29" s="717">
        <v>87.5</v>
      </c>
      <c r="AJ29" s="717"/>
      <c r="AK29" s="717"/>
      <c r="AL29" s="717"/>
    </row>
    <row r="30" spans="1:38">
      <c r="A30" s="24" t="s">
        <v>3814</v>
      </c>
      <c r="B30" s="78" t="s">
        <v>397</v>
      </c>
      <c r="C30" s="25" t="s">
        <v>12</v>
      </c>
      <c r="D30" s="25" t="s">
        <v>45</v>
      </c>
      <c r="E30" s="524">
        <v>0.26271600000000001</v>
      </c>
      <c r="F30" s="26">
        <f t="shared" si="4"/>
        <v>0.96466666666666667</v>
      </c>
      <c r="G30" s="26">
        <f t="shared" si="3"/>
        <v>0.25</v>
      </c>
      <c r="H30" s="26"/>
      <c r="I30" s="26"/>
      <c r="M30" s="26">
        <v>0.98</v>
      </c>
      <c r="N30" s="26">
        <v>0.93500000000000005</v>
      </c>
      <c r="O30" s="26"/>
      <c r="P30" s="595">
        <v>0.97899999999999998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5"/>
      <c r="AF30" s="25"/>
      <c r="AG30" s="25"/>
      <c r="AH30" s="25"/>
      <c r="AI30" s="25"/>
      <c r="AJ30" s="25"/>
      <c r="AK30" s="25"/>
      <c r="AL30" s="25"/>
    </row>
    <row r="31" spans="1:38" ht="30">
      <c r="A31" s="727" t="s">
        <v>3815</v>
      </c>
      <c r="B31" s="728" t="s">
        <v>3820</v>
      </c>
      <c r="C31" s="729" t="s">
        <v>12</v>
      </c>
      <c r="D31" s="729" t="s">
        <v>35</v>
      </c>
      <c r="E31" s="730">
        <v>7.1652E-4</v>
      </c>
      <c r="F31" s="731">
        <v>216.86</v>
      </c>
      <c r="G31" s="731">
        <f t="shared" si="3"/>
        <v>0.16</v>
      </c>
      <c r="H31" s="26"/>
      <c r="I31" s="26"/>
      <c r="M31" s="537"/>
      <c r="N31" s="537"/>
      <c r="O31" s="537"/>
      <c r="P31" s="593"/>
      <c r="Q31" s="544"/>
      <c r="R31" s="544"/>
      <c r="S31" s="544"/>
      <c r="T31" s="570"/>
      <c r="U31" s="570"/>
      <c r="V31" s="654"/>
      <c r="W31" s="717"/>
      <c r="X31" s="705"/>
      <c r="Y31" s="717"/>
      <c r="Z31" s="717"/>
      <c r="AA31" s="705"/>
      <c r="AB31" s="705"/>
      <c r="AC31" s="654"/>
      <c r="AD31" s="675"/>
      <c r="AE31" s="717"/>
      <c r="AF31" s="717"/>
      <c r="AG31" s="717"/>
      <c r="AH31" s="717"/>
      <c r="AI31" s="717"/>
      <c r="AJ31" s="717"/>
      <c r="AK31" s="717"/>
      <c r="AL31" s="717"/>
    </row>
    <row r="32" spans="1:38">
      <c r="A32" s="503" t="s">
        <v>3816</v>
      </c>
      <c r="B32" s="628" t="s">
        <v>377</v>
      </c>
      <c r="C32" s="504" t="s">
        <v>12</v>
      </c>
      <c r="D32" s="504" t="s">
        <v>19</v>
      </c>
      <c r="E32" s="629">
        <v>7.5429599999999996E-3</v>
      </c>
      <c r="F32" s="505">
        <f>13.88*0.85*'PLANILHA ORÇA - CORREGEDORIA'!$BH$19</f>
        <v>13.143070685953276</v>
      </c>
      <c r="G32" s="505">
        <f t="shared" ref="G32" si="5">ROUND(F32*E32,2)</f>
        <v>0.1</v>
      </c>
      <c r="H32" s="26"/>
      <c r="I32" s="26"/>
      <c r="M32" s="537"/>
      <c r="N32" s="537"/>
      <c r="O32" s="537"/>
      <c r="P32" s="593"/>
      <c r="Q32" s="544"/>
      <c r="R32" s="544"/>
      <c r="S32" s="544"/>
      <c r="T32" s="570"/>
      <c r="U32" s="570"/>
      <c r="V32" s="654"/>
      <c r="W32" s="717"/>
      <c r="X32" s="705"/>
      <c r="Y32" s="717"/>
      <c r="Z32" s="717"/>
      <c r="AA32" s="705"/>
      <c r="AB32" s="705"/>
      <c r="AC32" s="654"/>
      <c r="AD32" s="675"/>
      <c r="AE32" s="717"/>
      <c r="AF32" s="717"/>
      <c r="AG32" s="717"/>
      <c r="AH32" s="717"/>
      <c r="AI32" s="717"/>
      <c r="AJ32" s="717"/>
      <c r="AK32" s="717"/>
      <c r="AL32" s="717"/>
    </row>
    <row r="33" spans="1:38" ht="15" customHeight="1">
      <c r="A33" s="917" t="s">
        <v>1894</v>
      </c>
      <c r="B33" s="918"/>
      <c r="C33" s="918"/>
      <c r="D33" s="918"/>
      <c r="E33" s="918"/>
      <c r="F33" s="926"/>
      <c r="G33" s="79">
        <f>SUM(G20:G32)</f>
        <v>89.72999999999999</v>
      </c>
      <c r="H33" s="521"/>
      <c r="I33" s="79">
        <f>SUM(I20:K32)</f>
        <v>0</v>
      </c>
      <c r="M33" s="537"/>
      <c r="N33" s="537"/>
      <c r="O33" s="537"/>
      <c r="P33" s="593"/>
      <c r="Q33" s="544"/>
      <c r="R33" s="544"/>
      <c r="S33" s="544"/>
      <c r="T33" s="570"/>
      <c r="U33" s="570"/>
      <c r="V33" s="654"/>
      <c r="W33" s="717"/>
      <c r="X33" s="705"/>
      <c r="Y33" s="717"/>
      <c r="Z33" s="717"/>
      <c r="AA33" s="705"/>
      <c r="AB33" s="705"/>
      <c r="AC33" s="654"/>
      <c r="AD33" s="675"/>
      <c r="AE33" s="717"/>
      <c r="AF33" s="717"/>
      <c r="AG33" s="717"/>
      <c r="AH33" s="717"/>
      <c r="AI33" s="717"/>
      <c r="AJ33" s="717"/>
      <c r="AK33" s="717"/>
      <c r="AL33" s="717"/>
    </row>
    <row r="34" spans="1:38" ht="27" customHeight="1">
      <c r="A34" s="53"/>
      <c r="B34" s="53"/>
      <c r="C34" s="53"/>
      <c r="D34" s="53"/>
      <c r="E34" s="53"/>
      <c r="F34" s="53"/>
      <c r="G34" s="54"/>
      <c r="H34" s="53"/>
      <c r="I34" s="54"/>
      <c r="M34" s="53"/>
      <c r="N34" s="54"/>
      <c r="O34" s="53"/>
      <c r="P34" s="592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</row>
    <row r="35" spans="1:38" ht="24.75" customHeight="1">
      <c r="A35" s="53"/>
      <c r="B35" s="53"/>
      <c r="C35" s="53"/>
      <c r="D35" s="53"/>
      <c r="E35" s="53"/>
      <c r="F35" s="53"/>
      <c r="G35" s="54"/>
      <c r="H35" s="53"/>
      <c r="I35" s="54"/>
      <c r="M35" s="53"/>
      <c r="N35" s="54"/>
      <c r="O35" s="53"/>
      <c r="P35" s="592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</row>
    <row r="36" spans="1:38" ht="27.75" customHeight="1">
      <c r="A36" s="920" t="s">
        <v>1527</v>
      </c>
      <c r="B36" s="921"/>
      <c r="C36" s="921"/>
      <c r="D36" s="921"/>
      <c r="E36" s="929"/>
      <c r="F36" s="511"/>
      <c r="G36" s="511"/>
      <c r="H36" s="75" t="s">
        <v>12</v>
      </c>
      <c r="I36" s="82">
        <v>96547</v>
      </c>
      <c r="M36" s="537"/>
      <c r="N36" s="537"/>
      <c r="O36" s="75"/>
      <c r="P36" s="589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</row>
    <row r="37" spans="1:38" ht="45" customHeight="1">
      <c r="A37" s="77" t="s">
        <v>1917</v>
      </c>
      <c r="B37" s="668"/>
      <c r="C37" s="77" t="s">
        <v>3</v>
      </c>
      <c r="D37" s="77" t="s">
        <v>4</v>
      </c>
      <c r="E37" s="77" t="s">
        <v>1826</v>
      </c>
      <c r="F37" s="93" t="s">
        <v>3781</v>
      </c>
      <c r="G37" s="93" t="s">
        <v>3783</v>
      </c>
      <c r="H37" s="77" t="s">
        <v>367</v>
      </c>
      <c r="I37" s="26" t="s">
        <v>368</v>
      </c>
      <c r="M37" s="26"/>
      <c r="N37" s="26"/>
      <c r="O37" s="26"/>
      <c r="P37" s="595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5"/>
      <c r="AF37" s="25"/>
      <c r="AG37" s="25"/>
      <c r="AH37" s="25"/>
      <c r="AI37" s="25"/>
      <c r="AJ37" s="25"/>
      <c r="AK37" s="25"/>
      <c r="AL37" s="25"/>
    </row>
    <row r="38" spans="1:38" ht="60">
      <c r="A38" s="24">
        <v>39017</v>
      </c>
      <c r="B38" s="78" t="s">
        <v>3806</v>
      </c>
      <c r="C38" s="25" t="s">
        <v>12</v>
      </c>
      <c r="D38" s="25" t="s">
        <v>4</v>
      </c>
      <c r="E38" s="91">
        <v>0.30599999999999999</v>
      </c>
      <c r="F38" s="26">
        <f t="shared" ref="F38:F39" si="6">AVERAGE(M38:AL38)</f>
        <v>0.27233333333333337</v>
      </c>
      <c r="G38" s="26">
        <f>ROUND(F38*E38,2)</f>
        <v>0.08</v>
      </c>
      <c r="H38" s="26">
        <f>J38</f>
        <v>0</v>
      </c>
      <c r="I38" s="26">
        <f>ROUND(H38*E38,2)</f>
        <v>0</v>
      </c>
      <c r="M38" s="26"/>
      <c r="N38" s="26"/>
      <c r="O38" s="26"/>
      <c r="P38" s="595">
        <v>0.32700000000000001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>
        <v>0.23</v>
      </c>
      <c r="AB38" s="26"/>
      <c r="AC38" s="26">
        <v>0.26</v>
      </c>
      <c r="AD38" s="26"/>
      <c r="AE38" s="25"/>
      <c r="AF38" s="25"/>
      <c r="AG38" s="25"/>
      <c r="AH38" s="25"/>
      <c r="AI38" s="25"/>
      <c r="AJ38" s="25"/>
      <c r="AK38" s="25"/>
      <c r="AL38" s="25"/>
    </row>
    <row r="39" spans="1:38" ht="30">
      <c r="A39" s="24">
        <v>43132</v>
      </c>
      <c r="B39" s="78" t="s">
        <v>3807</v>
      </c>
      <c r="C39" s="25" t="s">
        <v>12</v>
      </c>
      <c r="D39" s="25" t="s">
        <v>45</v>
      </c>
      <c r="E39" s="91">
        <v>2.5000000000000001E-2</v>
      </c>
      <c r="F39" s="26">
        <f t="shared" si="6"/>
        <v>18.399999999999999</v>
      </c>
      <c r="G39" s="26">
        <f>ROUND(F39*E39,2)</f>
        <v>0.46</v>
      </c>
      <c r="H39" s="26">
        <f>J39</f>
        <v>0</v>
      </c>
      <c r="I39" s="26">
        <f>ROUND(H39*E39,2)</f>
        <v>0</v>
      </c>
      <c r="M39" s="26"/>
      <c r="N39" s="26"/>
      <c r="O39" s="26"/>
      <c r="P39" s="595"/>
      <c r="Q39" s="26"/>
      <c r="R39" s="26"/>
      <c r="S39" s="26"/>
      <c r="T39" s="26">
        <v>17.100000000000001</v>
      </c>
      <c r="U39" s="26">
        <v>19.7</v>
      </c>
      <c r="V39" s="26"/>
      <c r="W39" s="26"/>
      <c r="X39" s="26"/>
      <c r="Y39" s="26"/>
      <c r="Z39" s="26"/>
      <c r="AA39" s="26"/>
      <c r="AB39" s="26"/>
      <c r="AC39" s="26"/>
      <c r="AD39" s="26"/>
      <c r="AE39" s="25"/>
      <c r="AF39" s="25"/>
      <c r="AG39" s="25"/>
      <c r="AH39" s="25"/>
      <c r="AI39" s="25"/>
      <c r="AJ39" s="25"/>
      <c r="AK39" s="25"/>
      <c r="AL39" s="25"/>
    </row>
    <row r="40" spans="1:38" ht="15" customHeight="1">
      <c r="A40" s="503">
        <v>88238</v>
      </c>
      <c r="B40" s="628" t="s">
        <v>394</v>
      </c>
      <c r="C40" s="504" t="s">
        <v>12</v>
      </c>
      <c r="D40" s="504" t="s">
        <v>19</v>
      </c>
      <c r="E40" s="631">
        <v>2.1999999999999999E-2</v>
      </c>
      <c r="F40" s="505">
        <f>13.77*0.85*'PLANILHA ORÇA - CORREGEDORIA'!$BH$19</f>
        <v>13.038910903859986</v>
      </c>
      <c r="G40" s="505">
        <f>ROUND(F40*E40,2)</f>
        <v>0.28999999999999998</v>
      </c>
      <c r="H40" s="26">
        <f>J40</f>
        <v>0</v>
      </c>
      <c r="I40" s="26">
        <f>ROUND(H40*E40,2)</f>
        <v>0</v>
      </c>
      <c r="M40" s="26"/>
      <c r="N40" s="26"/>
      <c r="O40" s="26"/>
      <c r="P40" s="595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5"/>
      <c r="AF40" s="25"/>
      <c r="AG40" s="25"/>
      <c r="AH40" s="25"/>
      <c r="AI40" s="25"/>
      <c r="AJ40" s="25"/>
      <c r="AK40" s="25"/>
      <c r="AL40" s="25"/>
    </row>
    <row r="41" spans="1:38" ht="15" customHeight="1">
      <c r="A41" s="503">
        <v>88245</v>
      </c>
      <c r="B41" s="628" t="s">
        <v>395</v>
      </c>
      <c r="C41" s="504" t="s">
        <v>12</v>
      </c>
      <c r="D41" s="504" t="s">
        <v>19</v>
      </c>
      <c r="E41" s="631">
        <v>6.8000000000000005E-2</v>
      </c>
      <c r="F41" s="505">
        <f>17.7*0.85*'PLANILHA ORÇA - CORREGEDORIA'!$BH$19</f>
        <v>16.760255845920241</v>
      </c>
      <c r="G41" s="505">
        <f t="shared" ref="G41:G42" si="7">ROUND(F41*E41,2)</f>
        <v>1.1399999999999999</v>
      </c>
      <c r="H41" s="26">
        <f>J41</f>
        <v>0</v>
      </c>
      <c r="I41" s="26">
        <f t="shared" ref="I41:I42" si="8">ROUND(H41*E41,2)</f>
        <v>0</v>
      </c>
      <c r="M41" s="26"/>
      <c r="N41" s="26"/>
      <c r="O41" s="26"/>
      <c r="P41" s="595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5"/>
      <c r="AF41" s="25"/>
      <c r="AG41" s="25"/>
      <c r="AH41" s="25"/>
      <c r="AI41" s="25"/>
      <c r="AJ41" s="25"/>
      <c r="AK41" s="25"/>
      <c r="AL41" s="25"/>
    </row>
    <row r="42" spans="1:38" s="34" customFormat="1" ht="45">
      <c r="A42" s="475" t="s">
        <v>3951</v>
      </c>
      <c r="B42" s="661" t="s">
        <v>3809</v>
      </c>
      <c r="C42" s="472" t="s">
        <v>12</v>
      </c>
      <c r="D42" s="472" t="s">
        <v>45</v>
      </c>
      <c r="E42" s="473">
        <v>1</v>
      </c>
      <c r="F42" s="473"/>
      <c r="G42" s="473">
        <f t="shared" si="7"/>
        <v>0</v>
      </c>
      <c r="H42" s="473">
        <f>J42</f>
        <v>0</v>
      </c>
      <c r="I42" s="473">
        <f t="shared" si="8"/>
        <v>0</v>
      </c>
      <c r="J42" s="378"/>
      <c r="L42" s="378"/>
      <c r="M42" s="473"/>
      <c r="N42" s="473"/>
      <c r="O42" s="473"/>
      <c r="P42" s="473"/>
      <c r="Q42" s="473"/>
      <c r="R42" s="473"/>
      <c r="S42" s="473"/>
      <c r="T42" s="473"/>
      <c r="U42" s="473"/>
      <c r="V42" s="473"/>
      <c r="W42" s="473"/>
      <c r="X42" s="473"/>
      <c r="Y42" s="473"/>
      <c r="Z42" s="473"/>
      <c r="AA42" s="473"/>
      <c r="AB42" s="473"/>
      <c r="AC42" s="473"/>
      <c r="AD42" s="473"/>
      <c r="AE42" s="472"/>
      <c r="AF42" s="472"/>
      <c r="AG42" s="472"/>
      <c r="AH42" s="472"/>
      <c r="AI42" s="472"/>
      <c r="AJ42" s="472"/>
      <c r="AK42" s="472"/>
      <c r="AL42" s="472"/>
    </row>
    <row r="43" spans="1:38">
      <c r="A43" s="24" t="s">
        <v>3946</v>
      </c>
      <c r="B43" s="78" t="s">
        <v>3947</v>
      </c>
      <c r="C43" s="25" t="s">
        <v>12</v>
      </c>
      <c r="D43" s="25" t="s">
        <v>45</v>
      </c>
      <c r="E43" s="25" t="s">
        <v>3948</v>
      </c>
      <c r="F43" s="26">
        <f>AVERAGE(M43:AL43)</f>
        <v>8.2896666666666672</v>
      </c>
      <c r="G43" s="26">
        <f>ROUND(F43*E43*$E$42,2)</f>
        <v>9.1999999999999993</v>
      </c>
      <c r="H43" s="26"/>
      <c r="I43" s="26">
        <f>ROUND(H43*E43*$E$42,2)</f>
        <v>0</v>
      </c>
      <c r="M43" s="26"/>
      <c r="N43" s="26"/>
      <c r="O43" s="26"/>
      <c r="P43" s="595"/>
      <c r="Q43" s="26"/>
      <c r="R43" s="26"/>
      <c r="S43" s="26"/>
      <c r="T43" s="26">
        <v>8.2690000000000001</v>
      </c>
      <c r="U43" s="26">
        <v>8.3000000000000007</v>
      </c>
      <c r="V43" s="26">
        <v>8.3000000000000007</v>
      </c>
      <c r="W43" s="26"/>
      <c r="X43" s="26"/>
      <c r="Y43" s="26"/>
      <c r="Z43" s="26"/>
      <c r="AA43" s="26"/>
      <c r="AB43" s="26"/>
      <c r="AC43" s="26"/>
      <c r="AD43" s="26"/>
      <c r="AE43" s="25"/>
      <c r="AF43" s="25"/>
      <c r="AG43" s="25"/>
      <c r="AH43" s="25"/>
      <c r="AI43" s="25"/>
      <c r="AJ43" s="25"/>
      <c r="AK43" s="25"/>
      <c r="AL43" s="25"/>
    </row>
    <row r="44" spans="1:38" ht="30">
      <c r="A44" s="503" t="s">
        <v>3914</v>
      </c>
      <c r="B44" s="628" t="s">
        <v>394</v>
      </c>
      <c r="C44" s="504" t="s">
        <v>12</v>
      </c>
      <c r="D44" s="504" t="s">
        <v>19</v>
      </c>
      <c r="E44" s="504" t="s">
        <v>3949</v>
      </c>
      <c r="F44" s="505">
        <f>13.77*0.85*'PLANILHA ORÇA - CORREGEDORIA'!$BH$19</f>
        <v>13.038910903859986</v>
      </c>
      <c r="G44" s="505">
        <f>ROUND(F44*E44*$E$42,2)</f>
        <v>0.01</v>
      </c>
      <c r="H44" s="26"/>
      <c r="I44" s="26">
        <f>ROUND(H44*E44*$E$42,2)</f>
        <v>0</v>
      </c>
      <c r="M44" s="26"/>
      <c r="N44" s="26"/>
      <c r="O44" s="26"/>
      <c r="P44" s="595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5"/>
      <c r="AF44" s="25"/>
      <c r="AG44" s="25"/>
      <c r="AH44" s="25"/>
      <c r="AI44" s="25"/>
      <c r="AJ44" s="25"/>
      <c r="AK44" s="25"/>
      <c r="AL44" s="25"/>
    </row>
    <row r="45" spans="1:38" ht="15" customHeight="1">
      <c r="A45" s="503" t="s">
        <v>3915</v>
      </c>
      <c r="B45" s="628" t="s">
        <v>395</v>
      </c>
      <c r="C45" s="504" t="s">
        <v>12</v>
      </c>
      <c r="D45" s="504" t="s">
        <v>19</v>
      </c>
      <c r="E45" s="504" t="s">
        <v>3950</v>
      </c>
      <c r="F45" s="505">
        <f>17.7*0.85*'PLANILHA ORÇA - CORREGEDORIA'!$BH$19</f>
        <v>16.760255845920241</v>
      </c>
      <c r="G45" s="505">
        <f>ROUND(F45*E45*$E$42,2)</f>
        <v>0.12</v>
      </c>
      <c r="H45" s="26"/>
      <c r="I45" s="26">
        <f>ROUND(H45*E45*$E$42,2)</f>
        <v>0</v>
      </c>
      <c r="M45" s="26"/>
      <c r="N45" s="26"/>
      <c r="O45" s="26"/>
      <c r="P45" s="595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5"/>
      <c r="AF45" s="25"/>
      <c r="AG45" s="25"/>
      <c r="AH45" s="25"/>
      <c r="AI45" s="25"/>
      <c r="AJ45" s="25"/>
      <c r="AK45" s="25"/>
      <c r="AL45" s="25"/>
    </row>
    <row r="46" spans="1:38" ht="27.75" customHeight="1">
      <c r="A46" s="917" t="s">
        <v>1894</v>
      </c>
      <c r="B46" s="918"/>
      <c r="C46" s="918"/>
      <c r="D46" s="918"/>
      <c r="E46" s="918"/>
      <c r="F46" s="926"/>
      <c r="G46" s="79">
        <f>SUM(G38:G45)</f>
        <v>11.299999999999999</v>
      </c>
      <c r="H46" s="509"/>
      <c r="I46" s="79" t="e">
        <f ca="1">_xludf.SUM(I38:I45)</f>
        <v>#NAME?</v>
      </c>
      <c r="M46" s="53"/>
      <c r="N46" s="54"/>
      <c r="O46" s="53"/>
      <c r="P46" s="592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</row>
    <row r="47" spans="1:38" ht="22.5" customHeight="1">
      <c r="A47" s="53"/>
      <c r="B47" s="53"/>
      <c r="C47" s="53"/>
      <c r="D47" s="53"/>
      <c r="E47" s="53"/>
      <c r="F47" s="53"/>
      <c r="G47" s="54"/>
      <c r="H47" s="53"/>
      <c r="I47" s="82">
        <v>96548</v>
      </c>
      <c r="M47" s="26"/>
      <c r="N47" s="26"/>
      <c r="O47" s="77"/>
      <c r="P47" s="590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38" ht="15" hidden="1" customHeight="1">
      <c r="A48" s="920" t="s">
        <v>1528</v>
      </c>
      <c r="B48" s="921"/>
      <c r="C48" s="921"/>
      <c r="D48" s="921"/>
      <c r="E48" s="929"/>
      <c r="F48" s="511"/>
      <c r="G48" s="511"/>
      <c r="H48" s="75" t="s">
        <v>12</v>
      </c>
      <c r="I48" s="77" t="s">
        <v>368</v>
      </c>
      <c r="M48" s="93"/>
      <c r="N48" s="93"/>
      <c r="O48" s="77"/>
      <c r="P48" s="590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1:38" ht="45" customHeight="1">
      <c r="A49" s="77" t="s">
        <v>1917</v>
      </c>
      <c r="B49" s="510"/>
      <c r="C49" s="77" t="s">
        <v>3</v>
      </c>
      <c r="D49" s="77" t="s">
        <v>4</v>
      </c>
      <c r="E49" s="721" t="s">
        <v>1826</v>
      </c>
      <c r="F49" s="723" t="s">
        <v>3781</v>
      </c>
      <c r="G49" s="723" t="s">
        <v>3783</v>
      </c>
      <c r="H49" s="722" t="s">
        <v>367</v>
      </c>
      <c r="I49" s="26">
        <f>ROUND(H50*E50,2)</f>
        <v>0</v>
      </c>
      <c r="M49" s="26"/>
      <c r="N49" s="26"/>
      <c r="O49" s="26"/>
      <c r="P49" s="595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5"/>
      <c r="AF49" s="25"/>
      <c r="AG49" s="25"/>
      <c r="AH49" s="25"/>
      <c r="AI49" s="25"/>
      <c r="AJ49" s="25"/>
      <c r="AK49" s="25"/>
      <c r="AL49" s="25"/>
    </row>
    <row r="50" spans="1:38" ht="60">
      <c r="A50" s="24">
        <v>39017</v>
      </c>
      <c r="B50" s="78" t="s">
        <v>3806</v>
      </c>
      <c r="C50" s="25" t="s">
        <v>12</v>
      </c>
      <c r="D50" s="25" t="s">
        <v>4</v>
      </c>
      <c r="E50" s="92">
        <v>0.19750000000000001</v>
      </c>
      <c r="F50" s="26">
        <f t="shared" ref="F50:F51" si="9">AVERAGE(M50:AL50)</f>
        <v>0.27233333333333337</v>
      </c>
      <c r="G50" s="159">
        <f>ROUND(F50*E50,2)</f>
        <v>0.05</v>
      </c>
      <c r="H50" s="26">
        <f>J49</f>
        <v>0</v>
      </c>
      <c r="I50" s="26">
        <f>ROUND(H50*E50,2)</f>
        <v>0</v>
      </c>
      <c r="M50" s="26"/>
      <c r="N50" s="26"/>
      <c r="O50" s="26"/>
      <c r="P50" s="595">
        <v>0.32700000000000001</v>
      </c>
      <c r="Q50" s="26"/>
      <c r="R50" s="26"/>
      <c r="S50" s="26"/>
      <c r="U50" s="26"/>
      <c r="V50" s="26"/>
      <c r="W50" s="26"/>
      <c r="X50" s="26"/>
      <c r="Y50" s="26"/>
      <c r="Z50" s="26"/>
      <c r="AA50" s="26">
        <v>0.23</v>
      </c>
      <c r="AB50" s="26"/>
      <c r="AC50" s="26">
        <v>0.26</v>
      </c>
      <c r="AD50" s="26"/>
      <c r="AE50" s="25"/>
      <c r="AF50" s="25"/>
      <c r="AG50" s="25"/>
      <c r="AH50" s="25"/>
      <c r="AI50" s="25"/>
      <c r="AJ50" s="25"/>
      <c r="AK50" s="25"/>
      <c r="AL50" s="25"/>
    </row>
    <row r="51" spans="1:38" ht="15" customHeight="1">
      <c r="A51" s="24">
        <v>43132</v>
      </c>
      <c r="B51" s="78" t="s">
        <v>3807</v>
      </c>
      <c r="C51" s="25" t="s">
        <v>12</v>
      </c>
      <c r="D51" s="25" t="s">
        <v>45</v>
      </c>
      <c r="E51" s="91">
        <v>2.5000000000000001E-2</v>
      </c>
      <c r="F51" s="26">
        <f t="shared" si="9"/>
        <v>18.399999999999999</v>
      </c>
      <c r="G51" s="26">
        <f>ROUND(F51*E51,2)</f>
        <v>0.46</v>
      </c>
      <c r="H51" s="26">
        <f>J50</f>
        <v>0</v>
      </c>
      <c r="I51" s="26">
        <f>ROUND(H51*E51,2)</f>
        <v>0</v>
      </c>
      <c r="M51" s="26"/>
      <c r="N51" s="26"/>
      <c r="O51" s="26"/>
      <c r="P51" s="595"/>
      <c r="Q51" s="26"/>
      <c r="R51" s="26"/>
      <c r="S51" s="26"/>
      <c r="T51" s="26">
        <v>17.100000000000001</v>
      </c>
      <c r="U51" s="26">
        <v>19.7</v>
      </c>
      <c r="V51" s="26"/>
      <c r="W51" s="26"/>
      <c r="X51" s="26"/>
      <c r="Y51" s="26"/>
      <c r="Z51" s="26"/>
      <c r="AA51" s="26"/>
      <c r="AB51" s="26"/>
      <c r="AC51" s="26"/>
      <c r="AD51" s="26"/>
      <c r="AE51" s="25"/>
      <c r="AF51" s="25"/>
      <c r="AG51" s="25"/>
      <c r="AH51" s="25"/>
      <c r="AI51" s="25"/>
      <c r="AJ51" s="25"/>
      <c r="AK51" s="25"/>
      <c r="AL51" s="25"/>
    </row>
    <row r="52" spans="1:38" ht="15" customHeight="1">
      <c r="A52" s="503">
        <v>88238</v>
      </c>
      <c r="B52" s="628" t="s">
        <v>394</v>
      </c>
      <c r="C52" s="504" t="s">
        <v>12</v>
      </c>
      <c r="D52" s="504" t="s">
        <v>19</v>
      </c>
      <c r="E52" s="630">
        <v>1.6E-2</v>
      </c>
      <c r="F52" s="505">
        <f>F40</f>
        <v>13.038910903859986</v>
      </c>
      <c r="G52" s="505">
        <f>ROUND(F52*E52,2)</f>
        <v>0.21</v>
      </c>
      <c r="H52" s="26">
        <f>J51</f>
        <v>0</v>
      </c>
      <c r="I52" s="26">
        <f t="shared" ref="I52:I54" si="10">ROUND(H52*E52,2)</f>
        <v>0</v>
      </c>
      <c r="M52" s="26"/>
      <c r="N52" s="26"/>
      <c r="O52" s="26"/>
      <c r="P52" s="595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5"/>
      <c r="AF52" s="25"/>
      <c r="AG52" s="25"/>
      <c r="AH52" s="25"/>
      <c r="AI52" s="25"/>
      <c r="AJ52" s="25"/>
      <c r="AK52" s="25"/>
      <c r="AL52" s="25"/>
    </row>
    <row r="53" spans="1:38">
      <c r="A53" s="503">
        <v>88245</v>
      </c>
      <c r="B53" s="628" t="s">
        <v>395</v>
      </c>
      <c r="C53" s="504" t="s">
        <v>12</v>
      </c>
      <c r="D53" s="504" t="s">
        <v>19</v>
      </c>
      <c r="E53" s="630">
        <v>4.9500000000000002E-2</v>
      </c>
      <c r="F53" s="505">
        <f>F41</f>
        <v>16.760255845920241</v>
      </c>
      <c r="G53" s="505">
        <f>ROUND(F53*E53,2)</f>
        <v>0.83</v>
      </c>
      <c r="H53" s="26">
        <f>J52</f>
        <v>0</v>
      </c>
      <c r="I53" s="26">
        <f t="shared" si="10"/>
        <v>0</v>
      </c>
      <c r="M53" s="26"/>
      <c r="N53" s="26"/>
      <c r="O53" s="26"/>
      <c r="P53" s="595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5"/>
      <c r="AF53" s="25"/>
      <c r="AG53" s="25"/>
      <c r="AH53" s="25"/>
      <c r="AI53" s="25"/>
      <c r="AJ53" s="25"/>
      <c r="AK53" s="25"/>
      <c r="AL53" s="25"/>
    </row>
    <row r="54" spans="1:38" s="34" customFormat="1" ht="15" customHeight="1">
      <c r="A54" s="475" t="s">
        <v>3953</v>
      </c>
      <c r="B54" s="661" t="s">
        <v>3810</v>
      </c>
      <c r="C54" s="472" t="s">
        <v>12</v>
      </c>
      <c r="D54" s="472" t="s">
        <v>45</v>
      </c>
      <c r="E54" s="473">
        <v>1</v>
      </c>
      <c r="F54" s="473"/>
      <c r="G54" s="473">
        <f>ROUND(F54*E54,2)</f>
        <v>0</v>
      </c>
      <c r="H54" s="473">
        <f>J53</f>
        <v>0</v>
      </c>
      <c r="I54" s="473">
        <f t="shared" si="10"/>
        <v>0</v>
      </c>
      <c r="J54" s="378"/>
      <c r="L54" s="378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3"/>
      <c r="Z54" s="473"/>
      <c r="AA54" s="473"/>
      <c r="AB54" s="473"/>
      <c r="AC54" s="473"/>
      <c r="AD54" s="473"/>
      <c r="AE54" s="472"/>
      <c r="AF54" s="472"/>
      <c r="AG54" s="472"/>
      <c r="AH54" s="472"/>
      <c r="AI54" s="472"/>
      <c r="AJ54" s="472"/>
      <c r="AK54" s="472"/>
      <c r="AL54" s="472"/>
    </row>
    <row r="55" spans="1:38" ht="15" customHeight="1">
      <c r="A55" s="24" t="s">
        <v>3946</v>
      </c>
      <c r="B55" s="78" t="s">
        <v>3947</v>
      </c>
      <c r="C55" s="25" t="s">
        <v>12</v>
      </c>
      <c r="D55" s="25" t="s">
        <v>45</v>
      </c>
      <c r="E55" s="25" t="s">
        <v>3948</v>
      </c>
      <c r="F55" s="26">
        <f>AVERAGE(M55:AL55)</f>
        <v>8.2896666666666672</v>
      </c>
      <c r="G55" s="26">
        <f>ROUND(F55*E55*$E$54,2)</f>
        <v>9.1999999999999993</v>
      </c>
      <c r="H55" s="26">
        <f t="shared" ref="H55:H56" si="11">J54</f>
        <v>0</v>
      </c>
      <c r="I55" s="26">
        <f>ROUND(H55*E55*$E$54,2)</f>
        <v>0</v>
      </c>
      <c r="M55" s="26"/>
      <c r="N55" s="26"/>
      <c r="O55" s="26"/>
      <c r="P55" s="595"/>
      <c r="Q55" s="26"/>
      <c r="R55" s="26"/>
      <c r="S55" s="26"/>
      <c r="T55" s="26">
        <v>8.2690000000000001</v>
      </c>
      <c r="U55" s="26">
        <v>8.3000000000000007</v>
      </c>
      <c r="V55" s="26">
        <v>8.3000000000000007</v>
      </c>
      <c r="W55" s="26"/>
      <c r="X55" s="26"/>
      <c r="Y55" s="26"/>
      <c r="Z55" s="26"/>
      <c r="AA55" s="26"/>
      <c r="AB55" s="26"/>
      <c r="AC55" s="26"/>
      <c r="AD55" s="26"/>
      <c r="AE55" s="25"/>
      <c r="AF55" s="25"/>
      <c r="AG55" s="25"/>
      <c r="AH55" s="25"/>
      <c r="AI55" s="25"/>
      <c r="AJ55" s="25"/>
      <c r="AK55" s="25"/>
      <c r="AL55" s="25"/>
    </row>
    <row r="56" spans="1:38" ht="15" customHeight="1">
      <c r="A56" s="503" t="s">
        <v>3915</v>
      </c>
      <c r="B56" s="628" t="s">
        <v>395</v>
      </c>
      <c r="C56" s="504" t="s">
        <v>12</v>
      </c>
      <c r="D56" s="504" t="s">
        <v>19</v>
      </c>
      <c r="E56" s="504" t="s">
        <v>3952</v>
      </c>
      <c r="F56" s="505">
        <f>17.7*0.85*'PLANILHA ORÇA - CORREGEDORIA'!$BH$19</f>
        <v>16.760255845920241</v>
      </c>
      <c r="G56" s="505">
        <f>ROUND(F56*E56*$E$54,2)</f>
        <v>0.06</v>
      </c>
      <c r="H56" s="26">
        <f t="shared" si="11"/>
        <v>0</v>
      </c>
      <c r="I56" s="26">
        <f>ROUND(H56*E56*E54,2)</f>
        <v>0</v>
      </c>
      <c r="M56" s="26"/>
      <c r="N56" s="26"/>
      <c r="O56" s="26"/>
      <c r="P56" s="59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5"/>
      <c r="AF56" s="25"/>
      <c r="AG56" s="25"/>
      <c r="AH56" s="25"/>
      <c r="AI56" s="25"/>
      <c r="AJ56" s="25"/>
      <c r="AK56" s="25"/>
      <c r="AL56" s="25"/>
    </row>
    <row r="57" spans="1:38" ht="23.25" customHeight="1">
      <c r="A57" s="917" t="s">
        <v>1894</v>
      </c>
      <c r="B57" s="918"/>
      <c r="C57" s="918"/>
      <c r="D57" s="918"/>
      <c r="E57" s="918"/>
      <c r="F57" s="926"/>
      <c r="G57" s="79">
        <f>SUM(G50:G56)</f>
        <v>10.81</v>
      </c>
      <c r="H57" s="509"/>
      <c r="I57" s="79">
        <f>SUM(I50:I56)</f>
        <v>0</v>
      </c>
      <c r="M57" s="53"/>
      <c r="N57" s="54"/>
      <c r="O57" s="53"/>
      <c r="P57" s="592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</row>
    <row r="58" spans="1:38" ht="34.5" customHeight="1">
      <c r="A58" s="53"/>
      <c r="B58" s="53"/>
      <c r="C58" s="53"/>
      <c r="D58" s="53"/>
      <c r="E58" s="53"/>
      <c r="F58" s="53"/>
      <c r="G58" s="54"/>
      <c r="H58" s="53"/>
      <c r="I58" s="82">
        <v>94966</v>
      </c>
      <c r="M58" s="537"/>
      <c r="N58" s="537"/>
      <c r="O58" s="75"/>
      <c r="P58" s="589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</row>
    <row r="59" spans="1:38">
      <c r="A59" s="920" t="s">
        <v>2496</v>
      </c>
      <c r="B59" s="921"/>
      <c r="C59" s="921"/>
      <c r="D59" s="921"/>
      <c r="E59" s="929"/>
      <c r="F59" s="517"/>
      <c r="G59" s="517"/>
      <c r="H59" s="75" t="s">
        <v>12</v>
      </c>
      <c r="I59" s="77" t="s">
        <v>368</v>
      </c>
      <c r="M59" s="93"/>
      <c r="N59" s="93"/>
      <c r="O59" s="77"/>
      <c r="P59" s="590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  <row r="60" spans="1:38" ht="35.25" customHeight="1">
      <c r="A60" s="77" t="s">
        <v>1917</v>
      </c>
      <c r="B60" s="516"/>
      <c r="C60" s="77" t="s">
        <v>3</v>
      </c>
      <c r="D60" s="77" t="s">
        <v>4</v>
      </c>
      <c r="E60" s="77" t="s">
        <v>1826</v>
      </c>
      <c r="F60" s="93" t="s">
        <v>3781</v>
      </c>
      <c r="G60" s="93" t="s">
        <v>3783</v>
      </c>
      <c r="H60" s="77" t="s">
        <v>367</v>
      </c>
      <c r="I60" s="26" t="e">
        <f>ROUND(H60*E60,2)</f>
        <v>#VALUE!</v>
      </c>
      <c r="M60" s="26"/>
      <c r="N60" s="26"/>
      <c r="O60" s="26"/>
      <c r="P60" s="595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5"/>
      <c r="AF60" s="25"/>
      <c r="AG60" s="25"/>
      <c r="AH60" s="25"/>
      <c r="AI60" s="25"/>
      <c r="AJ60" s="25"/>
      <c r="AK60" s="25"/>
      <c r="AL60" s="25"/>
    </row>
    <row r="61" spans="1:38" ht="30">
      <c r="A61" s="24" t="s">
        <v>3813</v>
      </c>
      <c r="B61" s="78" t="s">
        <v>396</v>
      </c>
      <c r="C61" s="25" t="s">
        <v>12</v>
      </c>
      <c r="D61" s="25" t="s">
        <v>35</v>
      </c>
      <c r="E61" s="524">
        <v>0.70779999999999998</v>
      </c>
      <c r="F61" s="26">
        <f t="shared" ref="F61:F62" si="12">AVERAGE(M61:AL61)</f>
        <v>81.166666666666671</v>
      </c>
      <c r="G61" s="26">
        <f>ROUND(F61*E61,2)</f>
        <v>57.45</v>
      </c>
      <c r="H61" s="26">
        <f>J60</f>
        <v>0</v>
      </c>
      <c r="I61" s="26">
        <f t="shared" ref="I61:I65" si="13">ROUND(H61*E61,2)</f>
        <v>0</v>
      </c>
      <c r="M61" s="26"/>
      <c r="N61" s="26"/>
      <c r="O61" s="26"/>
      <c r="P61" s="595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5"/>
      <c r="AF61" s="25"/>
      <c r="AG61" s="25">
        <v>76</v>
      </c>
      <c r="AH61" s="25">
        <v>80</v>
      </c>
      <c r="AI61" s="25">
        <v>87.5</v>
      </c>
      <c r="AJ61" s="25"/>
      <c r="AK61" s="25"/>
      <c r="AL61" s="25"/>
    </row>
    <row r="62" spans="1:38" ht="15" customHeight="1">
      <c r="A62" s="24" t="s">
        <v>3814</v>
      </c>
      <c r="B62" s="78" t="s">
        <v>397</v>
      </c>
      <c r="C62" s="25" t="s">
        <v>12</v>
      </c>
      <c r="D62" s="25" t="s">
        <v>45</v>
      </c>
      <c r="E62" s="524">
        <v>388.88260000000002</v>
      </c>
      <c r="F62" s="26">
        <f t="shared" si="12"/>
        <v>0.96466666666666667</v>
      </c>
      <c r="G62" s="26">
        <f t="shared" ref="G62" si="14">ROUND(F62*E62,2)</f>
        <v>375.14</v>
      </c>
      <c r="H62" s="26">
        <f>J61</f>
        <v>0</v>
      </c>
      <c r="I62" s="26">
        <f t="shared" si="13"/>
        <v>0</v>
      </c>
      <c r="M62" s="26">
        <v>0.98</v>
      </c>
      <c r="N62" s="26">
        <v>0.93500000000000005</v>
      </c>
      <c r="O62" s="26"/>
      <c r="P62" s="595">
        <v>0.97899999999999998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5"/>
      <c r="AF62" s="25"/>
      <c r="AG62" s="25"/>
      <c r="AH62" s="25"/>
      <c r="AI62" s="25"/>
      <c r="AJ62" s="25"/>
      <c r="AK62" s="25"/>
      <c r="AL62" s="25"/>
    </row>
    <row r="63" spans="1:38" ht="15" customHeight="1">
      <c r="A63" s="727" t="s">
        <v>3815</v>
      </c>
      <c r="B63" s="728" t="s">
        <v>3820</v>
      </c>
      <c r="C63" s="729" t="s">
        <v>12</v>
      </c>
      <c r="D63" s="729" t="s">
        <v>35</v>
      </c>
      <c r="E63" s="730">
        <v>0.58919999999999995</v>
      </c>
      <c r="F63" s="731">
        <v>216.86</v>
      </c>
      <c r="G63" s="731">
        <f>ROUND(F63*E63,2)</f>
        <v>127.77</v>
      </c>
      <c r="H63" s="26">
        <f>J62</f>
        <v>0</v>
      </c>
      <c r="I63" s="26">
        <f t="shared" si="13"/>
        <v>0</v>
      </c>
      <c r="M63" s="26"/>
      <c r="N63" s="26"/>
      <c r="O63" s="26"/>
      <c r="P63" s="595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5"/>
      <c r="AF63" s="25"/>
      <c r="AG63" s="25"/>
      <c r="AH63" s="25"/>
      <c r="AI63" s="25"/>
      <c r="AJ63" s="25"/>
      <c r="AK63" s="25"/>
      <c r="AL63" s="25"/>
    </row>
    <row r="64" spans="1:38" ht="15" customHeight="1">
      <c r="A64" s="503" t="s">
        <v>3816</v>
      </c>
      <c r="B64" s="628" t="s">
        <v>377</v>
      </c>
      <c r="C64" s="504" t="s">
        <v>12</v>
      </c>
      <c r="D64" s="504" t="s">
        <v>19</v>
      </c>
      <c r="E64" s="629">
        <v>2.2957999999999998</v>
      </c>
      <c r="F64" s="505">
        <f>13.88*0.85*'PLANILHA ORÇA - CORREGEDORIA'!$BH$19</f>
        <v>13.143070685953276</v>
      </c>
      <c r="G64" s="505">
        <f t="shared" ref="G64" si="15">ROUND(F64*E64,2)</f>
        <v>30.17</v>
      </c>
      <c r="H64" s="26"/>
      <c r="I64" s="26">
        <f t="shared" si="13"/>
        <v>0</v>
      </c>
      <c r="M64" s="26"/>
      <c r="N64" s="26"/>
      <c r="O64" s="26"/>
      <c r="P64" s="595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5"/>
      <c r="AF64" s="25"/>
      <c r="AG64" s="25"/>
      <c r="AH64" s="25"/>
      <c r="AI64" s="25"/>
      <c r="AJ64" s="25"/>
      <c r="AK64" s="25"/>
      <c r="AL64" s="25"/>
    </row>
    <row r="65" spans="1:38" ht="45">
      <c r="A65" s="503" t="s">
        <v>3817</v>
      </c>
      <c r="B65" s="628" t="s">
        <v>3821</v>
      </c>
      <c r="C65" s="504" t="s">
        <v>12</v>
      </c>
      <c r="D65" s="504" t="s">
        <v>19</v>
      </c>
      <c r="E65" s="629">
        <v>1.4490000000000001</v>
      </c>
      <c r="F65" s="505">
        <f>17.21*0.85*'PLANILHA ORÇA - CORREGEDORIA'!$BH$19</f>
        <v>16.296271362050135</v>
      </c>
      <c r="G65" s="505">
        <f>ROUND(F65*E65,2)</f>
        <v>23.61</v>
      </c>
      <c r="H65" s="26"/>
      <c r="I65" s="26">
        <f t="shared" si="13"/>
        <v>0</v>
      </c>
      <c r="M65" s="26"/>
      <c r="N65" s="26"/>
      <c r="O65" s="26"/>
      <c r="P65" s="595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5"/>
      <c r="AF65" s="25"/>
      <c r="AG65" s="25"/>
      <c r="AH65" s="25"/>
      <c r="AI65" s="25"/>
      <c r="AJ65" s="25"/>
      <c r="AK65" s="25"/>
      <c r="AL65" s="25"/>
    </row>
    <row r="66" spans="1:38" ht="60">
      <c r="A66" s="727" t="s">
        <v>3818</v>
      </c>
      <c r="B66" s="728" t="s">
        <v>3822</v>
      </c>
      <c r="C66" s="729" t="s">
        <v>12</v>
      </c>
      <c r="D66" s="729" t="s">
        <v>388</v>
      </c>
      <c r="E66" s="730">
        <v>0.74580000000000002</v>
      </c>
      <c r="F66" s="731">
        <v>2.1</v>
      </c>
      <c r="G66" s="731">
        <f>ROUND(F66*E66,2)</f>
        <v>1.57</v>
      </c>
      <c r="H66" s="26">
        <f>J65</f>
        <v>0</v>
      </c>
      <c r="I66" s="26">
        <f>ROUND(H66*E66,2)</f>
        <v>0</v>
      </c>
      <c r="M66" s="26"/>
      <c r="N66" s="26"/>
      <c r="O66" s="26"/>
      <c r="P66" s="595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5"/>
      <c r="AF66" s="25"/>
      <c r="AG66" s="25"/>
      <c r="AH66" s="25"/>
      <c r="AI66" s="25"/>
      <c r="AJ66" s="25"/>
      <c r="AK66" s="25"/>
      <c r="AL66" s="25"/>
    </row>
    <row r="67" spans="1:38" ht="15" customHeight="1">
      <c r="A67" s="727" t="s">
        <v>3819</v>
      </c>
      <c r="B67" s="728" t="s">
        <v>3823</v>
      </c>
      <c r="C67" s="729" t="s">
        <v>12</v>
      </c>
      <c r="D67" s="729" t="s">
        <v>389</v>
      </c>
      <c r="E67" s="730">
        <v>0.70320000000000005</v>
      </c>
      <c r="F67" s="731">
        <v>0.42</v>
      </c>
      <c r="G67" s="731">
        <f>ROUND(F67*E67,2)</f>
        <v>0.3</v>
      </c>
      <c r="H67" s="26">
        <f>J66</f>
        <v>0</v>
      </c>
      <c r="I67" s="26">
        <f>ROUND(H67*E67,2)</f>
        <v>0</v>
      </c>
      <c r="M67" s="375"/>
      <c r="N67" s="79"/>
      <c r="O67" s="535"/>
      <c r="P67" s="594"/>
      <c r="Q67" s="543"/>
      <c r="R67" s="543"/>
      <c r="S67" s="543"/>
      <c r="T67" s="569"/>
      <c r="U67" s="569"/>
      <c r="V67" s="653"/>
      <c r="W67" s="713"/>
      <c r="X67" s="704"/>
      <c r="Y67" s="713"/>
      <c r="Z67" s="713"/>
      <c r="AA67" s="704"/>
      <c r="AB67" s="704"/>
      <c r="AC67" s="653"/>
      <c r="AD67" s="674"/>
      <c r="AE67" s="713"/>
      <c r="AF67" s="713"/>
      <c r="AG67" s="713"/>
      <c r="AH67" s="713"/>
      <c r="AI67" s="713"/>
      <c r="AJ67" s="713"/>
      <c r="AK67" s="713"/>
      <c r="AL67" s="713"/>
    </row>
    <row r="68" spans="1:38" ht="24.75" customHeight="1">
      <c r="A68" s="917" t="s">
        <v>1894</v>
      </c>
      <c r="B68" s="918"/>
      <c r="C68" s="918"/>
      <c r="D68" s="918"/>
      <c r="E68" s="918"/>
      <c r="F68" s="926"/>
      <c r="G68" s="79">
        <f>SUM(G61:G67)</f>
        <v>616.01</v>
      </c>
      <c r="H68" s="518"/>
      <c r="I68" s="79">
        <f>SUM(I61:I67)</f>
        <v>0</v>
      </c>
      <c r="M68" s="53"/>
      <c r="N68" s="54"/>
      <c r="O68" s="53"/>
      <c r="P68" s="592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</row>
    <row r="69" spans="1:38" ht="51.75" customHeight="1">
      <c r="A69" s="53"/>
      <c r="B69" s="53"/>
      <c r="C69" s="53"/>
      <c r="D69" s="53"/>
      <c r="E69" s="53"/>
      <c r="F69" s="53"/>
      <c r="G69" s="54"/>
      <c r="H69" s="53"/>
      <c r="I69" s="82">
        <v>92760</v>
      </c>
      <c r="M69" s="537"/>
      <c r="N69" s="537"/>
      <c r="O69" s="75"/>
      <c r="P69" s="589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</row>
    <row r="70" spans="1:38">
      <c r="A70" s="920" t="s">
        <v>1537</v>
      </c>
      <c r="B70" s="921"/>
      <c r="C70" s="921"/>
      <c r="D70" s="921"/>
      <c r="E70" s="929"/>
      <c r="F70" s="511"/>
      <c r="G70" s="511"/>
      <c r="H70" s="75" t="s">
        <v>12</v>
      </c>
      <c r="I70" s="77" t="s">
        <v>368</v>
      </c>
      <c r="M70" s="93"/>
      <c r="N70" s="93"/>
      <c r="O70" s="77"/>
      <c r="P70" s="590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</row>
    <row r="71" spans="1:38" ht="45" customHeight="1">
      <c r="A71" s="77" t="s">
        <v>1917</v>
      </c>
      <c r="B71" s="668"/>
      <c r="C71" s="77" t="s">
        <v>3</v>
      </c>
      <c r="D71" s="77" t="s">
        <v>4</v>
      </c>
      <c r="E71" s="77" t="s">
        <v>1826</v>
      </c>
      <c r="F71" s="93" t="s">
        <v>3781</v>
      </c>
      <c r="G71" s="93" t="s">
        <v>3783</v>
      </c>
      <c r="H71" s="77" t="s">
        <v>367</v>
      </c>
      <c r="I71" s="26" t="e">
        <f>ROUND(H71*E71,2)</f>
        <v>#VALUE!</v>
      </c>
      <c r="M71" s="26"/>
      <c r="N71" s="26"/>
      <c r="O71" s="26"/>
      <c r="P71" s="595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5"/>
      <c r="AF71" s="25"/>
      <c r="AG71" s="25"/>
      <c r="AH71" s="25"/>
      <c r="AI71" s="25"/>
      <c r="AJ71" s="25"/>
      <c r="AK71" s="25"/>
      <c r="AL71" s="25"/>
    </row>
    <row r="72" spans="1:38" ht="60">
      <c r="A72" s="24">
        <v>39017</v>
      </c>
      <c r="B72" s="78" t="s">
        <v>3806</v>
      </c>
      <c r="C72" s="25" t="s">
        <v>12</v>
      </c>
      <c r="D72" s="25" t="s">
        <v>4</v>
      </c>
      <c r="E72" s="92">
        <v>0.97</v>
      </c>
      <c r="F72" s="26">
        <f t="shared" ref="F72:F73" si="16">AVERAGE(M72:AL72)</f>
        <v>0.27233333333333337</v>
      </c>
      <c r="G72" s="26">
        <f>ROUND(F72*E72,2)</f>
        <v>0.26</v>
      </c>
      <c r="H72" s="26">
        <f>J71</f>
        <v>0</v>
      </c>
      <c r="I72" s="26">
        <f>ROUND(H72*E72,2)</f>
        <v>0</v>
      </c>
      <c r="M72" s="26"/>
      <c r="N72" s="26"/>
      <c r="O72" s="26"/>
      <c r="P72" s="595">
        <v>0.32700000000000001</v>
      </c>
      <c r="Q72" s="26"/>
      <c r="R72" s="26"/>
      <c r="S72" s="26"/>
      <c r="U72" s="26"/>
      <c r="V72" s="26"/>
      <c r="W72" s="26"/>
      <c r="X72" s="26"/>
      <c r="Y72" s="26"/>
      <c r="Z72" s="26"/>
      <c r="AA72" s="26">
        <v>0.23</v>
      </c>
      <c r="AB72" s="26"/>
      <c r="AC72" s="26">
        <v>0.26</v>
      </c>
      <c r="AD72" s="26"/>
      <c r="AE72" s="25"/>
      <c r="AF72" s="25"/>
      <c r="AG72" s="25"/>
      <c r="AH72" s="25"/>
      <c r="AI72" s="25"/>
      <c r="AJ72" s="25"/>
      <c r="AK72" s="25"/>
      <c r="AL72" s="25"/>
    </row>
    <row r="73" spans="1:38" ht="15" customHeight="1">
      <c r="A73" s="24">
        <v>43132</v>
      </c>
      <c r="B73" s="78" t="s">
        <v>3807</v>
      </c>
      <c r="C73" s="25" t="s">
        <v>12</v>
      </c>
      <c r="D73" s="25" t="s">
        <v>45</v>
      </c>
      <c r="E73" s="91">
        <v>2.5000000000000001E-2</v>
      </c>
      <c r="F73" s="26">
        <f t="shared" si="16"/>
        <v>18.399999999999999</v>
      </c>
      <c r="G73" s="26">
        <f t="shared" ref="G73:G75" si="17">ROUND(F73*E73,2)</f>
        <v>0.46</v>
      </c>
      <c r="H73" s="26">
        <f>J72</f>
        <v>0</v>
      </c>
      <c r="I73" s="26">
        <f>ROUND(H73*E73,2)</f>
        <v>0</v>
      </c>
      <c r="M73" s="26"/>
      <c r="N73" s="26"/>
      <c r="O73" s="26"/>
      <c r="P73" s="595"/>
      <c r="Q73" s="26"/>
      <c r="R73" s="26"/>
      <c r="S73" s="26"/>
      <c r="T73" s="26">
        <v>17.100000000000001</v>
      </c>
      <c r="U73" s="26">
        <v>19.7</v>
      </c>
      <c r="V73" s="26"/>
      <c r="W73" s="26"/>
      <c r="X73" s="26"/>
      <c r="Y73" s="26"/>
      <c r="Z73" s="26"/>
      <c r="AA73" s="26"/>
      <c r="AB73" s="26"/>
      <c r="AC73" s="26"/>
      <c r="AD73" s="26"/>
      <c r="AE73" s="25"/>
      <c r="AF73" s="25"/>
      <c r="AG73" s="25"/>
      <c r="AH73" s="25"/>
      <c r="AI73" s="25"/>
      <c r="AJ73" s="25"/>
      <c r="AK73" s="25"/>
      <c r="AL73" s="25"/>
    </row>
    <row r="74" spans="1:38" ht="15" customHeight="1">
      <c r="A74" s="503">
        <v>88238</v>
      </c>
      <c r="B74" s="628" t="s">
        <v>394</v>
      </c>
      <c r="C74" s="504" t="s">
        <v>12</v>
      </c>
      <c r="D74" s="504" t="s">
        <v>19</v>
      </c>
      <c r="E74" s="630">
        <v>1.55E-2</v>
      </c>
      <c r="F74" s="505">
        <f>F52</f>
        <v>13.038910903859986</v>
      </c>
      <c r="G74" s="505">
        <f t="shared" si="17"/>
        <v>0.2</v>
      </c>
      <c r="H74" s="26">
        <f>J73</f>
        <v>0</v>
      </c>
      <c r="I74" s="26">
        <f t="shared" ref="I74:I76" si="18">ROUND(H74*E74,2)</f>
        <v>0</v>
      </c>
      <c r="M74" s="26"/>
      <c r="N74" s="26"/>
      <c r="O74" s="26"/>
      <c r="P74" s="595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5"/>
      <c r="AF74" s="25"/>
      <c r="AG74" s="25"/>
      <c r="AH74" s="25"/>
      <c r="AI74" s="25"/>
      <c r="AJ74" s="25"/>
      <c r="AK74" s="25"/>
      <c r="AL74" s="25"/>
    </row>
    <row r="75" spans="1:38">
      <c r="A75" s="503">
        <v>88245</v>
      </c>
      <c r="B75" s="628" t="s">
        <v>395</v>
      </c>
      <c r="C75" s="504" t="s">
        <v>12</v>
      </c>
      <c r="D75" s="504" t="s">
        <v>19</v>
      </c>
      <c r="E75" s="630">
        <v>9.4700000000000006E-2</v>
      </c>
      <c r="F75" s="505">
        <f>F53</f>
        <v>16.760255845920241</v>
      </c>
      <c r="G75" s="505">
        <f t="shared" si="17"/>
        <v>1.59</v>
      </c>
      <c r="H75" s="26">
        <f>J74</f>
        <v>0</v>
      </c>
      <c r="I75" s="26">
        <f t="shared" si="18"/>
        <v>0</v>
      </c>
      <c r="M75" s="26"/>
      <c r="N75" s="26"/>
      <c r="O75" s="26"/>
      <c r="P75" s="595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5"/>
      <c r="AF75" s="25"/>
      <c r="AG75" s="25"/>
      <c r="AH75" s="25"/>
      <c r="AI75" s="25"/>
      <c r="AJ75" s="25"/>
      <c r="AK75" s="25"/>
      <c r="AL75" s="25"/>
    </row>
    <row r="76" spans="1:38" s="34" customFormat="1" ht="15" customHeight="1">
      <c r="A76" s="475" t="s">
        <v>3959</v>
      </c>
      <c r="B76" s="661" t="s">
        <v>3808</v>
      </c>
      <c r="C76" s="472" t="s">
        <v>12</v>
      </c>
      <c r="D76" s="472" t="s">
        <v>45</v>
      </c>
      <c r="E76" s="473">
        <v>1</v>
      </c>
      <c r="F76" s="473"/>
      <c r="G76" s="473">
        <f>ROUND(F76*E76,2)</f>
        <v>0</v>
      </c>
      <c r="H76" s="473">
        <f>J75</f>
        <v>0</v>
      </c>
      <c r="I76" s="473">
        <f t="shared" si="18"/>
        <v>0</v>
      </c>
      <c r="J76" s="378"/>
      <c r="L76" s="378"/>
      <c r="M76" s="473"/>
      <c r="N76" s="473"/>
      <c r="O76" s="473"/>
      <c r="P76" s="473"/>
      <c r="Q76" s="473"/>
      <c r="R76" s="473"/>
      <c r="S76" s="473"/>
      <c r="T76" s="473"/>
      <c r="U76" s="473"/>
      <c r="V76" s="473"/>
      <c r="W76" s="473"/>
      <c r="X76" s="473"/>
      <c r="Y76" s="473"/>
      <c r="Z76" s="473"/>
      <c r="AA76" s="473"/>
      <c r="AB76" s="473"/>
      <c r="AC76" s="473"/>
      <c r="AD76" s="473"/>
      <c r="AE76" s="472"/>
      <c r="AF76" s="472"/>
      <c r="AG76" s="472"/>
      <c r="AH76" s="472"/>
      <c r="AI76" s="472"/>
      <c r="AJ76" s="472"/>
      <c r="AK76" s="472"/>
      <c r="AL76" s="472"/>
    </row>
    <row r="77" spans="1:38" ht="15" customHeight="1">
      <c r="A77" s="24" t="s">
        <v>3954</v>
      </c>
      <c r="B77" s="78" t="s">
        <v>3955</v>
      </c>
      <c r="C77" s="25" t="s">
        <v>12</v>
      </c>
      <c r="D77" s="25" t="s">
        <v>45</v>
      </c>
      <c r="E77" s="25" t="s">
        <v>3956</v>
      </c>
      <c r="F77" s="26">
        <f>AVERAGE(M77:AL77)</f>
        <v>9.1366666666666649</v>
      </c>
      <c r="G77" s="26">
        <f>ROUND(F77*E77*$E$76,2)</f>
        <v>9.7799999999999994</v>
      </c>
      <c r="H77" s="26">
        <f t="shared" ref="H77:H79" si="19">J76</f>
        <v>0</v>
      </c>
      <c r="I77" s="26">
        <f>ROUND(H77*E77*$E$76,2)</f>
        <v>0</v>
      </c>
      <c r="M77" s="26"/>
      <c r="N77" s="26"/>
      <c r="O77" s="26"/>
      <c r="P77" s="595"/>
      <c r="Q77" s="26"/>
      <c r="R77" s="26"/>
      <c r="S77" s="26"/>
      <c r="T77" s="26">
        <v>9.11</v>
      </c>
      <c r="U77" s="26">
        <v>9.15</v>
      </c>
      <c r="V77" s="26">
        <v>9.15</v>
      </c>
      <c r="W77" s="26"/>
      <c r="X77" s="26"/>
      <c r="Y77" s="26"/>
      <c r="Z77" s="26"/>
      <c r="AA77" s="26"/>
      <c r="AB77" s="26"/>
      <c r="AC77" s="26"/>
      <c r="AD77" s="26"/>
      <c r="AE77" s="25"/>
      <c r="AF77" s="25"/>
      <c r="AG77" s="25"/>
      <c r="AH77" s="25"/>
      <c r="AI77" s="25"/>
      <c r="AJ77" s="25"/>
      <c r="AK77" s="25"/>
      <c r="AL77" s="25"/>
    </row>
    <row r="78" spans="1:38" ht="15" customHeight="1">
      <c r="A78" s="503" t="s">
        <v>3914</v>
      </c>
      <c r="B78" s="628" t="s">
        <v>394</v>
      </c>
      <c r="C78" s="504" t="s">
        <v>12</v>
      </c>
      <c r="D78" s="504" t="s">
        <v>19</v>
      </c>
      <c r="E78" s="504" t="s">
        <v>3957</v>
      </c>
      <c r="F78" s="505">
        <f>13.77*0.85*'PLANILHA ORÇA - CORREGEDORIA'!$BH$19</f>
        <v>13.038910903859986</v>
      </c>
      <c r="G78" s="505">
        <f>ROUND(F78*E78*$E$76,2)</f>
        <v>0.08</v>
      </c>
      <c r="H78" s="26">
        <f t="shared" si="19"/>
        <v>0</v>
      </c>
      <c r="I78" s="26">
        <f>ROUND(H78*E78*$E$76,2)</f>
        <v>0</v>
      </c>
      <c r="M78" s="26"/>
      <c r="N78" s="26"/>
      <c r="O78" s="26"/>
      <c r="P78" s="595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5"/>
      <c r="AF78" s="25"/>
      <c r="AG78" s="25"/>
      <c r="AH78" s="25"/>
      <c r="AI78" s="25"/>
      <c r="AJ78" s="25"/>
      <c r="AK78" s="25"/>
      <c r="AL78" s="25"/>
    </row>
    <row r="79" spans="1:38" ht="15" customHeight="1">
      <c r="A79" s="503" t="s">
        <v>3915</v>
      </c>
      <c r="B79" s="628" t="s">
        <v>395</v>
      </c>
      <c r="C79" s="504" t="s">
        <v>12</v>
      </c>
      <c r="D79" s="504" t="s">
        <v>19</v>
      </c>
      <c r="E79" s="504" t="s">
        <v>3958</v>
      </c>
      <c r="F79" s="505">
        <f>17.7*0.85*'PLANILHA ORÇA - CORREGEDORIA'!$BH$19</f>
        <v>16.760255845920241</v>
      </c>
      <c r="G79" s="505">
        <f>ROUND(F79*E79*$E$76,2)</f>
        <v>0.7</v>
      </c>
      <c r="H79" s="26">
        <f t="shared" si="19"/>
        <v>0</v>
      </c>
      <c r="I79" s="26">
        <f>ROUND(H79*E79*$E$76,2)</f>
        <v>0</v>
      </c>
      <c r="M79" s="26"/>
      <c r="N79" s="26"/>
      <c r="O79" s="26"/>
      <c r="P79" s="595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5"/>
      <c r="AF79" s="25"/>
      <c r="AG79" s="25"/>
      <c r="AH79" s="25"/>
      <c r="AI79" s="25"/>
      <c r="AJ79" s="25"/>
      <c r="AK79" s="25"/>
      <c r="AL79" s="25"/>
    </row>
    <row r="80" spans="1:38" ht="30.75" customHeight="1">
      <c r="A80" s="917" t="s">
        <v>1894</v>
      </c>
      <c r="B80" s="918"/>
      <c r="C80" s="918"/>
      <c r="D80" s="918"/>
      <c r="E80" s="918"/>
      <c r="F80" s="926"/>
      <c r="G80" s="79">
        <f>SUM(G72:G79)</f>
        <v>13.069999999999999</v>
      </c>
      <c r="H80" s="509"/>
      <c r="I80" s="79">
        <f>SUM(I72:I79)</f>
        <v>0</v>
      </c>
      <c r="M80" s="53"/>
      <c r="N80" s="54"/>
      <c r="O80" s="53"/>
      <c r="P80" s="592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</row>
    <row r="81" spans="1:38" ht="57.75" customHeight="1">
      <c r="A81" s="53"/>
      <c r="B81" s="53"/>
      <c r="C81" s="53"/>
      <c r="D81" s="53"/>
      <c r="E81" s="53"/>
      <c r="F81" s="53"/>
      <c r="G81" s="54"/>
      <c r="H81" s="53"/>
      <c r="I81" s="82">
        <v>92762</v>
      </c>
      <c r="M81" s="537"/>
      <c r="N81" s="537"/>
      <c r="O81" s="75"/>
      <c r="P81" s="589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</row>
    <row r="82" spans="1:38">
      <c r="A82" s="920" t="s">
        <v>1539</v>
      </c>
      <c r="B82" s="921"/>
      <c r="C82" s="921"/>
      <c r="D82" s="921"/>
      <c r="E82" s="929"/>
      <c r="F82" s="511"/>
      <c r="G82" s="511"/>
      <c r="H82" s="75" t="s">
        <v>12</v>
      </c>
      <c r="I82" s="77" t="s">
        <v>368</v>
      </c>
      <c r="M82" s="93"/>
      <c r="N82" s="93"/>
      <c r="O82" s="77"/>
      <c r="P82" s="590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</row>
    <row r="83" spans="1:38" ht="28.5">
      <c r="A83" s="77" t="s">
        <v>1917</v>
      </c>
      <c r="B83" s="510"/>
      <c r="C83" s="77" t="s">
        <v>3</v>
      </c>
      <c r="D83" s="77" t="s">
        <v>4</v>
      </c>
      <c r="E83" s="77" t="s">
        <v>1826</v>
      </c>
      <c r="F83" s="93" t="s">
        <v>3781</v>
      </c>
      <c r="G83" s="93" t="s">
        <v>3783</v>
      </c>
      <c r="H83" s="77" t="s">
        <v>367</v>
      </c>
      <c r="I83" s="26">
        <f>ROUND(H84*E84,2)</f>
        <v>0</v>
      </c>
      <c r="M83" s="26"/>
      <c r="N83" s="26"/>
      <c r="O83" s="26"/>
      <c r="P83" s="595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5"/>
      <c r="AF83" s="25"/>
      <c r="AG83" s="25"/>
      <c r="AH83" s="25"/>
      <c r="AI83" s="25"/>
      <c r="AJ83" s="25"/>
      <c r="AK83" s="25"/>
      <c r="AL83" s="25"/>
    </row>
    <row r="84" spans="1:38" ht="60">
      <c r="A84" s="24">
        <v>39017</v>
      </c>
      <c r="B84" s="78" t="s">
        <v>3806</v>
      </c>
      <c r="C84" s="25" t="s">
        <v>12</v>
      </c>
      <c r="D84" s="25" t="s">
        <v>4</v>
      </c>
      <c r="E84" s="92">
        <v>0.54300000000000004</v>
      </c>
      <c r="F84" s="26">
        <f t="shared" ref="F84:F85" si="20">AVERAGE(M84:AL84)</f>
        <v>0.27233333333333337</v>
      </c>
      <c r="G84" s="26">
        <f>ROUND(F84*E84,2)</f>
        <v>0.15</v>
      </c>
      <c r="H84" s="26">
        <f>J83</f>
        <v>0</v>
      </c>
      <c r="I84" s="26">
        <f>ROUND(H85*E85,2)</f>
        <v>0</v>
      </c>
      <c r="M84" s="26"/>
      <c r="N84" s="26"/>
      <c r="O84" s="26"/>
      <c r="P84" s="595">
        <v>0.32700000000000001</v>
      </c>
      <c r="Q84" s="26"/>
      <c r="R84" s="26"/>
      <c r="S84" s="26"/>
      <c r="U84" s="26"/>
      <c r="V84" s="26"/>
      <c r="W84" s="26"/>
      <c r="X84" s="26"/>
      <c r="Y84" s="26"/>
      <c r="Z84" s="26"/>
      <c r="AA84" s="26">
        <v>0.23</v>
      </c>
      <c r="AB84" s="26"/>
      <c r="AC84" s="26">
        <v>0.26</v>
      </c>
      <c r="AD84" s="26"/>
      <c r="AE84" s="25"/>
      <c r="AF84" s="25"/>
      <c r="AG84" s="25"/>
      <c r="AH84" s="25"/>
      <c r="AI84" s="25"/>
      <c r="AJ84" s="25"/>
      <c r="AK84" s="25"/>
      <c r="AL84" s="25"/>
    </row>
    <row r="85" spans="1:38" ht="15" customHeight="1">
      <c r="A85" s="24">
        <v>43132</v>
      </c>
      <c r="B85" s="78" t="s">
        <v>3807</v>
      </c>
      <c r="C85" s="25" t="s">
        <v>12</v>
      </c>
      <c r="D85" s="25" t="s">
        <v>45</v>
      </c>
      <c r="E85" s="91">
        <v>2.5000000000000001E-2</v>
      </c>
      <c r="F85" s="26">
        <f t="shared" si="20"/>
        <v>18.399999999999999</v>
      </c>
      <c r="G85" s="26">
        <f t="shared" ref="G85:G88" si="21">ROUND(F85*E85,2)</f>
        <v>0.46</v>
      </c>
      <c r="H85" s="26">
        <f>J84</f>
        <v>0</v>
      </c>
      <c r="I85" s="26">
        <f>ROUND(H85*E85,2)</f>
        <v>0</v>
      </c>
      <c r="M85" s="26"/>
      <c r="N85" s="26"/>
      <c r="O85" s="26"/>
      <c r="P85" s="595"/>
      <c r="Q85" s="26"/>
      <c r="R85" s="26"/>
      <c r="S85" s="26"/>
      <c r="T85" s="26">
        <v>17.100000000000001</v>
      </c>
      <c r="U85" s="26">
        <v>19.7</v>
      </c>
      <c r="V85" s="26"/>
      <c r="W85" s="26"/>
      <c r="X85" s="26"/>
      <c r="Y85" s="26"/>
      <c r="Z85" s="26"/>
      <c r="AA85" s="26"/>
      <c r="AB85" s="26"/>
      <c r="AC85" s="26"/>
      <c r="AD85" s="26"/>
      <c r="AE85" s="25"/>
      <c r="AF85" s="25"/>
      <c r="AG85" s="25"/>
      <c r="AH85" s="25"/>
      <c r="AI85" s="25"/>
      <c r="AJ85" s="25"/>
      <c r="AK85" s="25"/>
      <c r="AL85" s="25"/>
    </row>
    <row r="86" spans="1:38" ht="15" customHeight="1">
      <c r="A86" s="503">
        <v>88238</v>
      </c>
      <c r="B86" s="628" t="s">
        <v>394</v>
      </c>
      <c r="C86" s="504" t="s">
        <v>12</v>
      </c>
      <c r="D86" s="504" t="s">
        <v>19</v>
      </c>
      <c r="E86" s="630">
        <v>8.6E-3</v>
      </c>
      <c r="F86" s="505">
        <f>F74</f>
        <v>13.038910903859986</v>
      </c>
      <c r="G86" s="505">
        <f t="shared" si="21"/>
        <v>0.11</v>
      </c>
      <c r="H86" s="26">
        <f>J85</f>
        <v>0</v>
      </c>
      <c r="I86" s="26">
        <f t="shared" ref="I86:I88" si="22">ROUND(H86*E86,2)</f>
        <v>0</v>
      </c>
      <c r="M86" s="26"/>
      <c r="N86" s="26"/>
      <c r="O86" s="26"/>
      <c r="P86" s="595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5"/>
      <c r="AF86" s="25"/>
      <c r="AG86" s="25"/>
      <c r="AH86" s="25"/>
      <c r="AI86" s="25"/>
      <c r="AJ86" s="25"/>
      <c r="AK86" s="25"/>
      <c r="AL86" s="25"/>
    </row>
    <row r="87" spans="1:38">
      <c r="A87" s="503">
        <v>88245</v>
      </c>
      <c r="B87" s="628" t="s">
        <v>395</v>
      </c>
      <c r="C87" s="504" t="s">
        <v>12</v>
      </c>
      <c r="D87" s="504" t="s">
        <v>19</v>
      </c>
      <c r="E87" s="630">
        <v>5.2900000000000003E-2</v>
      </c>
      <c r="F87" s="505">
        <f>F75</f>
        <v>16.760255845920241</v>
      </c>
      <c r="G87" s="505">
        <f t="shared" si="21"/>
        <v>0.89</v>
      </c>
      <c r="H87" s="26">
        <f>J86</f>
        <v>0</v>
      </c>
      <c r="I87" s="26">
        <f t="shared" si="22"/>
        <v>0</v>
      </c>
      <c r="M87" s="26"/>
      <c r="N87" s="26"/>
      <c r="O87" s="26"/>
      <c r="P87" s="595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5"/>
      <c r="AF87" s="25"/>
      <c r="AG87" s="25"/>
      <c r="AH87" s="25"/>
      <c r="AI87" s="25"/>
      <c r="AJ87" s="25"/>
      <c r="AK87" s="25"/>
      <c r="AL87" s="25"/>
    </row>
    <row r="88" spans="1:38" s="34" customFormat="1" ht="15" customHeight="1">
      <c r="A88" s="475" t="s">
        <v>3964</v>
      </c>
      <c r="B88" s="661" t="s">
        <v>3811</v>
      </c>
      <c r="C88" s="472" t="s">
        <v>12</v>
      </c>
      <c r="D88" s="472" t="s">
        <v>45</v>
      </c>
      <c r="E88" s="473">
        <v>1</v>
      </c>
      <c r="F88" s="473"/>
      <c r="G88" s="473">
        <f t="shared" si="21"/>
        <v>0</v>
      </c>
      <c r="H88" s="473">
        <f t="shared" ref="H88:H91" si="23">J87</f>
        <v>0</v>
      </c>
      <c r="I88" s="473">
        <f t="shared" si="22"/>
        <v>0</v>
      </c>
      <c r="J88" s="378"/>
      <c r="L88" s="378"/>
      <c r="M88" s="473"/>
      <c r="N88" s="473"/>
      <c r="O88" s="473"/>
      <c r="P88" s="473"/>
      <c r="Q88" s="473"/>
      <c r="R88" s="473"/>
      <c r="S88" s="473"/>
      <c r="T88" s="473"/>
      <c r="U88" s="473"/>
      <c r="V88" s="473"/>
      <c r="W88" s="473"/>
      <c r="X88" s="473"/>
      <c r="Y88" s="473"/>
      <c r="Z88" s="473"/>
      <c r="AA88" s="473"/>
      <c r="AB88" s="473"/>
      <c r="AC88" s="473"/>
      <c r="AD88" s="473"/>
      <c r="AE88" s="472"/>
      <c r="AF88" s="472"/>
      <c r="AG88" s="472"/>
      <c r="AH88" s="472"/>
      <c r="AI88" s="472"/>
      <c r="AJ88" s="472"/>
      <c r="AK88" s="472"/>
      <c r="AL88" s="472"/>
    </row>
    <row r="89" spans="1:38" ht="15" customHeight="1">
      <c r="A89" s="24" t="s">
        <v>3960</v>
      </c>
      <c r="B89" s="78" t="s">
        <v>3961</v>
      </c>
      <c r="C89" s="25" t="s">
        <v>12</v>
      </c>
      <c r="D89" s="25" t="s">
        <v>45</v>
      </c>
      <c r="E89" s="25" t="s">
        <v>3948</v>
      </c>
      <c r="F89" s="26">
        <f t="shared" ref="F89" si="24">AVERAGE(M89:AL89)</f>
        <v>8.6963333333333335</v>
      </c>
      <c r="G89" s="26">
        <f>ROUND(F89*E89*$E$100,2)*E88</f>
        <v>9.65</v>
      </c>
      <c r="H89" s="26">
        <f t="shared" si="23"/>
        <v>0</v>
      </c>
      <c r="I89" s="26">
        <f>ROUND(H89*E89*$E$88,2)</f>
        <v>0</v>
      </c>
      <c r="M89" s="26"/>
      <c r="N89" s="26"/>
      <c r="O89" s="26"/>
      <c r="P89" s="595"/>
      <c r="Q89" s="26"/>
      <c r="R89" s="26"/>
      <c r="S89" s="26"/>
      <c r="T89" s="26">
        <v>8.6890000000000001</v>
      </c>
      <c r="U89" s="26">
        <v>8.6999999999999993</v>
      </c>
      <c r="V89" s="26">
        <v>8.6999999999999993</v>
      </c>
      <c r="W89" s="26"/>
      <c r="X89" s="26"/>
      <c r="Y89" s="26"/>
      <c r="Z89" s="26"/>
      <c r="AA89" s="26"/>
      <c r="AB89" s="26"/>
      <c r="AC89" s="26"/>
      <c r="AD89" s="26"/>
      <c r="AE89" s="25"/>
      <c r="AF89" s="25"/>
      <c r="AG89" s="25"/>
      <c r="AH89" s="25"/>
      <c r="AI89" s="25"/>
      <c r="AJ89" s="25"/>
      <c r="AK89" s="25"/>
      <c r="AL89" s="25"/>
    </row>
    <row r="90" spans="1:38" ht="15" customHeight="1">
      <c r="A90" s="503" t="s">
        <v>3914</v>
      </c>
      <c r="B90" s="628" t="s">
        <v>394</v>
      </c>
      <c r="C90" s="504" t="s">
        <v>12</v>
      </c>
      <c r="D90" s="504" t="s">
        <v>19</v>
      </c>
      <c r="E90" s="504" t="s">
        <v>3962</v>
      </c>
      <c r="F90" s="505">
        <f>13.77*0.85*'PLANILHA ORÇA - CORREGEDORIA'!$BH$19</f>
        <v>13.038910903859986</v>
      </c>
      <c r="G90" s="505">
        <f t="shared" ref="G90:G91" si="25">ROUND(F90*E90*$E$88,2)</f>
        <v>0.02</v>
      </c>
      <c r="H90" s="26">
        <f t="shared" si="23"/>
        <v>0</v>
      </c>
      <c r="I90" s="26">
        <f t="shared" ref="I90:I91" si="26">ROUND(H90*E90*$E$88,2)</f>
        <v>0</v>
      </c>
      <c r="M90" s="26"/>
      <c r="N90" s="26"/>
      <c r="O90" s="26"/>
      <c r="P90" s="595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5"/>
      <c r="AF90" s="25"/>
      <c r="AG90" s="25"/>
      <c r="AH90" s="25"/>
      <c r="AI90" s="25"/>
      <c r="AJ90" s="25"/>
      <c r="AK90" s="25"/>
      <c r="AL90" s="25"/>
    </row>
    <row r="91" spans="1:38" ht="15" customHeight="1">
      <c r="A91" s="503" t="s">
        <v>3915</v>
      </c>
      <c r="B91" s="628" t="s">
        <v>395</v>
      </c>
      <c r="C91" s="504" t="s">
        <v>12</v>
      </c>
      <c r="D91" s="504" t="s">
        <v>19</v>
      </c>
      <c r="E91" s="504" t="s">
        <v>3963</v>
      </c>
      <c r="F91" s="505">
        <f>17.7*0.85*'PLANILHA ORÇA - CORREGEDORIA'!$BH$19</f>
        <v>16.760255845920241</v>
      </c>
      <c r="G91" s="505">
        <f t="shared" si="25"/>
        <v>0.21</v>
      </c>
      <c r="H91" s="26">
        <f t="shared" si="23"/>
        <v>0</v>
      </c>
      <c r="I91" s="26">
        <f t="shared" si="26"/>
        <v>0</v>
      </c>
      <c r="M91" s="26"/>
      <c r="N91" s="26"/>
      <c r="O91" s="26"/>
      <c r="P91" s="595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5"/>
      <c r="AF91" s="25"/>
      <c r="AG91" s="25"/>
      <c r="AH91" s="25"/>
      <c r="AI91" s="25"/>
      <c r="AJ91" s="25"/>
      <c r="AK91" s="25"/>
      <c r="AL91" s="25"/>
    </row>
    <row r="92" spans="1:38" ht="28.5" customHeight="1">
      <c r="A92" s="917" t="s">
        <v>1894</v>
      </c>
      <c r="B92" s="918"/>
      <c r="C92" s="918"/>
      <c r="D92" s="918"/>
      <c r="E92" s="918"/>
      <c r="F92" s="926"/>
      <c r="G92" s="79">
        <f>SUM(G84:G91)</f>
        <v>11.49</v>
      </c>
      <c r="H92" s="509"/>
      <c r="I92" s="79">
        <f>SUM(I84:I91)</f>
        <v>0</v>
      </c>
      <c r="M92" s="53"/>
      <c r="N92" s="54"/>
      <c r="O92" s="53"/>
      <c r="P92" s="592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</row>
    <row r="93" spans="1:38" ht="54.75" customHeight="1">
      <c r="A93" s="53"/>
      <c r="B93" s="53"/>
      <c r="C93" s="53"/>
      <c r="D93" s="53"/>
      <c r="E93" s="53"/>
      <c r="F93" s="53"/>
      <c r="G93" s="54"/>
      <c r="H93" s="53"/>
      <c r="I93" s="82">
        <v>92763</v>
      </c>
      <c r="M93" s="537"/>
      <c r="N93" s="537"/>
      <c r="O93" s="75"/>
      <c r="P93" s="589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</row>
    <row r="94" spans="1:38">
      <c r="A94" s="920" t="s">
        <v>1540</v>
      </c>
      <c r="B94" s="921"/>
      <c r="C94" s="921"/>
      <c r="D94" s="921"/>
      <c r="E94" s="929"/>
      <c r="F94" s="511"/>
      <c r="G94" s="511"/>
      <c r="H94" s="75" t="s">
        <v>12</v>
      </c>
      <c r="I94" s="77" t="s">
        <v>368</v>
      </c>
      <c r="M94" s="93"/>
      <c r="N94" s="93"/>
      <c r="O94" s="77"/>
      <c r="P94" s="590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</row>
    <row r="95" spans="1:38" ht="28.5">
      <c r="A95" s="77" t="s">
        <v>1917</v>
      </c>
      <c r="B95" s="510"/>
      <c r="C95" s="77" t="s">
        <v>3</v>
      </c>
      <c r="D95" s="77" t="s">
        <v>4</v>
      </c>
      <c r="E95" s="77" t="s">
        <v>1826</v>
      </c>
      <c r="F95" s="93" t="s">
        <v>3781</v>
      </c>
      <c r="G95" s="93" t="s">
        <v>3783</v>
      </c>
      <c r="H95" s="77" t="s">
        <v>367</v>
      </c>
      <c r="I95" s="26" t="e">
        <f t="shared" ref="I95" si="27">ROUND(H95*E95,2)</f>
        <v>#VALUE!</v>
      </c>
      <c r="M95" s="26"/>
      <c r="N95" s="26"/>
      <c r="O95" s="26"/>
      <c r="P95" s="595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5"/>
      <c r="AF95" s="25"/>
      <c r="AG95" s="25"/>
      <c r="AH95" s="25"/>
      <c r="AI95" s="25"/>
      <c r="AJ95" s="25"/>
      <c r="AK95" s="25"/>
      <c r="AL95" s="25"/>
    </row>
    <row r="96" spans="1:38" ht="60">
      <c r="A96" s="24">
        <v>39017</v>
      </c>
      <c r="B96" s="78" t="s">
        <v>3806</v>
      </c>
      <c r="C96" s="25" t="s">
        <v>12</v>
      </c>
      <c r="D96" s="25" t="s">
        <v>4</v>
      </c>
      <c r="E96" s="92">
        <v>0.36699999999999999</v>
      </c>
      <c r="F96" s="26">
        <f t="shared" ref="F96:F97" si="28">AVERAGE(M96:AL96)</f>
        <v>0.27233333333333337</v>
      </c>
      <c r="G96" s="26">
        <f t="shared" ref="G96:G100" si="29">ROUND(F96*E96,2)</f>
        <v>0.1</v>
      </c>
      <c r="H96" s="26">
        <f>J95</f>
        <v>0</v>
      </c>
      <c r="I96" s="26">
        <f>ROUND(H96*E96,2)</f>
        <v>0</v>
      </c>
      <c r="M96" s="26"/>
      <c r="N96" s="26"/>
      <c r="O96" s="26"/>
      <c r="P96" s="595">
        <v>0.32700000000000001</v>
      </c>
      <c r="Q96" s="26"/>
      <c r="R96" s="26"/>
      <c r="S96" s="26"/>
      <c r="U96" s="26"/>
      <c r="V96" s="26"/>
      <c r="W96" s="26"/>
      <c r="X96" s="26"/>
      <c r="Y96" s="26"/>
      <c r="Z96" s="26"/>
      <c r="AA96" s="26">
        <v>0.23</v>
      </c>
      <c r="AB96" s="26"/>
      <c r="AC96" s="26">
        <v>0.26</v>
      </c>
      <c r="AD96" s="26"/>
      <c r="AE96" s="25"/>
      <c r="AF96" s="25"/>
      <c r="AG96" s="25"/>
      <c r="AH96" s="25"/>
      <c r="AI96" s="25"/>
      <c r="AJ96" s="25"/>
      <c r="AK96" s="25"/>
      <c r="AL96" s="25"/>
    </row>
    <row r="97" spans="1:38" ht="15" customHeight="1">
      <c r="A97" s="24">
        <v>43132</v>
      </c>
      <c r="B97" s="78" t="s">
        <v>3807</v>
      </c>
      <c r="C97" s="25" t="s">
        <v>12</v>
      </c>
      <c r="D97" s="25" t="s">
        <v>45</v>
      </c>
      <c r="E97" s="91">
        <v>2.5000000000000001E-2</v>
      </c>
      <c r="F97" s="26">
        <f t="shared" si="28"/>
        <v>18.399999999999999</v>
      </c>
      <c r="G97" s="26">
        <f t="shared" si="29"/>
        <v>0.46</v>
      </c>
      <c r="H97" s="26">
        <f>J96</f>
        <v>0</v>
      </c>
      <c r="I97" s="26">
        <f>ROUND(H97*E97,2)</f>
        <v>0</v>
      </c>
      <c r="M97" s="26"/>
      <c r="N97" s="26"/>
      <c r="O97" s="26"/>
      <c r="P97" s="595"/>
      <c r="Q97" s="26"/>
      <c r="R97" s="26"/>
      <c r="S97" s="26"/>
      <c r="T97" s="26">
        <v>17.100000000000001</v>
      </c>
      <c r="U97" s="26">
        <v>19.7</v>
      </c>
      <c r="V97" s="26"/>
      <c r="W97" s="26"/>
      <c r="X97" s="26"/>
      <c r="Y97" s="26"/>
      <c r="Z97" s="26"/>
      <c r="AA97" s="26"/>
      <c r="AB97" s="26"/>
      <c r="AC97" s="26"/>
      <c r="AD97" s="26"/>
      <c r="AE97" s="25"/>
      <c r="AF97" s="25"/>
      <c r="AG97" s="25"/>
      <c r="AH97" s="25"/>
      <c r="AI97" s="25"/>
      <c r="AJ97" s="25"/>
      <c r="AK97" s="25"/>
      <c r="AL97" s="25"/>
    </row>
    <row r="98" spans="1:38" ht="15" customHeight="1">
      <c r="A98" s="503">
        <v>88238</v>
      </c>
      <c r="B98" s="628" t="s">
        <v>394</v>
      </c>
      <c r="C98" s="504" t="s">
        <v>12</v>
      </c>
      <c r="D98" s="504" t="s">
        <v>19</v>
      </c>
      <c r="E98" s="630">
        <v>6.3E-3</v>
      </c>
      <c r="F98" s="505">
        <f>F86</f>
        <v>13.038910903859986</v>
      </c>
      <c r="G98" s="505">
        <f t="shared" si="29"/>
        <v>0.08</v>
      </c>
      <c r="H98" s="26">
        <f>J97</f>
        <v>0</v>
      </c>
      <c r="I98" s="26">
        <f t="shared" ref="I98:I100" si="30">ROUND(H98*E98,2)</f>
        <v>0</v>
      </c>
      <c r="M98" s="26"/>
      <c r="N98" s="26"/>
      <c r="O98" s="26"/>
      <c r="P98" s="595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5"/>
      <c r="AF98" s="25"/>
      <c r="AG98" s="25"/>
      <c r="AH98" s="25"/>
      <c r="AI98" s="25"/>
      <c r="AJ98" s="25"/>
      <c r="AK98" s="25"/>
      <c r="AL98" s="25"/>
    </row>
    <row r="99" spans="1:38">
      <c r="A99" s="503">
        <v>88245</v>
      </c>
      <c r="B99" s="628" t="s">
        <v>395</v>
      </c>
      <c r="C99" s="504" t="s">
        <v>12</v>
      </c>
      <c r="D99" s="504" t="s">
        <v>19</v>
      </c>
      <c r="E99" s="630">
        <v>3.8600000000000002E-2</v>
      </c>
      <c r="F99" s="505">
        <f>F87</f>
        <v>16.760255845920241</v>
      </c>
      <c r="G99" s="505">
        <f t="shared" si="29"/>
        <v>0.65</v>
      </c>
      <c r="H99" s="26">
        <f>J98</f>
        <v>0</v>
      </c>
      <c r="I99" s="26">
        <f t="shared" si="30"/>
        <v>0</v>
      </c>
      <c r="M99" s="26"/>
      <c r="N99" s="26"/>
      <c r="O99" s="26"/>
      <c r="P99" s="595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5"/>
      <c r="AF99" s="25"/>
      <c r="AG99" s="25"/>
      <c r="AH99" s="25"/>
      <c r="AI99" s="25"/>
      <c r="AJ99" s="25"/>
      <c r="AK99" s="25"/>
      <c r="AL99" s="25"/>
    </row>
    <row r="100" spans="1:38" s="34" customFormat="1" ht="15" customHeight="1">
      <c r="A100" s="475" t="s">
        <v>3951</v>
      </c>
      <c r="B100" s="661" t="s">
        <v>3809</v>
      </c>
      <c r="C100" s="472" t="s">
        <v>12</v>
      </c>
      <c r="D100" s="472" t="s">
        <v>45</v>
      </c>
      <c r="E100" s="473">
        <v>1</v>
      </c>
      <c r="F100" s="473"/>
      <c r="G100" s="473">
        <f t="shared" si="29"/>
        <v>0</v>
      </c>
      <c r="H100" s="473">
        <f>J99</f>
        <v>0</v>
      </c>
      <c r="I100" s="473">
        <f t="shared" si="30"/>
        <v>0</v>
      </c>
      <c r="J100" s="378"/>
      <c r="L100" s="378"/>
      <c r="M100" s="473"/>
      <c r="N100" s="473"/>
      <c r="O100" s="473"/>
      <c r="P100" s="473"/>
      <c r="Q100" s="473"/>
      <c r="R100" s="473"/>
      <c r="S100" s="473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2"/>
      <c r="AF100" s="472"/>
      <c r="AG100" s="472"/>
      <c r="AH100" s="472"/>
      <c r="AI100" s="472"/>
      <c r="AJ100" s="472"/>
      <c r="AK100" s="472"/>
      <c r="AL100" s="472"/>
    </row>
    <row r="101" spans="1:38" ht="15" customHeight="1">
      <c r="A101" s="24" t="s">
        <v>3946</v>
      </c>
      <c r="B101" s="78" t="s">
        <v>3947</v>
      </c>
      <c r="C101" s="25" t="s">
        <v>12</v>
      </c>
      <c r="D101" s="25" t="s">
        <v>45</v>
      </c>
      <c r="E101" s="25" t="s">
        <v>3948</v>
      </c>
      <c r="F101" s="26">
        <f t="shared" ref="F101" si="31">AVERAGE(M101:AL101)</f>
        <v>8.2896666666666672</v>
      </c>
      <c r="G101" s="26">
        <f>ROUND(F101*E101*$E$100,2)*E100</f>
        <v>9.1999999999999993</v>
      </c>
      <c r="H101" s="26">
        <f t="shared" ref="H101:H103" si="32">J100</f>
        <v>0</v>
      </c>
      <c r="I101" s="26">
        <f>ROUND(H101*E101*$E$100,2)</f>
        <v>0</v>
      </c>
      <c r="M101" s="26"/>
      <c r="N101" s="26"/>
      <c r="O101" s="26"/>
      <c r="P101" s="595"/>
      <c r="Q101" s="26"/>
      <c r="R101" s="26"/>
      <c r="S101" s="26"/>
      <c r="T101" s="26">
        <v>8.2690000000000001</v>
      </c>
      <c r="U101" s="26">
        <v>8.3000000000000007</v>
      </c>
      <c r="V101" s="26">
        <v>8.3000000000000007</v>
      </c>
      <c r="W101" s="26"/>
      <c r="X101" s="26"/>
      <c r="Y101" s="26"/>
      <c r="Z101" s="26"/>
      <c r="AA101" s="26"/>
      <c r="AB101" s="26"/>
      <c r="AC101" s="26"/>
      <c r="AD101" s="26"/>
      <c r="AE101" s="25"/>
      <c r="AF101" s="25"/>
      <c r="AG101" s="25"/>
      <c r="AH101" s="25"/>
      <c r="AI101" s="25"/>
      <c r="AJ101" s="25"/>
      <c r="AK101" s="25"/>
      <c r="AL101" s="25"/>
    </row>
    <row r="102" spans="1:38" ht="15" customHeight="1">
      <c r="A102" s="503" t="s">
        <v>3914</v>
      </c>
      <c r="B102" s="628" t="s">
        <v>394</v>
      </c>
      <c r="C102" s="504" t="s">
        <v>12</v>
      </c>
      <c r="D102" s="504" t="s">
        <v>19</v>
      </c>
      <c r="E102" s="504" t="s">
        <v>3949</v>
      </c>
      <c r="F102" s="505">
        <f>13.77*0.85*'PLANILHA ORÇA - CORREGEDORIA'!$BH$19</f>
        <v>13.038910903859986</v>
      </c>
      <c r="G102" s="505">
        <f t="shared" ref="G102:G103" si="33">ROUND(F102*E102*$E$100,2)*E101</f>
        <v>1.11E-2</v>
      </c>
      <c r="H102" s="26">
        <f t="shared" si="32"/>
        <v>0</v>
      </c>
      <c r="I102" s="26">
        <f t="shared" ref="I102" si="34">ROUND(H102*E102*$E$100,2)</f>
        <v>0</v>
      </c>
      <c r="M102" s="26"/>
      <c r="N102" s="26"/>
      <c r="O102" s="26"/>
      <c r="P102" s="595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5"/>
      <c r="AF102" s="25"/>
      <c r="AG102" s="25"/>
      <c r="AH102" s="25"/>
      <c r="AI102" s="25"/>
      <c r="AJ102" s="25"/>
      <c r="AK102" s="25"/>
      <c r="AL102" s="25"/>
    </row>
    <row r="103" spans="1:38" ht="15" customHeight="1">
      <c r="A103" s="503" t="s">
        <v>3915</v>
      </c>
      <c r="B103" s="628" t="s">
        <v>395</v>
      </c>
      <c r="C103" s="504" t="s">
        <v>12</v>
      </c>
      <c r="D103" s="504" t="s">
        <v>19</v>
      </c>
      <c r="E103" s="504" t="s">
        <v>3950</v>
      </c>
      <c r="F103" s="505">
        <f>17.7*0.85*'PLANILHA ORÇA - CORREGEDORIA'!$BH$19</f>
        <v>16.760255845920241</v>
      </c>
      <c r="G103" s="505">
        <f t="shared" si="33"/>
        <v>1.2E-4</v>
      </c>
      <c r="H103" s="26">
        <f t="shared" si="32"/>
        <v>0</v>
      </c>
      <c r="I103" s="26">
        <f>ROUND(H103*E103*$E$100,2)</f>
        <v>0</v>
      </c>
      <c r="M103" s="26"/>
      <c r="N103" s="26"/>
      <c r="O103" s="26"/>
      <c r="P103" s="595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5"/>
      <c r="AF103" s="25"/>
      <c r="AG103" s="25"/>
      <c r="AH103" s="25"/>
      <c r="AI103" s="25"/>
      <c r="AJ103" s="25"/>
      <c r="AK103" s="25"/>
      <c r="AL103" s="25"/>
    </row>
    <row r="104" spans="1:38" ht="28.5" customHeight="1">
      <c r="A104" s="917" t="s">
        <v>1894</v>
      </c>
      <c r="B104" s="918"/>
      <c r="C104" s="918"/>
      <c r="D104" s="918"/>
      <c r="E104" s="918"/>
      <c r="F104" s="926"/>
      <c r="G104" s="79">
        <f>SUM(G96:G103)</f>
        <v>10.50122</v>
      </c>
      <c r="H104" s="509"/>
      <c r="I104" s="79">
        <f>SUM(I96:I103)</f>
        <v>0</v>
      </c>
      <c r="M104" s="53"/>
      <c r="N104" s="54"/>
      <c r="O104" s="53"/>
      <c r="P104" s="592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</row>
    <row r="105" spans="1:38" ht="56.25" customHeight="1">
      <c r="A105" s="53"/>
      <c r="B105" s="53"/>
      <c r="C105" s="53"/>
      <c r="D105" s="53"/>
      <c r="E105" s="53"/>
      <c r="F105" s="53"/>
      <c r="G105" s="54"/>
      <c r="H105" s="53"/>
      <c r="I105" s="82">
        <v>92764</v>
      </c>
      <c r="M105" s="537"/>
      <c r="N105" s="537"/>
      <c r="O105" s="75"/>
      <c r="P105" s="589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</row>
    <row r="106" spans="1:38">
      <c r="A106" s="920" t="s">
        <v>1541</v>
      </c>
      <c r="B106" s="921"/>
      <c r="C106" s="921"/>
      <c r="D106" s="921"/>
      <c r="E106" s="929"/>
      <c r="F106" s="511"/>
      <c r="G106" s="511"/>
      <c r="H106" s="75" t="s">
        <v>12</v>
      </c>
      <c r="I106" s="77" t="s">
        <v>368</v>
      </c>
      <c r="M106" s="93"/>
      <c r="N106" s="93"/>
      <c r="O106" s="77"/>
      <c r="P106" s="590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45" customHeight="1">
      <c r="A107" s="77" t="s">
        <v>1917</v>
      </c>
      <c r="B107" s="668"/>
      <c r="C107" s="77" t="s">
        <v>3</v>
      </c>
      <c r="D107" s="77" t="s">
        <v>4</v>
      </c>
      <c r="E107" s="77" t="s">
        <v>1826</v>
      </c>
      <c r="F107" s="93" t="s">
        <v>3781</v>
      </c>
      <c r="G107" s="93" t="s">
        <v>3783</v>
      </c>
      <c r="H107" s="77" t="s">
        <v>367</v>
      </c>
      <c r="I107" s="26" t="e">
        <f>ROUND(H107*E107,2)</f>
        <v>#VALUE!</v>
      </c>
      <c r="M107" s="26"/>
      <c r="N107" s="26"/>
      <c r="O107" s="26"/>
      <c r="P107" s="595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5"/>
      <c r="AF107" s="25"/>
      <c r="AG107" s="25"/>
      <c r="AH107" s="25"/>
      <c r="AI107" s="25"/>
      <c r="AJ107" s="25"/>
      <c r="AK107" s="25"/>
      <c r="AL107" s="25"/>
    </row>
    <row r="108" spans="1:38" ht="60">
      <c r="A108" s="24">
        <v>39017</v>
      </c>
      <c r="B108" s="78" t="s">
        <v>3806</v>
      </c>
      <c r="C108" s="25" t="s">
        <v>12</v>
      </c>
      <c r="D108" s="25" t="s">
        <v>4</v>
      </c>
      <c r="E108" s="92">
        <v>0.21199999999999999</v>
      </c>
      <c r="F108" s="26">
        <f t="shared" ref="F108:F109" si="35">AVERAGE(M108:AL108)</f>
        <v>0.27233333333333337</v>
      </c>
      <c r="G108" s="26">
        <f t="shared" ref="G108:G112" si="36">ROUND(F108*E108,2)</f>
        <v>0.06</v>
      </c>
      <c r="H108" s="26">
        <f>J107</f>
        <v>0</v>
      </c>
      <c r="I108" s="26">
        <f t="shared" ref="I108:I112" si="37">ROUND(H108*E108,2)</f>
        <v>0</v>
      </c>
      <c r="M108" s="26"/>
      <c r="N108" s="26"/>
      <c r="O108" s="26"/>
      <c r="P108" s="595">
        <v>0.32700000000000001</v>
      </c>
      <c r="Q108" s="26"/>
      <c r="R108" s="26"/>
      <c r="S108" s="26"/>
      <c r="U108" s="26"/>
      <c r="V108" s="26"/>
      <c r="W108" s="26"/>
      <c r="X108" s="26"/>
      <c r="Y108" s="26"/>
      <c r="Z108" s="26"/>
      <c r="AA108" s="26">
        <v>0.23</v>
      </c>
      <c r="AB108" s="26"/>
      <c r="AC108" s="26">
        <v>0.26</v>
      </c>
      <c r="AD108" s="26"/>
      <c r="AE108" s="25"/>
      <c r="AF108" s="25"/>
      <c r="AG108" s="25"/>
      <c r="AH108" s="25"/>
      <c r="AI108" s="25"/>
      <c r="AJ108" s="25"/>
      <c r="AK108" s="25"/>
      <c r="AL108" s="25"/>
    </row>
    <row r="109" spans="1:38" ht="15" customHeight="1">
      <c r="A109" s="24">
        <v>43132</v>
      </c>
      <c r="B109" s="78" t="s">
        <v>3807</v>
      </c>
      <c r="C109" s="25" t="s">
        <v>12</v>
      </c>
      <c r="D109" s="25" t="s">
        <v>45</v>
      </c>
      <c r="E109" s="91">
        <v>2.5000000000000001E-2</v>
      </c>
      <c r="F109" s="26">
        <f t="shared" si="35"/>
        <v>18.399999999999999</v>
      </c>
      <c r="G109" s="26">
        <f t="shared" si="36"/>
        <v>0.46</v>
      </c>
      <c r="H109" s="26">
        <f>J108</f>
        <v>0</v>
      </c>
      <c r="I109" s="26">
        <f t="shared" si="37"/>
        <v>0</v>
      </c>
      <c r="M109" s="26"/>
      <c r="N109" s="26"/>
      <c r="O109" s="26"/>
      <c r="P109" s="595"/>
      <c r="Q109" s="26"/>
      <c r="R109" s="26"/>
      <c r="S109" s="26"/>
      <c r="T109" s="26">
        <v>17.100000000000001</v>
      </c>
      <c r="U109" s="26">
        <v>19.7</v>
      </c>
      <c r="V109" s="26"/>
      <c r="W109" s="26"/>
      <c r="X109" s="26"/>
      <c r="Y109" s="26"/>
      <c r="Z109" s="26"/>
      <c r="AA109" s="26"/>
      <c r="AB109" s="26"/>
      <c r="AC109" s="26"/>
      <c r="AD109" s="26"/>
      <c r="AE109" s="25"/>
      <c r="AF109" s="25"/>
      <c r="AG109" s="25"/>
      <c r="AH109" s="25"/>
      <c r="AI109" s="25"/>
      <c r="AJ109" s="25"/>
      <c r="AK109" s="25"/>
      <c r="AL109" s="25"/>
    </row>
    <row r="110" spans="1:38" ht="15" customHeight="1">
      <c r="A110" s="503">
        <v>88238</v>
      </c>
      <c r="B110" s="628" t="s">
        <v>394</v>
      </c>
      <c r="C110" s="504" t="s">
        <v>12</v>
      </c>
      <c r="D110" s="504" t="s">
        <v>19</v>
      </c>
      <c r="E110" s="630">
        <v>4.3E-3</v>
      </c>
      <c r="F110" s="505">
        <f>F98</f>
        <v>13.038910903859986</v>
      </c>
      <c r="G110" s="505">
        <f t="shared" si="36"/>
        <v>0.06</v>
      </c>
      <c r="H110" s="26">
        <f>J109</f>
        <v>0</v>
      </c>
      <c r="I110" s="26">
        <f t="shared" si="37"/>
        <v>0</v>
      </c>
      <c r="M110" s="26"/>
      <c r="N110" s="26"/>
      <c r="O110" s="26"/>
      <c r="P110" s="595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5"/>
      <c r="AF110" s="25"/>
      <c r="AG110" s="25"/>
      <c r="AH110" s="25"/>
      <c r="AI110" s="25"/>
      <c r="AJ110" s="25"/>
      <c r="AK110" s="25"/>
      <c r="AL110" s="25"/>
    </row>
    <row r="111" spans="1:38">
      <c r="A111" s="503">
        <v>88245</v>
      </c>
      <c r="B111" s="628" t="s">
        <v>395</v>
      </c>
      <c r="C111" s="504" t="s">
        <v>12</v>
      </c>
      <c r="D111" s="504" t="s">
        <v>19</v>
      </c>
      <c r="E111" s="630">
        <v>2.6100000000000002E-2</v>
      </c>
      <c r="F111" s="505">
        <f>F99</f>
        <v>16.760255845920241</v>
      </c>
      <c r="G111" s="505">
        <f t="shared" si="36"/>
        <v>0.44</v>
      </c>
      <c r="H111" s="26">
        <f>J110</f>
        <v>0</v>
      </c>
      <c r="I111" s="26">
        <f t="shared" si="37"/>
        <v>0</v>
      </c>
      <c r="M111" s="26"/>
      <c r="N111" s="26"/>
      <c r="O111" s="26"/>
      <c r="P111" s="595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5"/>
      <c r="AF111" s="25"/>
      <c r="AG111" s="25"/>
      <c r="AH111" s="25"/>
      <c r="AI111" s="25"/>
      <c r="AJ111" s="25"/>
      <c r="AK111" s="25"/>
      <c r="AL111" s="25"/>
    </row>
    <row r="112" spans="1:38" s="34" customFormat="1" ht="15" customHeight="1">
      <c r="A112" s="475" t="s">
        <v>3953</v>
      </c>
      <c r="B112" s="661" t="s">
        <v>3810</v>
      </c>
      <c r="C112" s="472" t="s">
        <v>12</v>
      </c>
      <c r="D112" s="472" t="s">
        <v>45</v>
      </c>
      <c r="E112" s="473">
        <v>1</v>
      </c>
      <c r="F112" s="473"/>
      <c r="G112" s="473">
        <f t="shared" si="36"/>
        <v>0</v>
      </c>
      <c r="H112" s="473">
        <f>J111</f>
        <v>0</v>
      </c>
      <c r="I112" s="473">
        <f t="shared" si="37"/>
        <v>0</v>
      </c>
      <c r="J112" s="378"/>
      <c r="L112" s="378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  <c r="AA112" s="473"/>
      <c r="AB112" s="473"/>
      <c r="AC112" s="473"/>
      <c r="AD112" s="473"/>
      <c r="AE112" s="472"/>
      <c r="AF112" s="472"/>
      <c r="AG112" s="472"/>
      <c r="AH112" s="472"/>
      <c r="AI112" s="472"/>
      <c r="AJ112" s="472"/>
      <c r="AK112" s="472"/>
      <c r="AL112" s="472"/>
    </row>
    <row r="113" spans="1:38" ht="15" customHeight="1">
      <c r="A113" s="24" t="s">
        <v>3946</v>
      </c>
      <c r="B113" s="78" t="s">
        <v>3947</v>
      </c>
      <c r="C113" s="25" t="s">
        <v>12</v>
      </c>
      <c r="D113" s="25" t="s">
        <v>45</v>
      </c>
      <c r="E113" s="25" t="s">
        <v>3948</v>
      </c>
      <c r="F113" s="26">
        <f t="shared" ref="F113" si="38">AVERAGE(M113:AL113)</f>
        <v>8.2896666666666672</v>
      </c>
      <c r="G113" s="26">
        <f>ROUND(F113*E113*$E$100,2)*E112</f>
        <v>9.1999999999999993</v>
      </c>
      <c r="H113" s="26">
        <f t="shared" ref="H113:H114" si="39">J112</f>
        <v>0</v>
      </c>
      <c r="I113" s="26">
        <f>ROUND(H113*E113*$E$112,2)</f>
        <v>0</v>
      </c>
      <c r="M113" s="26"/>
      <c r="N113" s="26"/>
      <c r="O113" s="26"/>
      <c r="P113" s="595"/>
      <c r="Q113" s="26"/>
      <c r="R113" s="26"/>
      <c r="S113" s="26"/>
      <c r="T113" s="26">
        <v>8.2690000000000001</v>
      </c>
      <c r="U113" s="26">
        <v>8.3000000000000007</v>
      </c>
      <c r="V113" s="26">
        <v>8.3000000000000007</v>
      </c>
      <c r="W113" s="26"/>
      <c r="X113" s="26"/>
      <c r="Y113" s="26"/>
      <c r="Z113" s="26"/>
      <c r="AA113" s="26"/>
      <c r="AB113" s="26"/>
      <c r="AC113" s="26"/>
      <c r="AD113" s="26"/>
      <c r="AE113" s="25"/>
      <c r="AF113" s="25"/>
      <c r="AG113" s="25"/>
      <c r="AH113" s="25"/>
      <c r="AI113" s="25"/>
      <c r="AJ113" s="25"/>
      <c r="AK113" s="25"/>
      <c r="AL113" s="25"/>
    </row>
    <row r="114" spans="1:38" ht="15" customHeight="1">
      <c r="A114" s="503" t="s">
        <v>3915</v>
      </c>
      <c r="B114" s="628" t="s">
        <v>395</v>
      </c>
      <c r="C114" s="504" t="s">
        <v>12</v>
      </c>
      <c r="D114" s="504" t="s">
        <v>19</v>
      </c>
      <c r="E114" s="504" t="s">
        <v>3952</v>
      </c>
      <c r="F114" s="505">
        <f>17.7*0.85*'PLANILHA ORÇA - CORREGEDORIA'!$BH$19</f>
        <v>16.760255845920241</v>
      </c>
      <c r="G114" s="505">
        <f>ROUND(F114*E114*$E$112,2)</f>
        <v>0.06</v>
      </c>
      <c r="H114" s="26">
        <f t="shared" si="39"/>
        <v>0</v>
      </c>
      <c r="I114" s="26">
        <f>ROUND(H114*E114*$E$112,2)</f>
        <v>0</v>
      </c>
      <c r="M114" s="26"/>
      <c r="N114" s="26"/>
      <c r="O114" s="26"/>
      <c r="P114" s="595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5"/>
      <c r="AF114" s="25"/>
      <c r="AG114" s="25"/>
      <c r="AH114" s="25"/>
      <c r="AI114" s="25"/>
      <c r="AJ114" s="25"/>
      <c r="AK114" s="25"/>
      <c r="AL114" s="25"/>
    </row>
    <row r="115" spans="1:38" ht="28.5" customHeight="1">
      <c r="A115" s="917" t="s">
        <v>1894</v>
      </c>
      <c r="B115" s="918"/>
      <c r="C115" s="918"/>
      <c r="D115" s="918"/>
      <c r="E115" s="918"/>
      <c r="F115" s="926"/>
      <c r="G115" s="79">
        <f>SUM(G108:G114)</f>
        <v>10.28</v>
      </c>
      <c r="H115" s="509"/>
      <c r="I115" s="79">
        <f>SUM(I108:I114)</f>
        <v>0</v>
      </c>
      <c r="M115" s="53"/>
      <c r="N115" s="54"/>
      <c r="O115" s="53"/>
      <c r="P115" s="592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</row>
    <row r="116" spans="1:38" ht="52.5" customHeight="1">
      <c r="A116" s="53"/>
      <c r="B116" s="53"/>
      <c r="C116" s="53"/>
      <c r="D116" s="53"/>
      <c r="E116" s="53"/>
      <c r="F116" s="53"/>
      <c r="G116" s="54"/>
      <c r="H116" s="53"/>
      <c r="I116" s="82">
        <v>92765</v>
      </c>
      <c r="M116" s="537"/>
      <c r="N116" s="537"/>
      <c r="O116" s="75"/>
      <c r="P116" s="589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</row>
    <row r="117" spans="1:38">
      <c r="A117" s="920" t="s">
        <v>1552</v>
      </c>
      <c r="B117" s="921"/>
      <c r="C117" s="921"/>
      <c r="D117" s="921"/>
      <c r="E117" s="929"/>
      <c r="F117" s="511"/>
      <c r="G117" s="511"/>
      <c r="H117" s="75" t="s">
        <v>12</v>
      </c>
      <c r="I117" s="77" t="s">
        <v>368</v>
      </c>
      <c r="M117" s="93"/>
      <c r="N117" s="93"/>
      <c r="O117" s="77"/>
      <c r="P117" s="590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</row>
    <row r="118" spans="1:38" ht="28.5">
      <c r="A118" s="77" t="s">
        <v>1917</v>
      </c>
      <c r="B118" s="510"/>
      <c r="C118" s="77" t="s">
        <v>3</v>
      </c>
      <c r="D118" s="77" t="s">
        <v>4</v>
      </c>
      <c r="E118" s="77" t="s">
        <v>1826</v>
      </c>
      <c r="F118" s="93" t="s">
        <v>3781</v>
      </c>
      <c r="G118" s="93" t="s">
        <v>3783</v>
      </c>
      <c r="H118" s="77" t="s">
        <v>367</v>
      </c>
      <c r="I118" s="26" t="e">
        <f t="shared" ref="I118:I123" si="40">ROUND(H118*E118,2)</f>
        <v>#VALUE!</v>
      </c>
      <c r="M118" s="26"/>
      <c r="N118" s="26"/>
      <c r="O118" s="26"/>
      <c r="P118" s="595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5"/>
      <c r="AF118" s="25"/>
      <c r="AG118" s="25"/>
      <c r="AH118" s="25"/>
      <c r="AI118" s="25"/>
      <c r="AJ118" s="25"/>
      <c r="AK118" s="25"/>
      <c r="AL118" s="25"/>
    </row>
    <row r="119" spans="1:38" ht="60">
      <c r="A119" s="24">
        <v>39017</v>
      </c>
      <c r="B119" s="78" t="s">
        <v>3806</v>
      </c>
      <c r="C119" s="25" t="s">
        <v>12</v>
      </c>
      <c r="D119" s="25" t="s">
        <v>4</v>
      </c>
      <c r="E119" s="92">
        <v>0.113</v>
      </c>
      <c r="F119" s="26">
        <f t="shared" ref="F119:F120" si="41">AVERAGE(M119:AL119)</f>
        <v>0.27233333333333337</v>
      </c>
      <c r="G119" s="26">
        <f t="shared" ref="G119:G121" si="42">ROUND(F119*E119,2)</f>
        <v>0.03</v>
      </c>
      <c r="H119" s="26">
        <f>J118</f>
        <v>0</v>
      </c>
      <c r="I119" s="26">
        <f t="shared" si="40"/>
        <v>0</v>
      </c>
      <c r="M119" s="26"/>
      <c r="N119" s="26"/>
      <c r="O119" s="26"/>
      <c r="P119" s="595">
        <v>0.32700000000000001</v>
      </c>
      <c r="Q119" s="26"/>
      <c r="R119" s="26"/>
      <c r="S119" s="26"/>
      <c r="U119" s="26"/>
      <c r="V119" s="26"/>
      <c r="W119" s="26"/>
      <c r="X119" s="26"/>
      <c r="Y119" s="26"/>
      <c r="Z119" s="26"/>
      <c r="AA119" s="26">
        <v>0.23</v>
      </c>
      <c r="AB119" s="26"/>
      <c r="AC119" s="26">
        <v>0.26</v>
      </c>
      <c r="AD119" s="26"/>
      <c r="AE119" s="25"/>
      <c r="AF119" s="25"/>
      <c r="AG119" s="25"/>
      <c r="AH119" s="25"/>
      <c r="AI119" s="25"/>
      <c r="AJ119" s="25"/>
      <c r="AK119" s="25"/>
      <c r="AL119" s="25"/>
    </row>
    <row r="120" spans="1:38" ht="15" customHeight="1">
      <c r="A120" s="24">
        <v>43132</v>
      </c>
      <c r="B120" s="78" t="s">
        <v>3807</v>
      </c>
      <c r="C120" s="25" t="s">
        <v>12</v>
      </c>
      <c r="D120" s="25" t="s">
        <v>45</v>
      </c>
      <c r="E120" s="91">
        <v>2.5000000000000001E-2</v>
      </c>
      <c r="F120" s="26">
        <f t="shared" si="41"/>
        <v>18.399999999999999</v>
      </c>
      <c r="G120" s="26">
        <f t="shared" si="42"/>
        <v>0.46</v>
      </c>
      <c r="H120" s="26">
        <f>J119</f>
        <v>0</v>
      </c>
      <c r="I120" s="26">
        <f t="shared" si="40"/>
        <v>0</v>
      </c>
      <c r="M120" s="26"/>
      <c r="N120" s="26"/>
      <c r="O120" s="26"/>
      <c r="P120" s="595"/>
      <c r="Q120" s="26"/>
      <c r="R120" s="26"/>
      <c r="S120" s="26"/>
      <c r="T120" s="26">
        <v>17.100000000000001</v>
      </c>
      <c r="U120" s="26">
        <v>19.7</v>
      </c>
      <c r="V120" s="26"/>
      <c r="W120" s="26"/>
      <c r="X120" s="26"/>
      <c r="Y120" s="26"/>
      <c r="Z120" s="26"/>
      <c r="AA120" s="26"/>
      <c r="AB120" s="26"/>
      <c r="AC120" s="26"/>
      <c r="AD120" s="26"/>
      <c r="AE120" s="25"/>
      <c r="AF120" s="25"/>
      <c r="AG120" s="25"/>
      <c r="AH120" s="25"/>
      <c r="AI120" s="25"/>
      <c r="AJ120" s="25"/>
      <c r="AK120" s="25"/>
      <c r="AL120" s="25"/>
    </row>
    <row r="121" spans="1:38" ht="15" customHeight="1">
      <c r="A121" s="503">
        <v>88238</v>
      </c>
      <c r="B121" s="628" t="s">
        <v>394</v>
      </c>
      <c r="C121" s="504" t="s">
        <v>12</v>
      </c>
      <c r="D121" s="504" t="s">
        <v>19</v>
      </c>
      <c r="E121" s="630">
        <v>2.8E-3</v>
      </c>
      <c r="F121" s="505">
        <f>F110</f>
        <v>13.038910903859986</v>
      </c>
      <c r="G121" s="505">
        <f t="shared" si="42"/>
        <v>0.04</v>
      </c>
      <c r="H121" s="26">
        <f>J120</f>
        <v>0</v>
      </c>
      <c r="I121" s="26">
        <f t="shared" si="40"/>
        <v>0</v>
      </c>
      <c r="M121" s="26"/>
      <c r="N121" s="26"/>
      <c r="O121" s="26"/>
      <c r="P121" s="595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5"/>
      <c r="AF121" s="25"/>
      <c r="AG121" s="25"/>
      <c r="AH121" s="25"/>
      <c r="AI121" s="25"/>
      <c r="AJ121" s="25"/>
      <c r="AK121" s="25"/>
      <c r="AL121" s="25"/>
    </row>
    <row r="122" spans="1:38">
      <c r="A122" s="503">
        <v>88245</v>
      </c>
      <c r="B122" s="628" t="s">
        <v>395</v>
      </c>
      <c r="C122" s="504" t="s">
        <v>12</v>
      </c>
      <c r="D122" s="504" t="s">
        <v>19</v>
      </c>
      <c r="E122" s="630">
        <v>1.72E-2</v>
      </c>
      <c r="F122" s="505">
        <f>F111</f>
        <v>16.760255845920241</v>
      </c>
      <c r="G122" s="505">
        <f>ROUND(F122*E122,2)</f>
        <v>0.28999999999999998</v>
      </c>
      <c r="H122" s="26">
        <f>J121</f>
        <v>0</v>
      </c>
      <c r="I122" s="26">
        <f t="shared" si="40"/>
        <v>0</v>
      </c>
      <c r="M122" s="26"/>
      <c r="N122" s="26"/>
      <c r="O122" s="26"/>
      <c r="P122" s="595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5"/>
      <c r="AF122" s="25"/>
      <c r="AG122" s="25"/>
      <c r="AH122" s="25"/>
      <c r="AI122" s="25"/>
      <c r="AJ122" s="25"/>
      <c r="AK122" s="25"/>
      <c r="AL122" s="25"/>
    </row>
    <row r="123" spans="1:38" s="34" customFormat="1" ht="15" customHeight="1">
      <c r="A123" s="475" t="s">
        <v>3969</v>
      </c>
      <c r="B123" s="661" t="s">
        <v>3812</v>
      </c>
      <c r="C123" s="472" t="s">
        <v>12</v>
      </c>
      <c r="D123" s="472" t="s">
        <v>45</v>
      </c>
      <c r="E123" s="473">
        <v>1</v>
      </c>
      <c r="F123" s="473"/>
      <c r="G123" s="473">
        <f>ROUND(F123*E123,2)</f>
        <v>0</v>
      </c>
      <c r="H123" s="473">
        <f t="shared" ref="H123:H125" si="43">J122</f>
        <v>0</v>
      </c>
      <c r="I123" s="473">
        <f t="shared" si="40"/>
        <v>0</v>
      </c>
      <c r="J123" s="378"/>
      <c r="L123" s="378"/>
      <c r="M123" s="473"/>
      <c r="N123" s="473"/>
      <c r="O123" s="473"/>
      <c r="P123" s="473"/>
      <c r="Q123" s="473"/>
      <c r="R123" s="473"/>
      <c r="S123" s="473"/>
      <c r="T123" s="473"/>
      <c r="U123" s="473"/>
      <c r="V123" s="473"/>
      <c r="W123" s="473"/>
      <c r="X123" s="473"/>
      <c r="Y123" s="473"/>
      <c r="Z123" s="473"/>
      <c r="AA123" s="473"/>
      <c r="AB123" s="473"/>
      <c r="AC123" s="473"/>
      <c r="AD123" s="473"/>
      <c r="AE123" s="472"/>
      <c r="AF123" s="472"/>
      <c r="AG123" s="472"/>
      <c r="AH123" s="472"/>
      <c r="AI123" s="472"/>
      <c r="AJ123" s="472"/>
      <c r="AK123" s="472"/>
      <c r="AL123" s="472"/>
    </row>
    <row r="124" spans="1:38" ht="15" customHeight="1">
      <c r="A124" s="24" t="s">
        <v>3965</v>
      </c>
      <c r="B124" s="78" t="s">
        <v>3966</v>
      </c>
      <c r="C124" s="25" t="s">
        <v>12</v>
      </c>
      <c r="D124" s="25" t="s">
        <v>45</v>
      </c>
      <c r="E124" s="25" t="s">
        <v>3967</v>
      </c>
      <c r="F124" s="26">
        <f t="shared" ref="F124" si="44">AVERAGE(M124:AL124)</f>
        <v>8.5500000000000007</v>
      </c>
      <c r="G124" s="26">
        <f>ROUND(F124*E124*$E$100,2)*E123</f>
        <v>9.75</v>
      </c>
      <c r="H124" s="26">
        <f t="shared" si="43"/>
        <v>0</v>
      </c>
      <c r="I124" s="26">
        <f>ROUND(H124*E124*$E$123,2)</f>
        <v>0</v>
      </c>
      <c r="M124" s="26"/>
      <c r="N124" s="26"/>
      <c r="O124" s="26"/>
      <c r="P124" s="595"/>
      <c r="Q124" s="26"/>
      <c r="R124" s="26"/>
      <c r="S124" s="26"/>
      <c r="T124" s="26">
        <v>8.5500000000000007</v>
      </c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5"/>
      <c r="AF124" s="25"/>
      <c r="AG124" s="25"/>
      <c r="AH124" s="25"/>
      <c r="AI124" s="25"/>
      <c r="AJ124" s="25"/>
      <c r="AK124" s="25"/>
      <c r="AL124" s="25"/>
    </row>
    <row r="125" spans="1:38" ht="15" customHeight="1">
      <c r="A125" s="503" t="s">
        <v>3915</v>
      </c>
      <c r="B125" s="628" t="s">
        <v>395</v>
      </c>
      <c r="C125" s="504" t="s">
        <v>12</v>
      </c>
      <c r="D125" s="504" t="s">
        <v>19</v>
      </c>
      <c r="E125" s="504" t="s">
        <v>3968</v>
      </c>
      <c r="F125" s="505">
        <f>17.7*0.85*'PLANILHA ORÇA - CORREGEDORIA'!$BH$19</f>
        <v>16.760255845920241</v>
      </c>
      <c r="G125" s="505">
        <f>ROUND(F125*E125*$E$123,2)</f>
        <v>0.03</v>
      </c>
      <c r="H125" s="26">
        <f t="shared" si="43"/>
        <v>0</v>
      </c>
      <c r="I125" s="26">
        <f>ROUND(H125*E125*$E$123,2)</f>
        <v>0</v>
      </c>
      <c r="M125" s="26"/>
      <c r="N125" s="26"/>
      <c r="O125" s="26"/>
      <c r="P125" s="595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5"/>
      <c r="AF125" s="25"/>
      <c r="AG125" s="25"/>
      <c r="AH125" s="25"/>
      <c r="AI125" s="25"/>
      <c r="AJ125" s="25"/>
      <c r="AK125" s="25"/>
      <c r="AL125" s="25"/>
    </row>
    <row r="126" spans="1:38" ht="33.75" customHeight="1">
      <c r="A126" s="917" t="s">
        <v>1894</v>
      </c>
      <c r="B126" s="918"/>
      <c r="C126" s="918"/>
      <c r="D126" s="918"/>
      <c r="E126" s="918"/>
      <c r="F126" s="926"/>
      <c r="G126" s="79">
        <f>SUM(G119:G125)</f>
        <v>10.6</v>
      </c>
      <c r="H126" s="509"/>
      <c r="I126" s="79">
        <f>SUM(I119:I125)</f>
        <v>0</v>
      </c>
      <c r="M126" s="53"/>
      <c r="N126" s="54"/>
      <c r="O126" s="53"/>
      <c r="P126" s="592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</row>
    <row r="127" spans="1:38" ht="60.75" customHeight="1">
      <c r="A127" s="53"/>
      <c r="B127" s="53"/>
      <c r="C127" s="53"/>
      <c r="D127" s="53"/>
      <c r="E127" s="53"/>
      <c r="F127" s="53"/>
      <c r="G127" s="54"/>
      <c r="H127" s="53"/>
      <c r="I127" s="531">
        <v>92408</v>
      </c>
      <c r="M127" s="75"/>
      <c r="N127" s="536"/>
      <c r="O127" s="75"/>
      <c r="P127" s="589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</row>
    <row r="128" spans="1:38">
      <c r="A128" s="920" t="s">
        <v>1551</v>
      </c>
      <c r="B128" s="921"/>
      <c r="C128" s="921"/>
      <c r="D128" s="921"/>
      <c r="E128" s="929"/>
      <c r="F128" s="75"/>
      <c r="G128" s="516"/>
      <c r="H128" s="75" t="s">
        <v>1915</v>
      </c>
      <c r="I128" s="77" t="s">
        <v>368</v>
      </c>
      <c r="M128" s="93"/>
      <c r="N128" s="93"/>
      <c r="O128" s="77"/>
      <c r="P128" s="590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</row>
    <row r="129" spans="1:38" ht="45" customHeight="1">
      <c r="A129" s="77" t="s">
        <v>1917</v>
      </c>
      <c r="B129" s="668"/>
      <c r="C129" s="77" t="s">
        <v>3</v>
      </c>
      <c r="D129" s="77" t="s">
        <v>4</v>
      </c>
      <c r="E129" s="77" t="s">
        <v>1826</v>
      </c>
      <c r="F129" s="93" t="s">
        <v>3781</v>
      </c>
      <c r="G129" s="93" t="s">
        <v>3783</v>
      </c>
      <c r="H129" s="77" t="s">
        <v>367</v>
      </c>
      <c r="I129" s="26"/>
      <c r="M129" s="26"/>
      <c r="N129" s="26"/>
      <c r="O129" s="26"/>
      <c r="P129" s="595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5"/>
      <c r="AF129" s="25"/>
      <c r="AG129" s="25"/>
      <c r="AH129" s="25"/>
      <c r="AI129" s="25"/>
      <c r="AJ129" s="25"/>
      <c r="AK129" s="25"/>
      <c r="AL129" s="25"/>
    </row>
    <row r="130" spans="1:38" ht="45">
      <c r="A130" s="24">
        <v>2692</v>
      </c>
      <c r="B130" s="78" t="s">
        <v>399</v>
      </c>
      <c r="C130" s="25" t="s">
        <v>12</v>
      </c>
      <c r="D130" s="25" t="s">
        <v>381</v>
      </c>
      <c r="E130" s="26">
        <v>1.7000000000000001E-2</v>
      </c>
      <c r="F130" s="26">
        <f t="shared" ref="F130:F131" si="45">AVERAGE(M130:AL130)</f>
        <v>15.523</v>
      </c>
      <c r="G130" s="26">
        <f>ROUND(F130*E130,2)</f>
        <v>0.26</v>
      </c>
      <c r="H130" s="26"/>
      <c r="I130" s="26">
        <f t="shared" ref="I130:I134" si="46">ROUND(H130*E130,2)</f>
        <v>0</v>
      </c>
      <c r="M130" s="26"/>
      <c r="N130" s="26">
        <v>16.53</v>
      </c>
      <c r="O130" s="26"/>
      <c r="P130" s="595">
        <v>14.516</v>
      </c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5"/>
      <c r="AF130" s="25"/>
      <c r="AG130" s="25"/>
      <c r="AH130" s="25"/>
      <c r="AI130" s="25"/>
      <c r="AJ130" s="25"/>
      <c r="AK130" s="25"/>
      <c r="AL130" s="25"/>
    </row>
    <row r="131" spans="1:38" ht="30">
      <c r="A131" s="24">
        <v>40304</v>
      </c>
      <c r="B131" s="78" t="s">
        <v>400</v>
      </c>
      <c r="C131" s="25" t="s">
        <v>12</v>
      </c>
      <c r="D131" s="25" t="s">
        <v>45</v>
      </c>
      <c r="E131" s="26">
        <v>2.7E-2</v>
      </c>
      <c r="F131" s="26">
        <f t="shared" si="45"/>
        <v>35.839999999999996</v>
      </c>
      <c r="G131" s="26">
        <f>ROUND(F131*E131,2)</f>
        <v>0.97</v>
      </c>
      <c r="H131" s="26"/>
      <c r="I131" s="26">
        <f t="shared" si="46"/>
        <v>0</v>
      </c>
      <c r="M131" s="26"/>
      <c r="N131" s="26"/>
      <c r="O131" s="26"/>
      <c r="P131" s="595"/>
      <c r="Q131" s="26"/>
      <c r="R131" s="26"/>
      <c r="S131" s="26"/>
      <c r="T131" s="26"/>
      <c r="U131" s="26"/>
      <c r="V131" s="26"/>
      <c r="W131" s="26"/>
      <c r="X131" s="26">
        <v>38.4</v>
      </c>
      <c r="Y131" s="26"/>
      <c r="Z131" s="26"/>
      <c r="AA131" s="26">
        <v>35.39</v>
      </c>
      <c r="AB131" s="26">
        <v>31.8</v>
      </c>
      <c r="AC131" s="26">
        <v>37.770000000000003</v>
      </c>
      <c r="AD131" s="26"/>
      <c r="AE131" s="25"/>
      <c r="AF131" s="25"/>
      <c r="AG131" s="25"/>
      <c r="AH131" s="25"/>
      <c r="AI131" s="25"/>
      <c r="AJ131" s="25"/>
      <c r="AK131" s="25"/>
      <c r="AL131" s="25"/>
    </row>
    <row r="132" spans="1:38" ht="30">
      <c r="A132" s="503">
        <v>88239</v>
      </c>
      <c r="B132" s="628" t="s">
        <v>393</v>
      </c>
      <c r="C132" s="504" t="s">
        <v>12</v>
      </c>
      <c r="D132" s="504" t="s">
        <v>19</v>
      </c>
      <c r="E132" s="505">
        <v>0.628</v>
      </c>
      <c r="F132" s="505">
        <f>14.85*0.85*'PLANILHA ORÇA - CORREGEDORIA'!$BH$19</f>
        <v>14.061570582594101</v>
      </c>
      <c r="G132" s="505">
        <f>ROUND(F132*E132,2)</f>
        <v>8.83</v>
      </c>
      <c r="H132" s="26"/>
      <c r="I132" s="26">
        <f t="shared" si="46"/>
        <v>0</v>
      </c>
      <c r="M132" s="26"/>
      <c r="N132" s="26"/>
      <c r="O132" s="26"/>
      <c r="P132" s="595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5"/>
      <c r="AF132" s="25"/>
      <c r="AG132" s="25"/>
      <c r="AH132" s="25"/>
      <c r="AI132" s="25"/>
      <c r="AJ132" s="25"/>
      <c r="AK132" s="25"/>
      <c r="AL132" s="25"/>
    </row>
    <row r="133" spans="1:38" ht="30">
      <c r="A133" s="503">
        <v>88262</v>
      </c>
      <c r="B133" s="628" t="s">
        <v>376</v>
      </c>
      <c r="C133" s="504" t="s">
        <v>12</v>
      </c>
      <c r="D133" s="504" t="s">
        <v>19</v>
      </c>
      <c r="E133" s="505">
        <v>3.4220000000000002</v>
      </c>
      <c r="F133" s="505">
        <f>17.6*0.85*'PLANILHA ORÇA - CORREGEDORIA'!$BH$19</f>
        <v>16.665565134926347</v>
      </c>
      <c r="G133" s="505">
        <f>ROUND(F133*E133,2)</f>
        <v>57.03</v>
      </c>
      <c r="H133" s="26"/>
      <c r="I133" s="26">
        <f t="shared" si="46"/>
        <v>0</v>
      </c>
      <c r="M133" s="26"/>
      <c r="N133" s="26"/>
      <c r="O133" s="155"/>
      <c r="P133" s="596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709"/>
      <c r="AF133" s="709"/>
      <c r="AG133" s="709"/>
      <c r="AH133" s="709"/>
      <c r="AI133" s="709"/>
      <c r="AJ133" s="709"/>
      <c r="AK133" s="709"/>
      <c r="AL133" s="709"/>
    </row>
    <row r="134" spans="1:38" s="34" customFormat="1" ht="15" customHeight="1">
      <c r="A134" s="679" t="s">
        <v>3988</v>
      </c>
      <c r="B134" s="680" t="s">
        <v>1787</v>
      </c>
      <c r="C134" s="681" t="s">
        <v>12</v>
      </c>
      <c r="D134" s="681" t="s">
        <v>26</v>
      </c>
      <c r="E134" s="682">
        <v>1.02</v>
      </c>
      <c r="F134" s="473"/>
      <c r="G134" s="682">
        <f>ROUND(F134*E134,2)</f>
        <v>0</v>
      </c>
      <c r="H134" s="683"/>
      <c r="I134" s="473">
        <f t="shared" si="46"/>
        <v>0</v>
      </c>
      <c r="J134" s="378"/>
      <c r="L134" s="378"/>
      <c r="M134" s="682"/>
      <c r="N134" s="684"/>
      <c r="O134" s="685"/>
      <c r="P134" s="685"/>
      <c r="Q134" s="685"/>
      <c r="R134" s="685"/>
      <c r="S134" s="685"/>
      <c r="T134" s="685"/>
      <c r="U134" s="685"/>
      <c r="V134" s="685"/>
      <c r="W134" s="685"/>
      <c r="X134" s="685"/>
      <c r="Y134" s="685"/>
      <c r="Z134" s="685"/>
      <c r="AA134" s="685"/>
      <c r="AB134" s="685"/>
      <c r="AC134" s="685"/>
      <c r="AD134" s="685"/>
      <c r="AE134" s="685"/>
      <c r="AF134" s="685"/>
      <c r="AG134" s="685"/>
      <c r="AH134" s="685"/>
      <c r="AI134" s="685"/>
      <c r="AJ134" s="685"/>
      <c r="AK134" s="685"/>
      <c r="AL134" s="685"/>
    </row>
    <row r="135" spans="1:38" ht="15" customHeight="1">
      <c r="A135" s="25" t="s">
        <v>3975</v>
      </c>
      <c r="B135" s="25" t="s">
        <v>3976</v>
      </c>
      <c r="D135" s="25" t="s">
        <v>52</v>
      </c>
      <c r="E135" s="26" t="s">
        <v>3977</v>
      </c>
      <c r="F135" s="26">
        <f t="shared" ref="F135" si="47">AVERAGE(M135:AL135)</f>
        <v>3</v>
      </c>
      <c r="G135" s="26">
        <f>ROUND(F135*E135*$E$134,2)</f>
        <v>13.56</v>
      </c>
      <c r="H135" s="155"/>
      <c r="I135" s="26">
        <f>ROUND(H135*E135*$E$134,2)</f>
        <v>0</v>
      </c>
      <c r="M135" s="26"/>
      <c r="N135" s="532"/>
      <c r="O135" s="653"/>
      <c r="P135" s="594"/>
      <c r="Q135" s="653"/>
      <c r="R135" s="653"/>
      <c r="S135" s="653"/>
      <c r="T135" s="653"/>
      <c r="U135" s="653"/>
      <c r="V135" s="653">
        <v>3</v>
      </c>
      <c r="W135" s="713"/>
      <c r="X135" s="704"/>
      <c r="Y135" s="713"/>
      <c r="Z135" s="713"/>
      <c r="AA135" s="704"/>
      <c r="AB135" s="704"/>
      <c r="AC135" s="653"/>
      <c r="AD135" s="674"/>
      <c r="AE135" s="713"/>
      <c r="AF135" s="713"/>
      <c r="AG135" s="713"/>
      <c r="AH135" s="713"/>
      <c r="AI135" s="713"/>
      <c r="AJ135" s="713"/>
      <c r="AK135" s="713"/>
      <c r="AL135" s="713"/>
    </row>
    <row r="136" spans="1:38" ht="15" customHeight="1">
      <c r="A136" s="729" t="s">
        <v>3978</v>
      </c>
      <c r="B136" s="729" t="s">
        <v>3979</v>
      </c>
      <c r="C136" s="283"/>
      <c r="D136" s="729" t="s">
        <v>45</v>
      </c>
      <c r="E136" s="731" t="s">
        <v>3980</v>
      </c>
      <c r="F136" s="731">
        <v>22.34</v>
      </c>
      <c r="G136" s="731">
        <f>ROUND(F136*E136*$E$134,2)</f>
        <v>1.96</v>
      </c>
      <c r="H136" s="155"/>
      <c r="I136" s="26">
        <f t="shared" ref="I136:I141" si="48">ROUND(H136*E136*$E$134,2)</f>
        <v>0</v>
      </c>
      <c r="M136" s="26"/>
      <c r="N136" s="532"/>
      <c r="O136" s="653"/>
      <c r="P136" s="594"/>
      <c r="Q136" s="653"/>
      <c r="R136" s="653"/>
      <c r="S136" s="653"/>
      <c r="T136" s="653"/>
      <c r="U136" s="653"/>
      <c r="V136" s="653"/>
      <c r="W136" s="713"/>
      <c r="X136" s="704"/>
      <c r="Y136" s="713"/>
      <c r="Z136" s="713"/>
      <c r="AA136" s="704"/>
      <c r="AB136" s="704"/>
      <c r="AC136" s="653"/>
      <c r="AD136" s="674"/>
      <c r="AE136" s="713"/>
      <c r="AF136" s="713"/>
      <c r="AG136" s="713"/>
      <c r="AH136" s="713"/>
      <c r="AI136" s="713"/>
      <c r="AJ136" s="713"/>
      <c r="AK136" s="713"/>
      <c r="AL136" s="713"/>
    </row>
    <row r="137" spans="1:38" ht="15" customHeight="1">
      <c r="A137" s="25" t="s">
        <v>3981</v>
      </c>
      <c r="B137" s="25" t="s">
        <v>3982</v>
      </c>
      <c r="D137" s="25" t="s">
        <v>52</v>
      </c>
      <c r="E137" s="26" t="s">
        <v>3983</v>
      </c>
      <c r="F137" s="26">
        <f t="shared" ref="F137" si="49">AVERAGE(M137:AL137)</f>
        <v>30.03</v>
      </c>
      <c r="G137" s="26">
        <f>ROUND(F137*E137*$E$134,2)</f>
        <v>200.02</v>
      </c>
      <c r="H137" s="155"/>
      <c r="I137" s="26">
        <f>ROUND(H137*E137*$E$134,2)</f>
        <v>0</v>
      </c>
      <c r="M137" s="26"/>
      <c r="N137" s="532"/>
      <c r="O137" s="653"/>
      <c r="P137" s="594"/>
      <c r="Q137" s="653"/>
      <c r="R137" s="653"/>
      <c r="S137" s="653"/>
      <c r="T137" s="653"/>
      <c r="U137" s="653"/>
      <c r="V137" s="653">
        <v>30.03</v>
      </c>
      <c r="W137" s="713"/>
      <c r="X137" s="704"/>
      <c r="Y137" s="713"/>
      <c r="Z137" s="713"/>
      <c r="AA137" s="704"/>
      <c r="AB137" s="704"/>
      <c r="AC137" s="653"/>
      <c r="AD137" s="674"/>
      <c r="AE137" s="713"/>
      <c r="AF137" s="713"/>
      <c r="AG137" s="713"/>
      <c r="AH137" s="713"/>
      <c r="AI137" s="713"/>
      <c r="AJ137" s="713"/>
      <c r="AK137" s="713"/>
      <c r="AL137" s="713"/>
    </row>
    <row r="138" spans="1:38" ht="15" customHeight="1">
      <c r="A138" s="504" t="s">
        <v>3909</v>
      </c>
      <c r="B138" s="505" t="s">
        <v>393</v>
      </c>
      <c r="C138" s="505"/>
      <c r="D138" s="505" t="s">
        <v>19</v>
      </c>
      <c r="E138" s="505" t="s">
        <v>3984</v>
      </c>
      <c r="F138" s="505">
        <f>14.85*0.85*'PLANILHA ORÇA - CORREGEDORIA'!$BH$19</f>
        <v>14.061570582594101</v>
      </c>
      <c r="G138" s="505">
        <f t="shared" ref="G138:G139" si="50">ROUND(F138*E138*$E$134,2)</f>
        <v>2.0499999999999998</v>
      </c>
      <c r="H138" s="155"/>
      <c r="I138" s="26">
        <f>ROUND(H138*E138*$E$134,2)</f>
        <v>0</v>
      </c>
      <c r="M138" s="26"/>
      <c r="N138" s="532"/>
      <c r="O138" s="653"/>
      <c r="P138" s="594"/>
      <c r="Q138" s="653"/>
      <c r="R138" s="653"/>
      <c r="S138" s="653"/>
      <c r="T138" s="653"/>
      <c r="U138" s="653"/>
      <c r="V138" s="653"/>
      <c r="W138" s="713"/>
      <c r="X138" s="704"/>
      <c r="Y138" s="713"/>
      <c r="Z138" s="713"/>
      <c r="AA138" s="704"/>
      <c r="AB138" s="704"/>
      <c r="AC138" s="653"/>
      <c r="AD138" s="674"/>
      <c r="AE138" s="713"/>
      <c r="AF138" s="713"/>
      <c r="AG138" s="713"/>
      <c r="AH138" s="713"/>
      <c r="AI138" s="713"/>
      <c r="AJ138" s="713"/>
      <c r="AK138" s="713"/>
      <c r="AL138" s="713"/>
    </row>
    <row r="139" spans="1:38" ht="15" customHeight="1">
      <c r="A139" s="504" t="s">
        <v>3910</v>
      </c>
      <c r="B139" s="505" t="s">
        <v>376</v>
      </c>
      <c r="C139" s="505"/>
      <c r="D139" s="505" t="s">
        <v>19</v>
      </c>
      <c r="E139" s="505" t="s">
        <v>3985</v>
      </c>
      <c r="F139" s="505">
        <f>17.6*0.85*'PLANILHA ORÇA - CORREGEDORIA'!$BH$19</f>
        <v>16.665565134926347</v>
      </c>
      <c r="G139" s="505">
        <f t="shared" si="50"/>
        <v>12.15</v>
      </c>
      <c r="H139" s="155"/>
      <c r="I139" s="26">
        <f>ROUND(H139*E139*$E$134,2)</f>
        <v>0</v>
      </c>
      <c r="M139" s="26"/>
      <c r="N139" s="532"/>
      <c r="O139" s="653"/>
      <c r="P139" s="594"/>
      <c r="Q139" s="653"/>
      <c r="R139" s="653"/>
      <c r="S139" s="653"/>
      <c r="T139" s="653"/>
      <c r="U139" s="653"/>
      <c r="V139" s="653"/>
      <c r="W139" s="713"/>
      <c r="X139" s="704"/>
      <c r="Y139" s="713"/>
      <c r="Z139" s="713"/>
      <c r="AA139" s="704"/>
      <c r="AB139" s="704"/>
      <c r="AC139" s="653"/>
      <c r="AD139" s="674"/>
      <c r="AE139" s="713"/>
      <c r="AF139" s="713"/>
      <c r="AG139" s="713"/>
      <c r="AH139" s="713"/>
      <c r="AI139" s="713"/>
      <c r="AJ139" s="713"/>
      <c r="AK139" s="713"/>
      <c r="AL139" s="713"/>
    </row>
    <row r="140" spans="1:38" ht="15" customHeight="1">
      <c r="A140" s="729" t="s">
        <v>3931</v>
      </c>
      <c r="B140" s="729" t="s">
        <v>3932</v>
      </c>
      <c r="C140" s="283"/>
      <c r="D140" s="729" t="s">
        <v>388</v>
      </c>
      <c r="E140" s="731" t="s">
        <v>3986</v>
      </c>
      <c r="F140" s="731">
        <v>24.45</v>
      </c>
      <c r="G140" s="731">
        <f>ROUND(F140*E140*$E$134,2)</f>
        <v>1.25</v>
      </c>
      <c r="H140" s="155"/>
      <c r="I140" s="26">
        <f t="shared" si="48"/>
        <v>0</v>
      </c>
      <c r="M140" s="26"/>
      <c r="N140" s="532"/>
      <c r="O140" s="653"/>
      <c r="P140" s="594"/>
      <c r="Q140" s="653"/>
      <c r="R140" s="653"/>
      <c r="S140" s="653"/>
      <c r="T140" s="653"/>
      <c r="U140" s="653"/>
      <c r="V140" s="653"/>
      <c r="W140" s="713"/>
      <c r="X140" s="704"/>
      <c r="Y140" s="713"/>
      <c r="Z140" s="713"/>
      <c r="AA140" s="704"/>
      <c r="AB140" s="704"/>
      <c r="AC140" s="653"/>
      <c r="AD140" s="674"/>
      <c r="AE140" s="713"/>
      <c r="AF140" s="713"/>
      <c r="AG140" s="713"/>
      <c r="AH140" s="713"/>
      <c r="AI140" s="713"/>
      <c r="AJ140" s="713"/>
      <c r="AK140" s="713"/>
      <c r="AL140" s="713"/>
    </row>
    <row r="141" spans="1:38" ht="15" customHeight="1">
      <c r="A141" s="729" t="s">
        <v>3933</v>
      </c>
      <c r="B141" s="729" t="s">
        <v>3934</v>
      </c>
      <c r="C141" s="283"/>
      <c r="D141" s="729" t="s">
        <v>389</v>
      </c>
      <c r="E141" s="731" t="s">
        <v>3987</v>
      </c>
      <c r="F141" s="731">
        <v>23.01</v>
      </c>
      <c r="G141" s="731">
        <f>ROUND(F141*E141*$E$134,2)</f>
        <v>2.1800000000000002</v>
      </c>
      <c r="H141" s="155"/>
      <c r="I141" s="155">
        <f t="shared" si="48"/>
        <v>0</v>
      </c>
      <c r="M141" s="26"/>
      <c r="N141" s="532"/>
      <c r="O141" s="653"/>
      <c r="P141" s="594"/>
      <c r="Q141" s="653"/>
      <c r="R141" s="653"/>
      <c r="S141" s="653"/>
      <c r="T141" s="653"/>
      <c r="U141" s="653"/>
      <c r="V141" s="653"/>
      <c r="W141" s="713"/>
      <c r="X141" s="704"/>
      <c r="Y141" s="713"/>
      <c r="Z141" s="713"/>
      <c r="AA141" s="704"/>
      <c r="AB141" s="704"/>
      <c r="AC141" s="653"/>
      <c r="AD141" s="674"/>
      <c r="AE141" s="713"/>
      <c r="AF141" s="713"/>
      <c r="AG141" s="713"/>
      <c r="AH141" s="713"/>
      <c r="AI141" s="713"/>
      <c r="AJ141" s="713"/>
      <c r="AK141" s="713"/>
      <c r="AL141" s="713"/>
    </row>
    <row r="142" spans="1:38">
      <c r="A142" s="917" t="s">
        <v>1894</v>
      </c>
      <c r="B142" s="918"/>
      <c r="C142" s="918"/>
      <c r="D142" s="918"/>
      <c r="E142" s="918"/>
      <c r="F142" s="926"/>
      <c r="G142" s="532">
        <f>SUM(G130:G141)</f>
        <v>300.26</v>
      </c>
      <c r="H142" s="653"/>
      <c r="I142" s="689">
        <f>SUM(I130:I141)</f>
        <v>0</v>
      </c>
      <c r="M142" s="53"/>
      <c r="N142" s="54"/>
      <c r="O142" s="53"/>
      <c r="P142" s="592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</row>
    <row r="143" spans="1:38">
      <c r="A143" s="53"/>
      <c r="B143" s="53"/>
      <c r="C143" s="53"/>
      <c r="D143" s="53"/>
      <c r="E143" s="53"/>
      <c r="F143" s="53"/>
      <c r="G143" s="54"/>
      <c r="H143" s="53"/>
      <c r="I143" s="688">
        <v>92452</v>
      </c>
      <c r="M143" s="654"/>
      <c r="N143" s="654"/>
      <c r="O143" s="75"/>
      <c r="P143" s="589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</row>
    <row r="144" spans="1:38">
      <c r="A144" s="920" t="s">
        <v>1833</v>
      </c>
      <c r="B144" s="921"/>
      <c r="C144" s="921"/>
      <c r="D144" s="921"/>
      <c r="E144" s="929"/>
      <c r="F144" s="654"/>
      <c r="G144" s="654"/>
      <c r="H144" s="75" t="s">
        <v>12</v>
      </c>
      <c r="I144" s="77" t="s">
        <v>368</v>
      </c>
      <c r="M144" s="93"/>
      <c r="N144" s="93"/>
      <c r="O144" s="77"/>
      <c r="P144" s="590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</row>
    <row r="145" spans="1:38" ht="45" customHeight="1">
      <c r="A145" s="77" t="s">
        <v>1917</v>
      </c>
      <c r="B145" s="668"/>
      <c r="C145" s="77" t="s">
        <v>3</v>
      </c>
      <c r="D145" s="77" t="s">
        <v>4</v>
      </c>
      <c r="E145" s="77" t="s">
        <v>1826</v>
      </c>
      <c r="F145" s="93" t="s">
        <v>3781</v>
      </c>
      <c r="G145" s="93" t="s">
        <v>3783</v>
      </c>
      <c r="H145" s="77" t="s">
        <v>367</v>
      </c>
      <c r="I145" s="26"/>
      <c r="M145" s="26"/>
      <c r="N145" s="26"/>
      <c r="O145" s="26"/>
      <c r="P145" s="595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5"/>
      <c r="AF145" s="25"/>
      <c r="AG145" s="25"/>
      <c r="AH145" s="25"/>
      <c r="AI145" s="25"/>
      <c r="AJ145" s="25"/>
      <c r="AK145" s="25"/>
      <c r="AL145" s="25"/>
    </row>
    <row r="146" spans="1:38" ht="45">
      <c r="A146" s="24" t="s">
        <v>3898</v>
      </c>
      <c r="B146" s="78" t="s">
        <v>399</v>
      </c>
      <c r="C146" s="25" t="s">
        <v>12</v>
      </c>
      <c r="D146" s="25" t="s">
        <v>381</v>
      </c>
      <c r="E146" s="218">
        <v>0.01</v>
      </c>
      <c r="F146" s="26">
        <f t="shared" ref="F146:F147" si="51">AVERAGE(M146:AL146)</f>
        <v>15.523</v>
      </c>
      <c r="G146" s="26">
        <f>ROUND(F146*E146,2)</f>
        <v>0.16</v>
      </c>
      <c r="H146" s="26"/>
      <c r="I146" s="26">
        <f t="shared" ref="I146:I155" si="52">ROUND(H146*E146,2)</f>
        <v>0</v>
      </c>
      <c r="M146" s="26"/>
      <c r="N146" s="26">
        <v>16.53</v>
      </c>
      <c r="O146" s="26"/>
      <c r="P146" s="595">
        <v>14.516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5"/>
      <c r="AF146" s="25"/>
      <c r="AG146" s="25"/>
      <c r="AH146" s="25"/>
      <c r="AI146" s="25"/>
      <c r="AJ146" s="25"/>
      <c r="AK146" s="25"/>
      <c r="AL146" s="25"/>
    </row>
    <row r="147" spans="1:38" ht="30">
      <c r="A147" s="24">
        <v>4491</v>
      </c>
      <c r="B147" s="78" t="s">
        <v>3900</v>
      </c>
      <c r="C147" s="25" t="s">
        <v>12</v>
      </c>
      <c r="D147" s="25" t="s">
        <v>52</v>
      </c>
      <c r="E147" s="218">
        <v>0.72599999999999998</v>
      </c>
      <c r="F147" s="26">
        <f t="shared" si="51"/>
        <v>6.72</v>
      </c>
      <c r="G147" s="26">
        <f t="shared" ref="G147:G154" si="53">ROUND(F147*E147,2)</f>
        <v>4.88</v>
      </c>
      <c r="H147" s="26"/>
      <c r="I147" s="26">
        <f t="shared" si="52"/>
        <v>0</v>
      </c>
      <c r="M147" s="26"/>
      <c r="N147" s="26"/>
      <c r="O147" s="26"/>
      <c r="P147" s="595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5"/>
      <c r="AF147" s="25"/>
      <c r="AG147" s="25"/>
      <c r="AH147" s="25"/>
      <c r="AI147" s="25"/>
      <c r="AJ147" s="25"/>
      <c r="AK147" s="25">
        <v>6.72</v>
      </c>
      <c r="AL147" s="25"/>
    </row>
    <row r="148" spans="1:38" ht="60">
      <c r="A148" s="727" t="s">
        <v>3901</v>
      </c>
      <c r="B148" s="728" t="s">
        <v>410</v>
      </c>
      <c r="C148" s="729" t="s">
        <v>12</v>
      </c>
      <c r="D148" s="729" t="s">
        <v>13</v>
      </c>
      <c r="E148" s="733">
        <v>1.1859999999999999</v>
      </c>
      <c r="F148" s="731">
        <v>4.75</v>
      </c>
      <c r="G148" s="731">
        <f t="shared" si="53"/>
        <v>5.63</v>
      </c>
      <c r="H148" s="26"/>
      <c r="I148" s="26">
        <f>ROUND(H148*E148,2)</f>
        <v>0</v>
      </c>
      <c r="M148" s="26"/>
      <c r="N148" s="26"/>
      <c r="O148" s="26"/>
      <c r="P148" s="595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5"/>
      <c r="AF148" s="25"/>
      <c r="AG148" s="25"/>
      <c r="AH148" s="25"/>
      <c r="AI148" s="25"/>
      <c r="AJ148" s="25"/>
      <c r="AK148" s="25"/>
      <c r="AL148" s="25"/>
    </row>
    <row r="149" spans="1:38" ht="60">
      <c r="A149" s="727" t="s">
        <v>3902</v>
      </c>
      <c r="B149" s="728" t="s">
        <v>3903</v>
      </c>
      <c r="C149" s="729" t="s">
        <v>12</v>
      </c>
      <c r="D149" s="729" t="s">
        <v>13</v>
      </c>
      <c r="E149" s="733">
        <v>0.35599999999999998</v>
      </c>
      <c r="F149" s="731">
        <v>10.38</v>
      </c>
      <c r="G149" s="731">
        <f>ROUND(F149*E149,2)</f>
        <v>3.7</v>
      </c>
      <c r="H149" s="26"/>
      <c r="I149" s="26">
        <f>ROUND(H149*E149,2)</f>
        <v>0</v>
      </c>
      <c r="M149" s="26"/>
      <c r="N149" s="26"/>
      <c r="O149" s="26"/>
      <c r="P149" s="595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5"/>
      <c r="AF149" s="25"/>
      <c r="AG149" s="25"/>
      <c r="AH149" s="25"/>
      <c r="AI149" s="25"/>
      <c r="AJ149" s="25"/>
      <c r="AK149" s="25"/>
      <c r="AL149" s="25"/>
    </row>
    <row r="150" spans="1:38" ht="45">
      <c r="A150" s="727" t="s">
        <v>3904</v>
      </c>
      <c r="B150" s="728" t="s">
        <v>3905</v>
      </c>
      <c r="C150" s="729" t="s">
        <v>12</v>
      </c>
      <c r="D150" s="729" t="s">
        <v>13</v>
      </c>
      <c r="E150" s="733">
        <v>0.47399999999999998</v>
      </c>
      <c r="F150" s="731">
        <v>2.59</v>
      </c>
      <c r="G150" s="731">
        <f>ROUND(F150*E150,2)</f>
        <v>1.23</v>
      </c>
      <c r="H150" s="26"/>
      <c r="I150" s="26">
        <f t="shared" si="52"/>
        <v>0</v>
      </c>
      <c r="M150" s="26"/>
      <c r="N150" s="26"/>
      <c r="O150" s="26"/>
      <c r="P150" s="595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5"/>
      <c r="AF150" s="25"/>
      <c r="AG150" s="25"/>
      <c r="AH150" s="25"/>
      <c r="AI150" s="25"/>
      <c r="AJ150" s="25"/>
      <c r="AK150" s="25"/>
      <c r="AL150" s="25"/>
    </row>
    <row r="151" spans="1:38" ht="30">
      <c r="A151" s="24" t="s">
        <v>3906</v>
      </c>
      <c r="B151" s="78" t="s">
        <v>400</v>
      </c>
      <c r="C151" s="25" t="s">
        <v>12</v>
      </c>
      <c r="D151" s="25" t="s">
        <v>45</v>
      </c>
      <c r="E151" s="218">
        <v>3.3000000000000002E-2</v>
      </c>
      <c r="F151" s="26">
        <f t="shared" ref="F151" si="54">AVERAGE(M151:AL151)</f>
        <v>35.839999999999996</v>
      </c>
      <c r="G151" s="26">
        <f>ROUND(F151*E151,2)</f>
        <v>1.18</v>
      </c>
      <c r="H151" s="26"/>
      <c r="I151" s="26">
        <f t="shared" si="52"/>
        <v>0</v>
      </c>
      <c r="M151" s="26"/>
      <c r="N151" s="26"/>
      <c r="O151" s="26"/>
      <c r="P151" s="595"/>
      <c r="Q151" s="26"/>
      <c r="R151" s="26"/>
      <c r="S151" s="26"/>
      <c r="T151" s="26"/>
      <c r="U151" s="26"/>
      <c r="V151" s="26"/>
      <c r="W151" s="26"/>
      <c r="X151" s="26">
        <v>38.4</v>
      </c>
      <c r="Y151" s="26"/>
      <c r="Z151" s="26"/>
      <c r="AA151" s="26">
        <v>35.39</v>
      </c>
      <c r="AB151" s="26">
        <v>31.8</v>
      </c>
      <c r="AC151" s="26">
        <v>37.770000000000003</v>
      </c>
      <c r="AD151" s="26"/>
      <c r="AE151" s="25"/>
      <c r="AF151" s="25"/>
      <c r="AG151" s="25"/>
      <c r="AH151" s="25"/>
      <c r="AI151" s="25"/>
      <c r="AJ151" s="25"/>
      <c r="AK151" s="25"/>
      <c r="AL151" s="25"/>
    </row>
    <row r="152" spans="1:38" ht="30">
      <c r="A152" s="727" t="s">
        <v>3907</v>
      </c>
      <c r="B152" s="728" t="s">
        <v>3908</v>
      </c>
      <c r="C152" s="729" t="s">
        <v>12</v>
      </c>
      <c r="D152" s="729" t="s">
        <v>13</v>
      </c>
      <c r="E152" s="733">
        <v>1.1859999999999999</v>
      </c>
      <c r="F152" s="731">
        <v>2.59</v>
      </c>
      <c r="G152" s="731">
        <f t="shared" si="53"/>
        <v>3.07</v>
      </c>
      <c r="H152" s="26"/>
      <c r="I152" s="26">
        <f t="shared" si="52"/>
        <v>0</v>
      </c>
      <c r="M152" s="26"/>
      <c r="N152" s="26"/>
      <c r="O152" s="26"/>
      <c r="P152" s="595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5"/>
      <c r="AF152" s="25"/>
      <c r="AG152" s="25"/>
      <c r="AH152" s="25"/>
      <c r="AI152" s="25"/>
      <c r="AJ152" s="25"/>
      <c r="AK152" s="25"/>
      <c r="AL152" s="25"/>
    </row>
    <row r="153" spans="1:38" ht="30">
      <c r="A153" s="503" t="s">
        <v>3909</v>
      </c>
      <c r="B153" s="628" t="s">
        <v>393</v>
      </c>
      <c r="C153" s="504" t="s">
        <v>12</v>
      </c>
      <c r="D153" s="504" t="s">
        <v>19</v>
      </c>
      <c r="E153" s="632">
        <v>0.32400000000000001</v>
      </c>
      <c r="F153" s="505">
        <f>14.85*0.85*'PLANILHA ORÇA - CORREGEDORIA'!$BH$19</f>
        <v>14.061570582594101</v>
      </c>
      <c r="G153" s="505">
        <f t="shared" si="53"/>
        <v>4.5599999999999996</v>
      </c>
      <c r="H153" s="26"/>
      <c r="I153" s="26">
        <f t="shared" si="52"/>
        <v>0</v>
      </c>
      <c r="M153" s="26"/>
      <c r="N153" s="26"/>
      <c r="O153" s="26"/>
      <c r="P153" s="595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5"/>
      <c r="AF153" s="25"/>
      <c r="AG153" s="25"/>
      <c r="AH153" s="25"/>
      <c r="AI153" s="25"/>
      <c r="AJ153" s="25"/>
      <c r="AK153" s="25"/>
      <c r="AL153" s="25"/>
    </row>
    <row r="154" spans="1:38" ht="30">
      <c r="A154" s="503" t="s">
        <v>3910</v>
      </c>
      <c r="B154" s="628" t="s">
        <v>376</v>
      </c>
      <c r="C154" s="504" t="s">
        <v>12</v>
      </c>
      <c r="D154" s="504" t="s">
        <v>19</v>
      </c>
      <c r="E154" s="632">
        <v>1.7689999999999999</v>
      </c>
      <c r="F154" s="505">
        <f>17.6*0.85*'PLANILHA ORÇA - CORREGEDORIA'!$BH$19</f>
        <v>16.665565134926347</v>
      </c>
      <c r="G154" s="505">
        <f t="shared" si="53"/>
        <v>29.48</v>
      </c>
      <c r="H154" s="26"/>
      <c r="I154" s="26">
        <f t="shared" si="52"/>
        <v>0</v>
      </c>
      <c r="M154" s="26"/>
      <c r="N154" s="26"/>
      <c r="O154" s="26"/>
      <c r="P154" s="595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5"/>
      <c r="AF154" s="25"/>
      <c r="AG154" s="25"/>
      <c r="AH154" s="25"/>
      <c r="AI154" s="25"/>
      <c r="AJ154" s="25"/>
      <c r="AK154" s="25"/>
      <c r="AL154" s="25"/>
    </row>
    <row r="155" spans="1:38" s="34" customFormat="1" ht="15" customHeight="1">
      <c r="A155" s="475" t="s">
        <v>4002</v>
      </c>
      <c r="B155" s="661" t="s">
        <v>3911</v>
      </c>
      <c r="C155" s="472" t="s">
        <v>12</v>
      </c>
      <c r="D155" s="472" t="s">
        <v>26</v>
      </c>
      <c r="E155" s="686">
        <v>0.621</v>
      </c>
      <c r="F155" s="473"/>
      <c r="G155" s="473">
        <f>ROUND(F155*E155,2)</f>
        <v>0</v>
      </c>
      <c r="H155" s="473"/>
      <c r="I155" s="473">
        <f t="shared" si="52"/>
        <v>0</v>
      </c>
      <c r="J155" s="378"/>
      <c r="L155" s="378"/>
      <c r="M155" s="473"/>
      <c r="N155" s="662"/>
      <c r="O155" s="687"/>
      <c r="P155" s="687"/>
      <c r="Q155" s="687"/>
      <c r="R155" s="687"/>
      <c r="S155" s="687"/>
      <c r="T155" s="687"/>
      <c r="U155" s="687"/>
      <c r="V155" s="687"/>
      <c r="W155" s="687"/>
      <c r="X155" s="687"/>
      <c r="Y155" s="687"/>
      <c r="Z155" s="687"/>
      <c r="AA155" s="687"/>
      <c r="AB155" s="687"/>
      <c r="AC155" s="687"/>
      <c r="AD155" s="687"/>
      <c r="AE155" s="687"/>
      <c r="AF155" s="687"/>
      <c r="AG155" s="687"/>
      <c r="AH155" s="687"/>
      <c r="AI155" s="687"/>
      <c r="AJ155" s="687"/>
      <c r="AK155" s="687"/>
      <c r="AL155" s="687"/>
    </row>
    <row r="156" spans="1:38" ht="15" customHeight="1">
      <c r="A156" s="25" t="s">
        <v>3989</v>
      </c>
      <c r="B156" s="25" t="s">
        <v>3990</v>
      </c>
      <c r="D156" s="25" t="s">
        <v>26</v>
      </c>
      <c r="E156" s="218" t="s">
        <v>3991</v>
      </c>
      <c r="F156" s="26">
        <f t="shared" ref="F156:F158" si="55">AVERAGE(M156:AL156)</f>
        <v>55.79</v>
      </c>
      <c r="G156" s="26">
        <f>ROUND(F156*E156*$E$155,2)</f>
        <v>39.700000000000003</v>
      </c>
      <c r="H156" s="26"/>
      <c r="I156" s="26">
        <f>ROUND(H156*E156*$E$155,2)</f>
        <v>0</v>
      </c>
      <c r="M156" s="26"/>
      <c r="N156" s="79"/>
      <c r="O156" s="653"/>
      <c r="P156" s="594"/>
      <c r="Q156" s="653"/>
      <c r="R156" s="653"/>
      <c r="S156" s="653"/>
      <c r="T156" s="653"/>
      <c r="U156" s="653"/>
      <c r="V156" s="653">
        <v>55.79</v>
      </c>
      <c r="W156" s="713"/>
      <c r="X156" s="704"/>
      <c r="Y156" s="713"/>
      <c r="Z156" s="713"/>
      <c r="AA156" s="704"/>
      <c r="AB156" s="704"/>
      <c r="AC156" s="653"/>
      <c r="AD156" s="674"/>
      <c r="AE156" s="713"/>
      <c r="AF156" s="713"/>
      <c r="AG156" s="713"/>
      <c r="AH156" s="713"/>
      <c r="AI156" s="713"/>
      <c r="AJ156" s="713"/>
      <c r="AK156" s="713"/>
      <c r="AL156" s="713"/>
    </row>
    <row r="157" spans="1:38" ht="15" customHeight="1">
      <c r="A157" s="25" t="s">
        <v>3899</v>
      </c>
      <c r="B157" s="25" t="s">
        <v>3900</v>
      </c>
      <c r="D157" s="25" t="s">
        <v>52</v>
      </c>
      <c r="E157" s="218" t="s">
        <v>3992</v>
      </c>
      <c r="F157" s="26">
        <f t="shared" si="55"/>
        <v>6.72</v>
      </c>
      <c r="G157" s="26">
        <f>ROUND(F157*E157*$E$155,2)</f>
        <v>0.69</v>
      </c>
      <c r="H157" s="26"/>
      <c r="I157" s="26">
        <f>ROUND(H157*E157*$E$155,2)</f>
        <v>0</v>
      </c>
      <c r="M157" s="26"/>
      <c r="N157" s="79"/>
      <c r="O157" s="653"/>
      <c r="P157" s="594"/>
      <c r="Q157" s="653"/>
      <c r="R157" s="653"/>
      <c r="S157" s="653"/>
      <c r="T157" s="653"/>
      <c r="U157" s="653"/>
      <c r="V157" s="653"/>
      <c r="W157" s="713"/>
      <c r="X157" s="704"/>
      <c r="Y157" s="713"/>
      <c r="Z157" s="713"/>
      <c r="AA157" s="704"/>
      <c r="AB157" s="704"/>
      <c r="AC157" s="653"/>
      <c r="AD157" s="674"/>
      <c r="AE157" s="713"/>
      <c r="AF157" s="713"/>
      <c r="AG157" s="713"/>
      <c r="AH157" s="713"/>
      <c r="AI157" s="713"/>
      <c r="AJ157" s="713"/>
      <c r="AK157" s="713"/>
      <c r="AL157" s="713">
        <v>6.72</v>
      </c>
    </row>
    <row r="158" spans="1:38" ht="15" customHeight="1">
      <c r="A158" s="25" t="s">
        <v>3975</v>
      </c>
      <c r="B158" s="25" t="s">
        <v>3976</v>
      </c>
      <c r="D158" s="25" t="s">
        <v>52</v>
      </c>
      <c r="E158" s="218" t="s">
        <v>3993</v>
      </c>
      <c r="F158" s="26">
        <f t="shared" si="55"/>
        <v>3</v>
      </c>
      <c r="G158" s="26">
        <f>ROUND(F158*E158*$E$155,2)</f>
        <v>12.95</v>
      </c>
      <c r="H158" s="26"/>
      <c r="I158" s="26">
        <f t="shared" ref="I158:I161" si="56">ROUND(H158*E158*$E$155,2)</f>
        <v>0</v>
      </c>
      <c r="M158" s="26"/>
      <c r="N158" s="79"/>
      <c r="O158" s="653"/>
      <c r="P158" s="594"/>
      <c r="Q158" s="653"/>
      <c r="R158" s="653"/>
      <c r="S158" s="653"/>
      <c r="T158" s="653"/>
      <c r="U158" s="653"/>
      <c r="V158" s="653">
        <v>3</v>
      </c>
      <c r="W158" s="713"/>
      <c r="X158" s="704"/>
      <c r="Y158" s="713"/>
      <c r="Z158" s="713"/>
      <c r="AA158" s="704"/>
      <c r="AB158" s="704"/>
      <c r="AC158" s="653"/>
      <c r="AD158" s="674"/>
      <c r="AE158" s="713"/>
      <c r="AF158" s="713"/>
      <c r="AG158" s="713"/>
      <c r="AH158" s="713"/>
      <c r="AI158" s="713"/>
      <c r="AJ158" s="713"/>
      <c r="AK158" s="713"/>
      <c r="AL158" s="713"/>
    </row>
    <row r="159" spans="1:38" ht="15" customHeight="1">
      <c r="A159" s="729" t="s">
        <v>3978</v>
      </c>
      <c r="B159" s="729" t="s">
        <v>3979</v>
      </c>
      <c r="C159" s="283"/>
      <c r="D159" s="729" t="s">
        <v>45</v>
      </c>
      <c r="E159" s="733" t="s">
        <v>3994</v>
      </c>
      <c r="F159" s="731">
        <v>22.34</v>
      </c>
      <c r="G159" s="731">
        <f>ROUND(F159*E159*$E$155,2)</f>
        <v>2.21</v>
      </c>
      <c r="H159" s="26"/>
      <c r="I159" s="26">
        <f>ROUND(H159*E159*$E$155,2)</f>
        <v>0</v>
      </c>
      <c r="M159" s="26"/>
      <c r="N159" s="79"/>
      <c r="O159" s="653"/>
      <c r="P159" s="594"/>
      <c r="Q159" s="653"/>
      <c r="R159" s="653"/>
      <c r="S159" s="653"/>
      <c r="T159" s="653"/>
      <c r="U159" s="653"/>
      <c r="V159" s="653"/>
      <c r="W159" s="713"/>
      <c r="X159" s="704"/>
      <c r="Y159" s="713"/>
      <c r="Z159" s="713"/>
      <c r="AA159" s="704"/>
      <c r="AB159" s="704"/>
      <c r="AC159" s="653"/>
      <c r="AD159" s="674"/>
      <c r="AE159" s="713"/>
      <c r="AF159" s="713"/>
      <c r="AG159" s="713"/>
      <c r="AH159" s="713"/>
      <c r="AI159" s="713"/>
      <c r="AJ159" s="713"/>
      <c r="AK159" s="713"/>
      <c r="AL159" s="713"/>
    </row>
    <row r="160" spans="1:38" ht="15" customHeight="1">
      <c r="A160" s="504" t="s">
        <v>3909</v>
      </c>
      <c r="B160" s="504" t="s">
        <v>393</v>
      </c>
      <c r="C160" s="28"/>
      <c r="D160" s="504" t="s">
        <v>19</v>
      </c>
      <c r="E160" s="632" t="s">
        <v>3995</v>
      </c>
      <c r="F160" s="505">
        <f>14.85*0.85*'PLANILHA ORÇA - CORREGEDORIA'!$BH$19</f>
        <v>14.061570582594101</v>
      </c>
      <c r="G160" s="505">
        <f t="shared" ref="G160:G161" si="57">ROUND(F160*E160*$E$155,2)</f>
        <v>1.76</v>
      </c>
      <c r="H160" s="26"/>
      <c r="I160" s="26">
        <f>ROUND(H160*E160*$E$155,2)</f>
        <v>0</v>
      </c>
      <c r="M160" s="26"/>
      <c r="N160" s="79"/>
      <c r="O160" s="653"/>
      <c r="P160" s="594"/>
      <c r="Q160" s="653"/>
      <c r="R160" s="653"/>
      <c r="S160" s="653"/>
      <c r="T160" s="653"/>
      <c r="U160" s="653"/>
      <c r="V160" s="653"/>
      <c r="W160" s="713"/>
      <c r="X160" s="704"/>
      <c r="Y160" s="713"/>
      <c r="Z160" s="713"/>
      <c r="AA160" s="704"/>
      <c r="AB160" s="704"/>
      <c r="AC160" s="653"/>
      <c r="AD160" s="674"/>
      <c r="AE160" s="713"/>
      <c r="AF160" s="713"/>
      <c r="AG160" s="713"/>
      <c r="AH160" s="713"/>
      <c r="AI160" s="713"/>
      <c r="AJ160" s="713"/>
      <c r="AK160" s="713"/>
      <c r="AL160" s="713"/>
    </row>
    <row r="161" spans="1:38" ht="15" customHeight="1">
      <c r="A161" s="504" t="s">
        <v>3910</v>
      </c>
      <c r="B161" s="504" t="s">
        <v>376</v>
      </c>
      <c r="C161" s="28"/>
      <c r="D161" s="504" t="s">
        <v>19</v>
      </c>
      <c r="E161" s="632" t="s">
        <v>3996</v>
      </c>
      <c r="F161" s="505">
        <f>17.6*0.85*'PLANILHA ORÇA - CORREGEDORIA'!$BH$19</f>
        <v>16.665565134926347</v>
      </c>
      <c r="G161" s="505">
        <f t="shared" si="57"/>
        <v>10.47</v>
      </c>
      <c r="H161" s="26"/>
      <c r="I161" s="26">
        <f t="shared" si="56"/>
        <v>0</v>
      </c>
      <c r="M161" s="26"/>
      <c r="N161" s="79"/>
      <c r="O161" s="653"/>
      <c r="P161" s="594"/>
      <c r="Q161" s="653"/>
      <c r="R161" s="653"/>
      <c r="S161" s="653"/>
      <c r="T161" s="653"/>
      <c r="U161" s="653"/>
      <c r="V161" s="653"/>
      <c r="W161" s="713"/>
      <c r="X161" s="704"/>
      <c r="Y161" s="713"/>
      <c r="Z161" s="713"/>
      <c r="AA161" s="704"/>
      <c r="AB161" s="704"/>
      <c r="AC161" s="653"/>
      <c r="AD161" s="674"/>
      <c r="AE161" s="713"/>
      <c r="AF161" s="713"/>
      <c r="AG161" s="713"/>
      <c r="AH161" s="713"/>
      <c r="AI161" s="713"/>
      <c r="AJ161" s="713"/>
      <c r="AK161" s="713"/>
      <c r="AL161" s="713"/>
    </row>
    <row r="162" spans="1:38" ht="15" customHeight="1">
      <c r="A162" s="729" t="s">
        <v>3931</v>
      </c>
      <c r="B162" s="729" t="s">
        <v>3932</v>
      </c>
      <c r="C162" s="283"/>
      <c r="D162" s="729" t="s">
        <v>388</v>
      </c>
      <c r="E162" s="733" t="s">
        <v>3986</v>
      </c>
      <c r="F162" s="731">
        <v>24.45</v>
      </c>
      <c r="G162" s="731">
        <f>ROUND(F162*E162*$E$155,2)</f>
        <v>0.76</v>
      </c>
      <c r="H162" s="26"/>
      <c r="I162" s="26">
        <f>ROUND(H162*E162*$E$155,2)</f>
        <v>0</v>
      </c>
      <c r="M162" s="26"/>
      <c r="N162" s="79"/>
      <c r="O162" s="653"/>
      <c r="P162" s="594"/>
      <c r="Q162" s="653"/>
      <c r="R162" s="653"/>
      <c r="S162" s="653"/>
      <c r="T162" s="653"/>
      <c r="U162" s="653"/>
      <c r="V162" s="653"/>
      <c r="W162" s="713"/>
      <c r="X162" s="704"/>
      <c r="Y162" s="713"/>
      <c r="Z162" s="713"/>
      <c r="AA162" s="704"/>
      <c r="AB162" s="704"/>
      <c r="AC162" s="653"/>
      <c r="AD162" s="674"/>
      <c r="AE162" s="713"/>
      <c r="AF162" s="713"/>
      <c r="AG162" s="713"/>
      <c r="AH162" s="713"/>
      <c r="AI162" s="713"/>
      <c r="AJ162" s="713"/>
      <c r="AK162" s="713"/>
      <c r="AL162" s="713"/>
    </row>
    <row r="163" spans="1:38" ht="15" customHeight="1">
      <c r="A163" s="729" t="s">
        <v>3933</v>
      </c>
      <c r="B163" s="729" t="s">
        <v>3934</v>
      </c>
      <c r="C163" s="283"/>
      <c r="D163" s="729" t="s">
        <v>389</v>
      </c>
      <c r="E163" s="733" t="s">
        <v>3997</v>
      </c>
      <c r="F163" s="731">
        <v>23.01</v>
      </c>
      <c r="G163" s="731">
        <f t="shared" ref="G163" si="58">ROUND(F163*E163*$E$155,2)</f>
        <v>2.17</v>
      </c>
      <c r="H163" s="26"/>
      <c r="I163" s="26">
        <f>ROUND(H163*E163*$E$155,2)</f>
        <v>0</v>
      </c>
      <c r="M163" s="26"/>
      <c r="N163" s="79"/>
      <c r="O163" s="653"/>
      <c r="P163" s="594"/>
      <c r="Q163" s="653"/>
      <c r="R163" s="653"/>
      <c r="S163" s="653"/>
      <c r="T163" s="653"/>
      <c r="U163" s="653"/>
      <c r="V163" s="653"/>
      <c r="W163" s="713"/>
      <c r="X163" s="704"/>
      <c r="Y163" s="713"/>
      <c r="Z163" s="713"/>
      <c r="AA163" s="704"/>
      <c r="AB163" s="704"/>
      <c r="AC163" s="653"/>
      <c r="AD163" s="674"/>
      <c r="AE163" s="713"/>
      <c r="AF163" s="713"/>
      <c r="AG163" s="713"/>
      <c r="AH163" s="713"/>
      <c r="AI163" s="713"/>
      <c r="AJ163" s="713"/>
      <c r="AK163" s="713"/>
      <c r="AL163" s="713"/>
    </row>
    <row r="164" spans="1:38" ht="32.25" customHeight="1">
      <c r="A164" s="917" t="s">
        <v>1894</v>
      </c>
      <c r="B164" s="918"/>
      <c r="C164" s="918"/>
      <c r="D164" s="918"/>
      <c r="E164" s="918"/>
      <c r="F164" s="919"/>
      <c r="G164" s="79">
        <f>SUM(G146:G163)</f>
        <v>124.60000000000001</v>
      </c>
      <c r="H164" s="518"/>
      <c r="I164" s="79">
        <f>SUM(I146:I163)</f>
        <v>0</v>
      </c>
      <c r="M164" s="53"/>
      <c r="N164" s="54"/>
      <c r="O164" s="53"/>
      <c r="P164" s="592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</row>
    <row r="165" spans="1:38" ht="52.5" customHeight="1">
      <c r="A165" s="53"/>
      <c r="B165" s="53"/>
      <c r="C165" s="53"/>
      <c r="D165" s="53"/>
      <c r="E165" s="53"/>
      <c r="F165" s="53"/>
      <c r="G165" s="54"/>
      <c r="H165" s="53"/>
      <c r="I165" s="82">
        <v>92773</v>
      </c>
      <c r="M165" s="537"/>
      <c r="N165" s="537"/>
      <c r="O165" s="75"/>
      <c r="P165" s="589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</row>
    <row r="166" spans="1:38">
      <c r="A166" s="920" t="s">
        <v>1560</v>
      </c>
      <c r="B166" s="921"/>
      <c r="C166" s="921"/>
      <c r="D166" s="921"/>
      <c r="E166" s="929"/>
      <c r="F166" s="517"/>
      <c r="G166" s="517"/>
      <c r="H166" s="75" t="s">
        <v>12</v>
      </c>
      <c r="I166" s="77" t="s">
        <v>368</v>
      </c>
      <c r="M166" s="93"/>
      <c r="N166" s="93"/>
      <c r="O166" s="77"/>
      <c r="P166" s="590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</row>
    <row r="167" spans="1:38" ht="45" customHeight="1">
      <c r="A167" s="77" t="s">
        <v>1917</v>
      </c>
      <c r="B167" s="668"/>
      <c r="C167" s="77" t="s">
        <v>3</v>
      </c>
      <c r="D167" s="77" t="s">
        <v>4</v>
      </c>
      <c r="E167" s="77" t="s">
        <v>1826</v>
      </c>
      <c r="F167" s="93" t="s">
        <v>3781</v>
      </c>
      <c r="G167" s="93" t="s">
        <v>3783</v>
      </c>
      <c r="H167" s="77" t="s">
        <v>367</v>
      </c>
      <c r="I167" s="26" t="e">
        <f>ROUND(H167*E167,2)</f>
        <v>#VALUE!</v>
      </c>
      <c r="M167" s="26"/>
      <c r="N167" s="26"/>
      <c r="O167" s="26"/>
      <c r="P167" s="595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5"/>
      <c r="AF167" s="25"/>
      <c r="AG167" s="25"/>
      <c r="AH167" s="25"/>
      <c r="AI167" s="25"/>
      <c r="AJ167" s="25"/>
      <c r="AK167" s="25"/>
      <c r="AL167" s="25"/>
    </row>
    <row r="168" spans="1:38" ht="30">
      <c r="A168" s="24" t="s">
        <v>3912</v>
      </c>
      <c r="B168" s="78" t="s">
        <v>3913</v>
      </c>
      <c r="C168" s="25" t="s">
        <v>12</v>
      </c>
      <c r="D168" s="25" t="s">
        <v>45</v>
      </c>
      <c r="E168" s="218">
        <v>2.5000000000000001E-2</v>
      </c>
      <c r="F168" s="26">
        <f t="shared" ref="F168" si="59">AVERAGE(M168:AL168)</f>
        <v>18.399999999999999</v>
      </c>
      <c r="G168" s="26">
        <f>ROUND(F168*E168,2)</f>
        <v>0.46</v>
      </c>
      <c r="H168" s="26">
        <f>J167</f>
        <v>0</v>
      </c>
      <c r="I168" s="26">
        <f t="shared" ref="I168:I171" si="60">ROUND(H168*E168,2)</f>
        <v>0</v>
      </c>
      <c r="M168" s="26"/>
      <c r="N168" s="26"/>
      <c r="O168" s="26"/>
      <c r="P168" s="595"/>
      <c r="Q168" s="26"/>
      <c r="R168" s="26"/>
      <c r="S168" s="26"/>
      <c r="T168" s="26">
        <v>17.100000000000001</v>
      </c>
      <c r="U168" s="26">
        <v>19.7</v>
      </c>
      <c r="V168" s="26"/>
      <c r="W168" s="26"/>
      <c r="X168" s="26"/>
      <c r="Y168" s="26"/>
      <c r="Z168" s="26"/>
      <c r="AA168" s="26"/>
      <c r="AB168" s="26"/>
      <c r="AC168" s="26"/>
      <c r="AD168" s="26"/>
      <c r="AE168" s="25"/>
      <c r="AF168" s="25"/>
      <c r="AG168" s="25"/>
      <c r="AH168" s="25"/>
      <c r="AI168" s="25"/>
      <c r="AJ168" s="25"/>
      <c r="AK168" s="25"/>
      <c r="AL168" s="25"/>
    </row>
    <row r="169" spans="1:38" ht="30">
      <c r="A169" s="503" t="s">
        <v>3914</v>
      </c>
      <c r="B169" s="628" t="s">
        <v>394</v>
      </c>
      <c r="C169" s="504" t="s">
        <v>12</v>
      </c>
      <c r="D169" s="504" t="s">
        <v>19</v>
      </c>
      <c r="E169" s="632">
        <v>2.5999999999999999E-3</v>
      </c>
      <c r="F169" s="505">
        <f>13.77*0.85*'PLANILHA ORÇA - CORREGEDORIA'!$BH$19</f>
        <v>13.038910903859986</v>
      </c>
      <c r="G169" s="505">
        <f t="shared" ref="G169:G171" si="61">ROUND(F169*E169,2)</f>
        <v>0.03</v>
      </c>
      <c r="H169" s="26">
        <f>J168</f>
        <v>0</v>
      </c>
      <c r="I169" s="26">
        <f t="shared" si="60"/>
        <v>0</v>
      </c>
      <c r="M169" s="26"/>
      <c r="N169" s="26"/>
      <c r="O169" s="26"/>
      <c r="P169" s="595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5"/>
      <c r="AF169" s="25"/>
      <c r="AG169" s="25"/>
      <c r="AH169" s="25"/>
      <c r="AI169" s="25"/>
      <c r="AJ169" s="25"/>
      <c r="AK169" s="25"/>
      <c r="AL169" s="25"/>
    </row>
    <row r="170" spans="1:38">
      <c r="A170" s="503" t="s">
        <v>3915</v>
      </c>
      <c r="B170" s="628" t="s">
        <v>395</v>
      </c>
      <c r="C170" s="504" t="s">
        <v>12</v>
      </c>
      <c r="D170" s="504" t="s">
        <v>19</v>
      </c>
      <c r="E170" s="632">
        <v>1.5800000000000002E-2</v>
      </c>
      <c r="F170" s="505">
        <f>17.7*0.85*'PLANILHA ORÇA - CORREGEDORIA'!$BH$19</f>
        <v>16.760255845920241</v>
      </c>
      <c r="G170" s="505">
        <f t="shared" si="61"/>
        <v>0.26</v>
      </c>
      <c r="H170" s="26">
        <f>J169</f>
        <v>0</v>
      </c>
      <c r="I170" s="26">
        <f t="shared" si="60"/>
        <v>0</v>
      </c>
      <c r="M170" s="26"/>
      <c r="N170" s="26"/>
      <c r="O170" s="26"/>
      <c r="P170" s="595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5"/>
      <c r="AF170" s="25"/>
      <c r="AG170" s="25"/>
      <c r="AH170" s="25"/>
      <c r="AI170" s="25"/>
      <c r="AJ170" s="25"/>
      <c r="AK170" s="25"/>
      <c r="AL170" s="25"/>
    </row>
    <row r="171" spans="1:38" s="34" customFormat="1" ht="15" customHeight="1">
      <c r="A171" s="475" t="s">
        <v>3971</v>
      </c>
      <c r="B171" s="661" t="s">
        <v>3916</v>
      </c>
      <c r="C171" s="472" t="s">
        <v>12</v>
      </c>
      <c r="D171" s="472" t="s">
        <v>45</v>
      </c>
      <c r="E171" s="690">
        <v>1</v>
      </c>
      <c r="F171" s="473"/>
      <c r="G171" s="473">
        <f t="shared" si="61"/>
        <v>0</v>
      </c>
      <c r="H171" s="473">
        <f t="shared" ref="H171:H173" si="62">J170</f>
        <v>0</v>
      </c>
      <c r="I171" s="473">
        <f t="shared" si="60"/>
        <v>0</v>
      </c>
      <c r="J171" s="378"/>
      <c r="L171" s="378"/>
      <c r="M171" s="473"/>
      <c r="N171" s="473"/>
      <c r="O171" s="473"/>
      <c r="P171" s="473"/>
      <c r="Q171" s="473"/>
      <c r="R171" s="473"/>
      <c r="S171" s="473"/>
      <c r="T171" s="473"/>
      <c r="U171" s="473"/>
      <c r="V171" s="473"/>
      <c r="W171" s="473"/>
      <c r="X171" s="473"/>
      <c r="Y171" s="473"/>
      <c r="Z171" s="473"/>
      <c r="AA171" s="473"/>
      <c r="AB171" s="473"/>
      <c r="AC171" s="473"/>
      <c r="AD171" s="473"/>
      <c r="AE171" s="472"/>
      <c r="AF171" s="472"/>
      <c r="AG171" s="472"/>
      <c r="AH171" s="472"/>
      <c r="AI171" s="472"/>
      <c r="AJ171" s="472"/>
      <c r="AK171" s="472"/>
      <c r="AL171" s="472"/>
    </row>
    <row r="172" spans="1:38" ht="15" customHeight="1">
      <c r="A172" s="24" t="s">
        <v>3946</v>
      </c>
      <c r="B172" s="78" t="s">
        <v>3947</v>
      </c>
      <c r="C172" s="25" t="s">
        <v>12</v>
      </c>
      <c r="D172" s="25" t="s">
        <v>45</v>
      </c>
      <c r="E172" s="25" t="s">
        <v>3948</v>
      </c>
      <c r="F172" s="26">
        <f t="shared" ref="F172" si="63">AVERAGE(M172:AL172)</f>
        <v>8.2896666666666672</v>
      </c>
      <c r="G172" s="26">
        <f>ROUND(F172*E172*$E$171,2)</f>
        <v>9.1999999999999993</v>
      </c>
      <c r="H172" s="26">
        <f t="shared" si="62"/>
        <v>0</v>
      </c>
      <c r="I172" s="26">
        <f>ROUND(H172*E172*$E$171,2)</f>
        <v>0</v>
      </c>
      <c r="M172" s="26"/>
      <c r="N172" s="26"/>
      <c r="O172" s="26"/>
      <c r="P172" s="595"/>
      <c r="Q172" s="26"/>
      <c r="R172" s="26"/>
      <c r="S172" s="26"/>
      <c r="T172" s="26">
        <v>8.2690000000000001</v>
      </c>
      <c r="U172" s="26">
        <v>8.3000000000000007</v>
      </c>
      <c r="V172" s="26">
        <v>8.3000000000000007</v>
      </c>
      <c r="W172" s="26"/>
      <c r="X172" s="26"/>
      <c r="Y172" s="26"/>
      <c r="Z172" s="26"/>
      <c r="AA172" s="26"/>
      <c r="AB172" s="26"/>
      <c r="AC172" s="26"/>
      <c r="AD172" s="26"/>
      <c r="AE172" s="25"/>
      <c r="AF172" s="25"/>
      <c r="AG172" s="25"/>
      <c r="AH172" s="25"/>
      <c r="AI172" s="25"/>
      <c r="AJ172" s="25"/>
      <c r="AK172" s="25"/>
      <c r="AL172" s="25"/>
    </row>
    <row r="173" spans="1:38" ht="15" customHeight="1">
      <c r="A173" s="503" t="s">
        <v>3915</v>
      </c>
      <c r="B173" s="628" t="s">
        <v>395</v>
      </c>
      <c r="C173" s="504" t="s">
        <v>12</v>
      </c>
      <c r="D173" s="504" t="s">
        <v>19</v>
      </c>
      <c r="E173" s="504" t="s">
        <v>3970</v>
      </c>
      <c r="F173" s="505">
        <f>17.7*0.85*'PLANILHA ORÇA - CORREGEDORIA'!$BH$19</f>
        <v>16.760255845920241</v>
      </c>
      <c r="G173" s="505">
        <f>ROUND(F173*E173*$E$171,2)</f>
        <v>0.04</v>
      </c>
      <c r="H173" s="26">
        <f t="shared" si="62"/>
        <v>0</v>
      </c>
      <c r="I173" s="26">
        <f>ROUND(H173*E173*$E$171,2)</f>
        <v>0</v>
      </c>
      <c r="M173" s="26"/>
      <c r="N173" s="26"/>
      <c r="O173" s="26"/>
      <c r="P173" s="595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5"/>
      <c r="AF173" s="25"/>
      <c r="AG173" s="25"/>
      <c r="AH173" s="25"/>
      <c r="AI173" s="25"/>
      <c r="AJ173" s="25"/>
      <c r="AK173" s="25"/>
      <c r="AL173" s="25"/>
    </row>
    <row r="174" spans="1:38" ht="32.25" customHeight="1">
      <c r="A174" s="917" t="s">
        <v>1894</v>
      </c>
      <c r="B174" s="918"/>
      <c r="C174" s="918"/>
      <c r="D174" s="918"/>
      <c r="E174" s="918"/>
      <c r="F174" s="926"/>
      <c r="G174" s="79">
        <f>SUM(G168:G173)</f>
        <v>9.9899999999999984</v>
      </c>
      <c r="H174" s="518"/>
      <c r="I174" s="79">
        <f>SUM(I168:I173)</f>
        <v>0</v>
      </c>
      <c r="M174" s="53"/>
      <c r="N174" s="54"/>
      <c r="O174" s="53"/>
      <c r="P174" s="592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</row>
    <row r="175" spans="1:38" ht="53.25" customHeight="1">
      <c r="A175" s="53"/>
      <c r="B175" s="53"/>
      <c r="C175" s="53"/>
      <c r="D175" s="53"/>
      <c r="E175" s="53"/>
      <c r="F175" s="53"/>
      <c r="G175" s="54"/>
      <c r="H175" s="53"/>
      <c r="I175" s="82">
        <v>92774</v>
      </c>
      <c r="M175" s="537"/>
      <c r="N175" s="537"/>
      <c r="O175" s="75"/>
      <c r="P175" s="589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</row>
    <row r="176" spans="1:38">
      <c r="A176" s="920" t="s">
        <v>1561</v>
      </c>
      <c r="B176" s="921"/>
      <c r="C176" s="921"/>
      <c r="D176" s="921"/>
      <c r="E176" s="929"/>
      <c r="F176" s="517"/>
      <c r="G176" s="517"/>
      <c r="H176" s="75" t="s">
        <v>12</v>
      </c>
      <c r="I176" s="77" t="s">
        <v>368</v>
      </c>
      <c r="M176" s="93"/>
      <c r="N176" s="93"/>
      <c r="O176" s="77"/>
      <c r="P176" s="590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</row>
    <row r="177" spans="1:38" ht="45" customHeight="1">
      <c r="A177" s="77" t="s">
        <v>1917</v>
      </c>
      <c r="B177" s="668"/>
      <c r="C177" s="77" t="s">
        <v>3</v>
      </c>
      <c r="D177" s="77" t="s">
        <v>4</v>
      </c>
      <c r="E177" s="77" t="s">
        <v>1826</v>
      </c>
      <c r="F177" s="93" t="s">
        <v>3781</v>
      </c>
      <c r="G177" s="93" t="s">
        <v>3783</v>
      </c>
      <c r="H177" s="77" t="s">
        <v>367</v>
      </c>
      <c r="I177" s="26" t="e">
        <f>ROUND(H177*E177,2)</f>
        <v>#VALUE!</v>
      </c>
      <c r="M177" s="26"/>
      <c r="N177" s="26"/>
      <c r="O177" s="26"/>
      <c r="P177" s="595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5"/>
      <c r="AF177" s="25"/>
      <c r="AG177" s="25"/>
      <c r="AH177" s="25"/>
      <c r="AI177" s="25"/>
      <c r="AJ177" s="25"/>
      <c r="AK177" s="25"/>
      <c r="AL177" s="25"/>
    </row>
    <row r="178" spans="1:38" ht="30">
      <c r="A178" s="24" t="s">
        <v>3912</v>
      </c>
      <c r="B178" s="78" t="s">
        <v>3913</v>
      </c>
      <c r="C178" s="25" t="s">
        <v>12</v>
      </c>
      <c r="D178" s="25" t="s">
        <v>45</v>
      </c>
      <c r="E178" s="218">
        <v>2.5000000000000001E-2</v>
      </c>
      <c r="F178" s="26">
        <f t="shared" ref="F178" si="64">AVERAGE(M178:AL178)</f>
        <v>18.399999999999999</v>
      </c>
      <c r="G178" s="26">
        <f>ROUND(F178*E178,2)</f>
        <v>0.46</v>
      </c>
      <c r="H178" s="26">
        <f>J177</f>
        <v>0</v>
      </c>
      <c r="I178" s="26">
        <f t="shared" ref="I178:I181" si="65">ROUND(H178*E178,2)</f>
        <v>0</v>
      </c>
      <c r="M178" s="26"/>
      <c r="N178" s="26"/>
      <c r="O178" s="26"/>
      <c r="P178" s="595"/>
      <c r="Q178" s="26"/>
      <c r="R178" s="26"/>
      <c r="S178" s="26"/>
      <c r="T178" s="26">
        <v>17.100000000000001</v>
      </c>
      <c r="U178" s="26">
        <v>19.7</v>
      </c>
      <c r="V178" s="26"/>
      <c r="W178" s="26"/>
      <c r="X178" s="26"/>
      <c r="Y178" s="26"/>
      <c r="Z178" s="26"/>
      <c r="AA178" s="26"/>
      <c r="AB178" s="26"/>
      <c r="AC178" s="26"/>
      <c r="AD178" s="26"/>
      <c r="AE178" s="25"/>
      <c r="AF178" s="25"/>
      <c r="AG178" s="25"/>
      <c r="AH178" s="25"/>
      <c r="AI178" s="25"/>
      <c r="AJ178" s="25"/>
      <c r="AK178" s="25"/>
      <c r="AL178" s="25"/>
    </row>
    <row r="179" spans="1:38" ht="30">
      <c r="A179" s="503" t="s">
        <v>3914</v>
      </c>
      <c r="B179" s="628" t="s">
        <v>394</v>
      </c>
      <c r="C179" s="504" t="s">
        <v>12</v>
      </c>
      <c r="D179" s="504" t="s">
        <v>19</v>
      </c>
      <c r="E179" s="632">
        <v>1.5E-3</v>
      </c>
      <c r="F179" s="505">
        <f>13.77*0.85*'PLANILHA ORÇA - CORREGEDORIA'!$BH$19</f>
        <v>13.038910903859986</v>
      </c>
      <c r="G179" s="505">
        <f t="shared" ref="G179:G180" si="66">ROUND(F179*E179,2)</f>
        <v>0.02</v>
      </c>
      <c r="H179" s="26">
        <f>J178</f>
        <v>0</v>
      </c>
      <c r="I179" s="26">
        <f t="shared" si="65"/>
        <v>0</v>
      </c>
      <c r="M179" s="26"/>
      <c r="N179" s="26"/>
      <c r="O179" s="26"/>
      <c r="P179" s="595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5"/>
      <c r="AF179" s="25"/>
      <c r="AG179" s="25"/>
      <c r="AH179" s="25"/>
      <c r="AI179" s="25"/>
      <c r="AJ179" s="25"/>
      <c r="AK179" s="25"/>
      <c r="AL179" s="25"/>
    </row>
    <row r="180" spans="1:38">
      <c r="A180" s="503" t="s">
        <v>3915</v>
      </c>
      <c r="B180" s="628" t="s">
        <v>395</v>
      </c>
      <c r="C180" s="504" t="s">
        <v>12</v>
      </c>
      <c r="D180" s="504" t="s">
        <v>19</v>
      </c>
      <c r="E180" s="632">
        <v>9.4000000000000004E-3</v>
      </c>
      <c r="F180" s="505">
        <f>17.7*0.85*'PLANILHA ORÇA - CORREGEDORIA'!$BH$19</f>
        <v>16.760255845920241</v>
      </c>
      <c r="G180" s="505">
        <f t="shared" si="66"/>
        <v>0.16</v>
      </c>
      <c r="H180" s="26">
        <f>J179</f>
        <v>0</v>
      </c>
      <c r="I180" s="26">
        <f t="shared" si="65"/>
        <v>0</v>
      </c>
      <c r="M180" s="26"/>
      <c r="N180" s="26"/>
      <c r="O180" s="26"/>
      <c r="P180" s="595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5"/>
      <c r="AF180" s="25"/>
      <c r="AG180" s="25"/>
      <c r="AH180" s="25"/>
      <c r="AI180" s="25"/>
      <c r="AJ180" s="25"/>
      <c r="AK180" s="25"/>
      <c r="AL180" s="25"/>
    </row>
    <row r="181" spans="1:38" s="34" customFormat="1" ht="30">
      <c r="A181" s="475" t="s">
        <v>3973</v>
      </c>
      <c r="B181" s="661" t="s">
        <v>3917</v>
      </c>
      <c r="C181" s="472" t="s">
        <v>12</v>
      </c>
      <c r="D181" s="472" t="s">
        <v>45</v>
      </c>
      <c r="E181" s="690">
        <v>1</v>
      </c>
      <c r="F181" s="473"/>
      <c r="G181" s="473">
        <f>ROUND(F181*E181,2)</f>
        <v>0</v>
      </c>
      <c r="H181" s="473">
        <f>J180</f>
        <v>0</v>
      </c>
      <c r="I181" s="473">
        <f t="shared" si="65"/>
        <v>0</v>
      </c>
      <c r="J181" s="378"/>
      <c r="L181" s="378"/>
      <c r="M181" s="473"/>
      <c r="N181" s="473"/>
      <c r="O181" s="473"/>
      <c r="P181" s="473"/>
      <c r="Q181" s="473"/>
      <c r="R181" s="473"/>
      <c r="S181" s="473"/>
      <c r="T181" s="473"/>
      <c r="U181" s="473"/>
      <c r="V181" s="473"/>
      <c r="W181" s="473"/>
      <c r="X181" s="473"/>
      <c r="Y181" s="473"/>
      <c r="Z181" s="473"/>
      <c r="AA181" s="473"/>
      <c r="AB181" s="473"/>
      <c r="AC181" s="473"/>
      <c r="AD181" s="473"/>
      <c r="AE181" s="472"/>
      <c r="AF181" s="472"/>
      <c r="AG181" s="472"/>
      <c r="AH181" s="472"/>
      <c r="AI181" s="472"/>
      <c r="AJ181" s="472"/>
      <c r="AK181" s="472"/>
      <c r="AL181" s="472"/>
    </row>
    <row r="182" spans="1:38">
      <c r="A182" s="24" t="s">
        <v>3965</v>
      </c>
      <c r="B182" s="78" t="s">
        <v>3966</v>
      </c>
      <c r="C182" s="25" t="s">
        <v>12</v>
      </c>
      <c r="D182" s="25" t="s">
        <v>45</v>
      </c>
      <c r="E182" s="25" t="s">
        <v>3967</v>
      </c>
      <c r="F182" s="26">
        <f t="shared" ref="F182" si="67">AVERAGE(M182:AL182)</f>
        <v>8.5500000000000007</v>
      </c>
      <c r="G182" s="26">
        <f>ROUND(F182*E182*$E$181,2)</f>
        <v>9.75</v>
      </c>
      <c r="H182" s="155"/>
      <c r="I182" s="26">
        <f>ROUND(H182*E182*$E$181,2)</f>
        <v>0</v>
      </c>
      <c r="M182" s="26"/>
      <c r="N182" s="26"/>
      <c r="O182" s="26"/>
      <c r="P182" s="595"/>
      <c r="Q182" s="26"/>
      <c r="R182" s="26"/>
      <c r="S182" s="26"/>
      <c r="T182" s="26">
        <v>8.5500000000000007</v>
      </c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5"/>
      <c r="AF182" s="25"/>
      <c r="AG182" s="25"/>
      <c r="AH182" s="25"/>
      <c r="AI182" s="25"/>
      <c r="AJ182" s="25"/>
      <c r="AK182" s="25"/>
      <c r="AL182" s="25"/>
    </row>
    <row r="183" spans="1:38" ht="15" customHeight="1">
      <c r="A183" s="503" t="s">
        <v>3915</v>
      </c>
      <c r="B183" s="628" t="s">
        <v>395</v>
      </c>
      <c r="C183" s="504" t="s">
        <v>12</v>
      </c>
      <c r="D183" s="504" t="s">
        <v>19</v>
      </c>
      <c r="E183" s="504" t="s">
        <v>3972</v>
      </c>
      <c r="F183" s="633">
        <f>17.7*0.85*'PLANILHA ORÇA - CORREGEDORIA'!$BH$19</f>
        <v>16.760255845920241</v>
      </c>
      <c r="G183" s="505">
        <f>ROUND(F183*E183*$E$181,2)</f>
        <v>0.02</v>
      </c>
      <c r="H183" s="239"/>
      <c r="I183" s="26">
        <f>ROUND(H183*E183*$E$181,2)</f>
        <v>0</v>
      </c>
      <c r="M183" s="26"/>
      <c r="N183" s="26"/>
      <c r="O183" s="26"/>
      <c r="P183" s="595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5"/>
      <c r="AF183" s="25"/>
      <c r="AG183" s="25"/>
      <c r="AH183" s="25"/>
      <c r="AI183" s="25"/>
      <c r="AJ183" s="25"/>
      <c r="AK183" s="25"/>
      <c r="AL183" s="25"/>
    </row>
    <row r="184" spans="1:38" ht="15" customHeight="1">
      <c r="A184" s="917" t="s">
        <v>1894</v>
      </c>
      <c r="B184" s="918"/>
      <c r="C184" s="918"/>
      <c r="D184" s="918"/>
      <c r="E184" s="918"/>
      <c r="F184" s="926"/>
      <c r="G184" s="527">
        <f>SUM(G178:G182)</f>
        <v>10.39</v>
      </c>
      <c r="H184" s="528"/>
      <c r="I184" s="527">
        <f>SUM(I178:I182)</f>
        <v>0</v>
      </c>
      <c r="M184" s="26"/>
      <c r="N184" s="26"/>
      <c r="O184" s="26"/>
      <c r="P184" s="595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5"/>
      <c r="AF184" s="25"/>
      <c r="AG184" s="25"/>
      <c r="AH184" s="25"/>
      <c r="AI184" s="25"/>
      <c r="AJ184" s="25"/>
      <c r="AK184" s="25"/>
      <c r="AL184" s="25"/>
    </row>
    <row r="185" spans="1:38" ht="15" customHeight="1">
      <c r="A185" s="53"/>
      <c r="B185" s="53"/>
      <c r="C185" s="53"/>
      <c r="D185" s="53"/>
      <c r="E185" s="53"/>
      <c r="F185" s="53"/>
      <c r="G185" s="54"/>
      <c r="H185" s="53"/>
      <c r="I185" s="54"/>
      <c r="M185" s="53"/>
      <c r="N185" s="54"/>
      <c r="O185" s="53"/>
      <c r="P185" s="592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</row>
    <row r="186" spans="1:38" ht="15" customHeight="1">
      <c r="A186" s="53"/>
      <c r="B186" s="53"/>
      <c r="C186" s="53"/>
      <c r="D186" s="53"/>
      <c r="E186" s="53"/>
      <c r="F186" s="53"/>
      <c r="G186" s="54"/>
      <c r="H186" s="53"/>
      <c r="I186" s="54"/>
      <c r="M186" s="53"/>
      <c r="N186" s="54"/>
      <c r="O186" s="53"/>
      <c r="P186" s="592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</row>
    <row r="187" spans="1:38" ht="15" customHeight="1">
      <c r="A187" s="53"/>
      <c r="B187" s="53"/>
      <c r="C187" s="53"/>
      <c r="D187" s="53"/>
      <c r="E187" s="53"/>
      <c r="F187" s="53"/>
      <c r="G187" s="54"/>
      <c r="H187" s="53"/>
      <c r="I187" s="54"/>
      <c r="M187" s="53"/>
      <c r="N187" s="54"/>
      <c r="O187" s="53"/>
      <c r="P187" s="592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</row>
    <row r="188" spans="1:38" ht="48.75" customHeight="1">
      <c r="A188" s="53"/>
      <c r="B188" s="53"/>
      <c r="C188" s="53"/>
      <c r="D188" s="53"/>
      <c r="E188" s="53"/>
      <c r="F188" s="53"/>
      <c r="G188" s="54"/>
      <c r="H188" s="53"/>
      <c r="I188" s="486"/>
      <c r="M188" s="537"/>
      <c r="N188" s="537"/>
      <c r="O188" s="75"/>
      <c r="P188" s="589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</row>
    <row r="189" spans="1:38">
      <c r="A189" s="920" t="s">
        <v>2049</v>
      </c>
      <c r="B189" s="921"/>
      <c r="C189" s="921"/>
      <c r="D189" s="921"/>
      <c r="E189" s="922"/>
      <c r="F189" s="484"/>
      <c r="G189" s="484"/>
      <c r="H189" s="75" t="s">
        <v>1915</v>
      </c>
      <c r="I189" s="77" t="s">
        <v>368</v>
      </c>
      <c r="M189" s="93"/>
      <c r="N189" s="93"/>
      <c r="O189" s="77"/>
      <c r="P189" s="590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</row>
    <row r="190" spans="1:38" ht="45" customHeight="1">
      <c r="A190" s="77" t="s">
        <v>1917</v>
      </c>
      <c r="B190" s="668"/>
      <c r="C190" s="77" t="s">
        <v>3</v>
      </c>
      <c r="D190" s="77" t="s">
        <v>4</v>
      </c>
      <c r="E190" s="77" t="s">
        <v>1826</v>
      </c>
      <c r="F190" s="93" t="s">
        <v>3781</v>
      </c>
      <c r="G190" s="93" t="s">
        <v>3783</v>
      </c>
      <c r="H190" s="77" t="s">
        <v>367</v>
      </c>
      <c r="I190" s="26" t="e">
        <f>ROUND(H190*E190,2)</f>
        <v>#VALUE!</v>
      </c>
      <c r="J190" s="375">
        <v>5.6355000000000004</v>
      </c>
      <c r="K190" s="2" t="e">
        <f>IF(A191&lt;&gt;0,VLOOKUP(A191,#REF!,2,FALSE),"")</f>
        <v>#REF!</v>
      </c>
      <c r="M190" s="26"/>
      <c r="N190" s="26"/>
      <c r="O190" s="26"/>
      <c r="P190" s="595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5"/>
      <c r="AF190" s="25"/>
      <c r="AG190" s="25"/>
      <c r="AH190" s="25"/>
      <c r="AI190" s="25"/>
      <c r="AJ190" s="25"/>
      <c r="AK190" s="25"/>
      <c r="AL190" s="25"/>
    </row>
    <row r="191" spans="1:38" ht="45">
      <c r="A191" s="24">
        <v>2692</v>
      </c>
      <c r="B191" s="78" t="s">
        <v>399</v>
      </c>
      <c r="C191" s="25" t="s">
        <v>12</v>
      </c>
      <c r="D191" s="25" t="s">
        <v>381</v>
      </c>
      <c r="E191" s="26">
        <v>1.7000000000000001E-2</v>
      </c>
      <c r="F191" s="26">
        <f t="shared" ref="F191:F193" si="68">AVERAGE(M191:AL191)</f>
        <v>15.523</v>
      </c>
      <c r="G191" s="26">
        <f t="shared" ref="G191:G201" si="69">ROUND(F191*E191,2)</f>
        <v>0.26</v>
      </c>
      <c r="H191" s="26">
        <f>J190</f>
        <v>5.6355000000000004</v>
      </c>
      <c r="I191" s="26">
        <f t="shared" ref="I191:I201" si="70">ROUND(H191*E191,2)</f>
        <v>0.1</v>
      </c>
      <c r="J191" s="375">
        <v>12.0105</v>
      </c>
      <c r="K191" s="2" t="e">
        <f>IF(A192&lt;&gt;0,VLOOKUP(A192,#REF!,2,FALSE),"")</f>
        <v>#REF!</v>
      </c>
      <c r="M191" s="26"/>
      <c r="N191" s="26">
        <v>16.53</v>
      </c>
      <c r="O191" s="26"/>
      <c r="P191" s="595">
        <v>14.516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5"/>
      <c r="AF191" s="25"/>
      <c r="AG191" s="25"/>
      <c r="AH191" s="25"/>
      <c r="AI191" s="25"/>
      <c r="AJ191" s="25"/>
      <c r="AK191" s="25"/>
      <c r="AL191" s="25"/>
    </row>
    <row r="192" spans="1:38" ht="30">
      <c r="A192" s="24">
        <v>6193</v>
      </c>
      <c r="B192" s="78" t="s">
        <v>384</v>
      </c>
      <c r="C192" s="25" t="s">
        <v>12</v>
      </c>
      <c r="D192" s="25" t="s">
        <v>52</v>
      </c>
      <c r="E192" s="26">
        <v>3.1120000000000001</v>
      </c>
      <c r="F192" s="26">
        <f t="shared" si="68"/>
        <v>20</v>
      </c>
      <c r="G192" s="26">
        <f t="shared" si="69"/>
        <v>62.24</v>
      </c>
      <c r="H192" s="26">
        <f t="shared" ref="H192:H207" si="71">J191</f>
        <v>12.0105</v>
      </c>
      <c r="I192" s="26">
        <f t="shared" si="70"/>
        <v>37.380000000000003</v>
      </c>
      <c r="J192" s="375">
        <v>19.7455</v>
      </c>
      <c r="K192" s="2" t="e">
        <f>IF(A193&lt;&gt;0,VLOOKUP(A193,#REF!,2,FALSE),"")</f>
        <v>#REF!</v>
      </c>
      <c r="M192" s="26"/>
      <c r="N192" s="26"/>
      <c r="O192" s="26"/>
      <c r="P192" s="595"/>
      <c r="Q192" s="26"/>
      <c r="R192" s="26"/>
      <c r="S192" s="26"/>
      <c r="T192" s="26"/>
      <c r="U192" s="26"/>
      <c r="V192" s="26">
        <v>20</v>
      </c>
      <c r="W192" s="26"/>
      <c r="X192" s="26"/>
      <c r="Y192" s="26"/>
      <c r="Z192" s="26"/>
      <c r="AA192" s="26"/>
      <c r="AB192" s="26"/>
      <c r="AC192" s="26"/>
      <c r="AD192" s="26"/>
      <c r="AE192" s="25"/>
      <c r="AF192" s="25"/>
      <c r="AG192" s="25"/>
      <c r="AH192" s="25"/>
      <c r="AI192" s="25"/>
      <c r="AJ192" s="25"/>
      <c r="AK192" s="25"/>
      <c r="AL192" s="25"/>
    </row>
    <row r="193" spans="1:38" ht="30">
      <c r="A193" s="24">
        <v>40304</v>
      </c>
      <c r="B193" s="78" t="s">
        <v>400</v>
      </c>
      <c r="C193" s="25" t="s">
        <v>12</v>
      </c>
      <c r="D193" s="25" t="s">
        <v>45</v>
      </c>
      <c r="E193" s="26">
        <v>6.5000000000000002E-2</v>
      </c>
      <c r="F193" s="26">
        <f t="shared" si="68"/>
        <v>35.839999999999996</v>
      </c>
      <c r="G193" s="26">
        <f t="shared" si="69"/>
        <v>2.33</v>
      </c>
      <c r="H193" s="26">
        <f t="shared" si="71"/>
        <v>19.7455</v>
      </c>
      <c r="I193" s="26">
        <f t="shared" si="70"/>
        <v>1.28</v>
      </c>
      <c r="J193" s="375">
        <v>12.622499999999999</v>
      </c>
      <c r="K193" s="2" t="e">
        <f>IF(A194&lt;&gt;0,VLOOKUP(A194,#REF!,2,FALSE),"")</f>
        <v>#REF!</v>
      </c>
      <c r="M193" s="26"/>
      <c r="N193" s="26"/>
      <c r="O193" s="26"/>
      <c r="P193" s="595"/>
      <c r="Q193" s="26"/>
      <c r="R193" s="26"/>
      <c r="S193" s="26"/>
      <c r="T193" s="26"/>
      <c r="U193" s="26"/>
      <c r="V193" s="26"/>
      <c r="W193" s="26"/>
      <c r="X193" s="26">
        <v>38.4</v>
      </c>
      <c r="Y193" s="26"/>
      <c r="Z193" s="26"/>
      <c r="AA193" s="26">
        <v>35.39</v>
      </c>
      <c r="AB193" s="26">
        <v>31.8</v>
      </c>
      <c r="AC193" s="26">
        <v>37.770000000000003</v>
      </c>
      <c r="AD193" s="26"/>
      <c r="AE193" s="25"/>
      <c r="AF193" s="25"/>
      <c r="AG193" s="25"/>
      <c r="AH193" s="25"/>
      <c r="AI193" s="25"/>
      <c r="AJ193" s="25"/>
      <c r="AK193" s="25"/>
      <c r="AL193" s="25"/>
    </row>
    <row r="194" spans="1:38" ht="30">
      <c r="A194" s="503">
        <v>88239</v>
      </c>
      <c r="B194" s="628" t="s">
        <v>393</v>
      </c>
      <c r="C194" s="504" t="s">
        <v>12</v>
      </c>
      <c r="D194" s="504" t="s">
        <v>19</v>
      </c>
      <c r="E194" s="505">
        <v>0.81499999999999995</v>
      </c>
      <c r="F194" s="505">
        <f>14.85*0.85*'PLANILHA ORÇA - CORREGEDORIA'!$BH$19</f>
        <v>14.061570582594101</v>
      </c>
      <c r="G194" s="505">
        <f>ROUND(F194*E194,2)</f>
        <v>11.46</v>
      </c>
      <c r="H194" s="26">
        <f t="shared" si="71"/>
        <v>12.622499999999999</v>
      </c>
      <c r="I194" s="26">
        <f>ROUND(H194*E194,2)</f>
        <v>10.29</v>
      </c>
      <c r="J194" s="375">
        <v>14.96</v>
      </c>
      <c r="K194" s="2" t="e">
        <f>IF(A195&lt;&gt;0,VLOOKUP(A195,#REF!,2,FALSE),"")</f>
        <v>#REF!</v>
      </c>
      <c r="M194" s="26"/>
      <c r="N194" s="26"/>
      <c r="O194" s="26"/>
      <c r="P194" s="595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5"/>
      <c r="AF194" s="25"/>
      <c r="AG194" s="25"/>
      <c r="AH194" s="25"/>
      <c r="AI194" s="25"/>
      <c r="AJ194" s="25"/>
      <c r="AK194" s="25"/>
      <c r="AL194" s="25"/>
    </row>
    <row r="195" spans="1:38" ht="30">
      <c r="A195" s="503">
        <v>88262</v>
      </c>
      <c r="B195" s="628" t="s">
        <v>376</v>
      </c>
      <c r="C195" s="504" t="s">
        <v>12</v>
      </c>
      <c r="D195" s="504" t="s">
        <v>19</v>
      </c>
      <c r="E195" s="505">
        <v>4.4450000000000003</v>
      </c>
      <c r="F195" s="505">
        <f>17.6*0.85*'PLANILHA ORÇA - CORREGEDORIA'!$BH$19</f>
        <v>16.665565134926347</v>
      </c>
      <c r="G195" s="505">
        <f t="shared" si="69"/>
        <v>74.08</v>
      </c>
      <c r="H195" s="26">
        <f t="shared" si="71"/>
        <v>14.96</v>
      </c>
      <c r="I195" s="26">
        <f>ROUND(H195*E195,2)</f>
        <v>66.5</v>
      </c>
      <c r="J195" s="375">
        <v>67.846999999999994</v>
      </c>
      <c r="K195" s="2" t="e">
        <f>IF(A196&lt;&gt;0,VLOOKUP(A196,#REF!,2,FALSE),"")</f>
        <v>#REF!</v>
      </c>
      <c r="M195" s="26"/>
      <c r="N195" s="26"/>
      <c r="O195" s="26"/>
      <c r="P195" s="595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5"/>
      <c r="AF195" s="25"/>
      <c r="AG195" s="25"/>
      <c r="AH195" s="25"/>
      <c r="AI195" s="25"/>
      <c r="AJ195" s="25"/>
      <c r="AK195" s="25"/>
      <c r="AL195" s="25"/>
    </row>
    <row r="196" spans="1:38" s="34" customFormat="1" ht="30">
      <c r="A196" s="475" t="s">
        <v>4001</v>
      </c>
      <c r="B196" s="661" t="s">
        <v>1781</v>
      </c>
      <c r="C196" s="472" t="s">
        <v>12</v>
      </c>
      <c r="D196" s="472" t="s">
        <v>26</v>
      </c>
      <c r="E196" s="473">
        <v>1.02</v>
      </c>
      <c r="F196" s="473"/>
      <c r="G196" s="473">
        <f t="shared" si="69"/>
        <v>0</v>
      </c>
      <c r="H196" s="473">
        <f t="shared" si="71"/>
        <v>67.846999999999994</v>
      </c>
      <c r="I196" s="473">
        <f>ROUND(H196*E196,2)</f>
        <v>69.2</v>
      </c>
      <c r="J196" s="378">
        <v>9.7580000000000009</v>
      </c>
      <c r="K196" s="34" t="e">
        <f>IF(A201&lt;&gt;0,VLOOKUP(A201,#REF!,2,FALSE),"")</f>
        <v>#REF!</v>
      </c>
      <c r="L196" s="378"/>
      <c r="M196" s="473"/>
      <c r="N196" s="473"/>
      <c r="O196" s="473"/>
      <c r="P196" s="473"/>
      <c r="Q196" s="473"/>
      <c r="R196" s="473"/>
      <c r="S196" s="473"/>
      <c r="T196" s="473"/>
      <c r="U196" s="473"/>
      <c r="V196" s="473"/>
      <c r="W196" s="473"/>
      <c r="X196" s="473"/>
      <c r="Y196" s="473"/>
      <c r="Z196" s="473"/>
      <c r="AA196" s="473"/>
      <c r="AB196" s="473"/>
      <c r="AC196" s="473"/>
      <c r="AD196" s="473"/>
      <c r="AE196" s="472"/>
      <c r="AF196" s="472"/>
      <c r="AG196" s="472"/>
      <c r="AH196" s="472"/>
      <c r="AI196" s="472"/>
      <c r="AJ196" s="472"/>
      <c r="AK196" s="472"/>
      <c r="AL196" s="472"/>
    </row>
    <row r="197" spans="1:38" ht="45">
      <c r="A197" s="25" t="s">
        <v>3981</v>
      </c>
      <c r="B197" s="25" t="s">
        <v>3982</v>
      </c>
      <c r="C197" s="25" t="s">
        <v>12</v>
      </c>
      <c r="D197" s="25" t="s">
        <v>52</v>
      </c>
      <c r="E197" s="26" t="s">
        <v>3998</v>
      </c>
      <c r="F197" s="26">
        <f t="shared" ref="F197" si="72">AVERAGE(M197:AL197)</f>
        <v>30.03</v>
      </c>
      <c r="G197" s="26">
        <f>ROUND(F197*E197*$E$196,2)</f>
        <v>118.08</v>
      </c>
      <c r="H197" s="26">
        <f>J196</f>
        <v>9.7580000000000009</v>
      </c>
      <c r="I197" s="26">
        <f t="shared" si="70"/>
        <v>37.619999999999997</v>
      </c>
      <c r="M197" s="26"/>
      <c r="N197" s="26"/>
      <c r="O197" s="26"/>
      <c r="P197" s="595"/>
      <c r="Q197" s="26"/>
      <c r="R197" s="26"/>
      <c r="S197" s="26"/>
      <c r="T197" s="26"/>
      <c r="U197" s="26"/>
      <c r="V197" s="26">
        <v>30.03</v>
      </c>
      <c r="W197" s="26"/>
      <c r="X197" s="26"/>
      <c r="Y197" s="26"/>
      <c r="Z197" s="26"/>
      <c r="AA197" s="26"/>
      <c r="AB197" s="26"/>
      <c r="AC197" s="26"/>
      <c r="AD197" s="26"/>
      <c r="AE197" s="25"/>
      <c r="AF197" s="25"/>
      <c r="AG197" s="25"/>
      <c r="AH197" s="25"/>
      <c r="AI197" s="25"/>
      <c r="AJ197" s="25"/>
      <c r="AK197" s="25"/>
      <c r="AL197" s="25"/>
    </row>
    <row r="198" spans="1:38" ht="30">
      <c r="A198" s="504" t="s">
        <v>3909</v>
      </c>
      <c r="B198" s="504" t="s">
        <v>393</v>
      </c>
      <c r="C198" s="504" t="s">
        <v>12</v>
      </c>
      <c r="D198" s="504" t="s">
        <v>19</v>
      </c>
      <c r="E198" s="505" t="s">
        <v>3999</v>
      </c>
      <c r="F198" s="505">
        <f>14.85*0.85*'PLANILHA ORÇA - CORREGEDORIA'!$BH$19</f>
        <v>14.061570582594101</v>
      </c>
      <c r="G198" s="505">
        <f>ROUND(F198*E198*$E$196,2)</f>
        <v>0.04</v>
      </c>
      <c r="H198" s="26">
        <f t="shared" si="71"/>
        <v>0</v>
      </c>
      <c r="I198" s="26">
        <f>ROUND(H198*E198,2)</f>
        <v>0</v>
      </c>
      <c r="M198" s="26"/>
      <c r="N198" s="26"/>
      <c r="O198" s="26"/>
      <c r="P198" s="595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5"/>
      <c r="AF198" s="25"/>
      <c r="AG198" s="25"/>
      <c r="AH198" s="25"/>
      <c r="AI198" s="25"/>
      <c r="AJ198" s="25"/>
      <c r="AK198" s="25"/>
      <c r="AL198" s="25"/>
    </row>
    <row r="199" spans="1:38" ht="30">
      <c r="A199" s="504" t="s">
        <v>3910</v>
      </c>
      <c r="B199" s="504" t="s">
        <v>376</v>
      </c>
      <c r="C199" s="504" t="s">
        <v>12</v>
      </c>
      <c r="D199" s="504" t="s">
        <v>19</v>
      </c>
      <c r="E199" s="505" t="s">
        <v>4000</v>
      </c>
      <c r="F199" s="505">
        <f>17.6*0.85*'PLANILHA ORÇA - CORREGEDORIA'!$BH$19</f>
        <v>16.665565134926347</v>
      </c>
      <c r="G199" s="505">
        <f t="shared" ref="G199:G200" si="73">ROUND(F199*E199*$E$196,2)</f>
        <v>0.22</v>
      </c>
      <c r="H199" s="26">
        <f t="shared" si="71"/>
        <v>0</v>
      </c>
      <c r="I199" s="26">
        <f t="shared" si="70"/>
        <v>0</v>
      </c>
      <c r="M199" s="26"/>
      <c r="N199" s="26"/>
      <c r="O199" s="26"/>
      <c r="P199" s="595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5"/>
      <c r="AF199" s="25"/>
      <c r="AG199" s="25"/>
      <c r="AH199" s="25"/>
      <c r="AI199" s="25"/>
      <c r="AJ199" s="25"/>
      <c r="AK199" s="25"/>
      <c r="AL199" s="25"/>
    </row>
    <row r="200" spans="1:38" ht="45">
      <c r="A200" s="729" t="s">
        <v>3931</v>
      </c>
      <c r="B200" s="729" t="s">
        <v>3932</v>
      </c>
      <c r="C200" s="729" t="s">
        <v>12</v>
      </c>
      <c r="D200" s="729" t="s">
        <v>388</v>
      </c>
      <c r="E200" s="731" t="s">
        <v>3999</v>
      </c>
      <c r="F200" s="731">
        <v>24.45</v>
      </c>
      <c r="G200" s="731">
        <f t="shared" si="73"/>
        <v>7.0000000000000007E-2</v>
      </c>
      <c r="H200" s="26">
        <f t="shared" si="71"/>
        <v>0</v>
      </c>
      <c r="I200" s="26">
        <f t="shared" si="70"/>
        <v>0</v>
      </c>
      <c r="M200" s="26"/>
      <c r="N200" s="26"/>
      <c r="O200" s="26"/>
      <c r="P200" s="595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5"/>
      <c r="AF200" s="25"/>
      <c r="AG200" s="25"/>
      <c r="AH200" s="25"/>
      <c r="AI200" s="25"/>
      <c r="AJ200" s="25"/>
      <c r="AK200" s="25"/>
      <c r="AL200" s="25"/>
    </row>
    <row r="201" spans="1:38" s="34" customFormat="1" ht="15" customHeight="1">
      <c r="A201" s="475" t="s">
        <v>4011</v>
      </c>
      <c r="B201" s="661" t="s">
        <v>1782</v>
      </c>
      <c r="C201" s="472" t="s">
        <v>12</v>
      </c>
      <c r="D201" s="472" t="s">
        <v>52</v>
      </c>
      <c r="E201" s="473">
        <v>1.3480000000000001</v>
      </c>
      <c r="F201" s="473"/>
      <c r="G201" s="473">
        <f t="shared" si="69"/>
        <v>0</v>
      </c>
      <c r="H201" s="473">
        <f t="shared" si="71"/>
        <v>0</v>
      </c>
      <c r="I201" s="473">
        <f t="shared" si="70"/>
        <v>0</v>
      </c>
      <c r="J201" s="378"/>
      <c r="L201" s="378"/>
      <c r="M201" s="378"/>
      <c r="N201" s="662"/>
      <c r="O201" s="687"/>
      <c r="P201" s="687"/>
      <c r="Q201" s="687"/>
      <c r="R201" s="687"/>
      <c r="S201" s="687"/>
      <c r="T201" s="687"/>
      <c r="U201" s="687"/>
      <c r="V201" s="687"/>
      <c r="W201" s="687"/>
      <c r="X201" s="687"/>
      <c r="Y201" s="687"/>
      <c r="Z201" s="687"/>
      <c r="AA201" s="687"/>
      <c r="AB201" s="687"/>
      <c r="AC201" s="687"/>
      <c r="AD201" s="687"/>
      <c r="AE201" s="687"/>
      <c r="AF201" s="687"/>
      <c r="AG201" s="687"/>
      <c r="AH201" s="687"/>
      <c r="AI201" s="687"/>
      <c r="AJ201" s="687"/>
      <c r="AK201" s="687"/>
      <c r="AL201" s="687"/>
    </row>
    <row r="202" spans="1:38" ht="15" customHeight="1">
      <c r="A202" s="25" t="s">
        <v>3899</v>
      </c>
      <c r="B202" s="25" t="s">
        <v>3900</v>
      </c>
      <c r="C202" s="25" t="s">
        <v>12</v>
      </c>
      <c r="D202" s="25" t="s">
        <v>52</v>
      </c>
      <c r="E202" s="26" t="s">
        <v>4003</v>
      </c>
      <c r="F202" s="26">
        <f t="shared" ref="F202" si="74">AVERAGE(M202:AL202)</f>
        <v>6.72</v>
      </c>
      <c r="G202" s="26">
        <f>ROUND(F202*E202*$E$201,2)</f>
        <v>11.87</v>
      </c>
      <c r="H202" s="26">
        <f t="shared" si="71"/>
        <v>0</v>
      </c>
      <c r="I202" s="26">
        <f>ROUND(H202*E202*$E$201,2)</f>
        <v>0</v>
      </c>
      <c r="M202" s="375"/>
      <c r="N202" s="79"/>
      <c r="O202" s="653"/>
      <c r="P202" s="594"/>
      <c r="Q202" s="653"/>
      <c r="R202" s="653"/>
      <c r="S202" s="653"/>
      <c r="T202" s="653"/>
      <c r="U202" s="653"/>
      <c r="V202" s="653"/>
      <c r="W202" s="713"/>
      <c r="X202" s="704"/>
      <c r="Y202" s="713"/>
      <c r="Z202" s="713"/>
      <c r="AA202" s="704"/>
      <c r="AB202" s="704"/>
      <c r="AC202" s="653"/>
      <c r="AD202" s="674"/>
      <c r="AE202" s="713"/>
      <c r="AF202" s="713"/>
      <c r="AG202" s="713"/>
      <c r="AH202" s="713"/>
      <c r="AI202" s="713"/>
      <c r="AJ202" s="713"/>
      <c r="AK202" s="713">
        <v>6.72</v>
      </c>
      <c r="AL202" s="713"/>
    </row>
    <row r="203" spans="1:38" ht="15" customHeight="1">
      <c r="A203" s="25" t="s">
        <v>3978</v>
      </c>
      <c r="B203" s="25" t="s">
        <v>3979</v>
      </c>
      <c r="C203" s="25" t="s">
        <v>12</v>
      </c>
      <c r="D203" s="25" t="s">
        <v>45</v>
      </c>
      <c r="E203" s="26" t="s">
        <v>4004</v>
      </c>
      <c r="F203" s="26">
        <v>18.82</v>
      </c>
      <c r="G203" s="26">
        <f t="shared" ref="G203:G205" si="75">ROUND(F203*E203*$E$201,2)</f>
        <v>0.57999999999999996</v>
      </c>
      <c r="H203" s="26">
        <f t="shared" si="71"/>
        <v>0</v>
      </c>
      <c r="I203" s="26">
        <f t="shared" ref="I203:I206" si="76">ROUND(H203*E203*$E$201,2)</f>
        <v>0</v>
      </c>
      <c r="M203" s="375"/>
      <c r="N203" s="79"/>
      <c r="O203" s="653"/>
      <c r="P203" s="594"/>
      <c r="Q203" s="653"/>
      <c r="R203" s="653"/>
      <c r="S203" s="653"/>
      <c r="T203" s="653"/>
      <c r="U203" s="653"/>
      <c r="V203" s="653"/>
      <c r="W203" s="713"/>
      <c r="X203" s="704"/>
      <c r="Y203" s="713"/>
      <c r="Z203" s="713"/>
      <c r="AA203" s="704"/>
      <c r="AB203" s="704"/>
      <c r="AC203" s="653"/>
      <c r="AD203" s="674"/>
      <c r="AE203" s="713"/>
      <c r="AF203" s="713"/>
      <c r="AG203" s="713"/>
      <c r="AH203" s="713"/>
      <c r="AI203" s="713"/>
      <c r="AJ203" s="713"/>
      <c r="AK203" s="713"/>
      <c r="AL203" s="713"/>
    </row>
    <row r="204" spans="1:38" ht="15" customHeight="1">
      <c r="A204" s="504" t="s">
        <v>3909</v>
      </c>
      <c r="B204" s="504" t="s">
        <v>393</v>
      </c>
      <c r="C204" s="504" t="s">
        <v>12</v>
      </c>
      <c r="D204" s="504" t="s">
        <v>19</v>
      </c>
      <c r="E204" s="505" t="s">
        <v>4005</v>
      </c>
      <c r="F204" s="505">
        <f>14.85*0.85*'PLANILHA ORÇA - CORREGEDORIA'!$BH$19</f>
        <v>14.061570582594101</v>
      </c>
      <c r="G204" s="505">
        <f t="shared" si="75"/>
        <v>0.4</v>
      </c>
      <c r="H204" s="26">
        <f t="shared" si="71"/>
        <v>0</v>
      </c>
      <c r="I204" s="26">
        <f t="shared" si="76"/>
        <v>0</v>
      </c>
      <c r="M204" s="375"/>
      <c r="N204" s="79"/>
      <c r="O204" s="653"/>
      <c r="P204" s="594"/>
      <c r="Q204" s="653"/>
      <c r="R204" s="653"/>
      <c r="S204" s="653"/>
      <c r="T204" s="653"/>
      <c r="U204" s="653"/>
      <c r="V204" s="653"/>
      <c r="W204" s="713"/>
      <c r="X204" s="704"/>
      <c r="Y204" s="713"/>
      <c r="Z204" s="713"/>
      <c r="AA204" s="704"/>
      <c r="AB204" s="704"/>
      <c r="AC204" s="653"/>
      <c r="AD204" s="674"/>
      <c r="AE204" s="713"/>
      <c r="AF204" s="713"/>
      <c r="AG204" s="713"/>
      <c r="AH204" s="713"/>
      <c r="AI204" s="713"/>
      <c r="AJ204" s="713"/>
      <c r="AK204" s="713"/>
      <c r="AL204" s="713"/>
    </row>
    <row r="205" spans="1:38" ht="15" customHeight="1">
      <c r="A205" s="504" t="s">
        <v>3910</v>
      </c>
      <c r="B205" s="504" t="s">
        <v>376</v>
      </c>
      <c r="C205" s="504" t="s">
        <v>12</v>
      </c>
      <c r="D205" s="504" t="s">
        <v>19</v>
      </c>
      <c r="E205" s="505" t="s">
        <v>4006</v>
      </c>
      <c r="F205" s="505">
        <f>17.6*0.85*'PLANILHA ORÇA - CORREGEDORIA'!$BH$19</f>
        <v>16.665565134926347</v>
      </c>
      <c r="G205" s="505">
        <f t="shared" si="75"/>
        <v>2.38</v>
      </c>
      <c r="H205" s="26">
        <f t="shared" si="71"/>
        <v>0</v>
      </c>
      <c r="I205" s="26">
        <f t="shared" si="76"/>
        <v>0</v>
      </c>
      <c r="M205" s="375"/>
      <c r="N205" s="79"/>
      <c r="O205" s="653"/>
      <c r="P205" s="594"/>
      <c r="Q205" s="653"/>
      <c r="R205" s="653"/>
      <c r="S205" s="653"/>
      <c r="T205" s="653"/>
      <c r="U205" s="653"/>
      <c r="V205" s="653"/>
      <c r="W205" s="713"/>
      <c r="X205" s="704"/>
      <c r="Y205" s="713"/>
      <c r="Z205" s="713"/>
      <c r="AA205" s="704"/>
      <c r="AB205" s="704"/>
      <c r="AC205" s="653"/>
      <c r="AD205" s="674"/>
      <c r="AE205" s="713"/>
      <c r="AF205" s="713"/>
      <c r="AG205" s="713"/>
      <c r="AH205" s="713"/>
      <c r="AI205" s="713"/>
      <c r="AJ205" s="713"/>
      <c r="AK205" s="713"/>
      <c r="AL205" s="713"/>
    </row>
    <row r="206" spans="1:38" ht="15" customHeight="1">
      <c r="A206" s="729" t="s">
        <v>3931</v>
      </c>
      <c r="B206" s="729" t="s">
        <v>3932</v>
      </c>
      <c r="C206" s="729" t="s">
        <v>12</v>
      </c>
      <c r="D206" s="729" t="s">
        <v>388</v>
      </c>
      <c r="E206" s="731" t="s">
        <v>3950</v>
      </c>
      <c r="F206" s="731">
        <v>24.45</v>
      </c>
      <c r="G206" s="731">
        <f>ROUND(F206*E206*$E$201,2)</f>
        <v>0.23</v>
      </c>
      <c r="H206" s="26">
        <f t="shared" si="71"/>
        <v>0</v>
      </c>
      <c r="I206" s="26">
        <f t="shared" si="76"/>
        <v>0</v>
      </c>
      <c r="M206" s="375"/>
      <c r="N206" s="79"/>
      <c r="O206" s="653"/>
      <c r="P206" s="594"/>
      <c r="Q206" s="653"/>
      <c r="R206" s="653"/>
      <c r="S206" s="653"/>
      <c r="T206" s="653"/>
      <c r="U206" s="653"/>
      <c r="V206" s="653"/>
      <c r="W206" s="713"/>
      <c r="X206" s="704"/>
      <c r="Y206" s="713"/>
      <c r="Z206" s="713"/>
      <c r="AA206" s="704"/>
      <c r="AB206" s="704"/>
      <c r="AC206" s="653"/>
      <c r="AD206" s="674"/>
      <c r="AE206" s="713"/>
      <c r="AF206" s="713"/>
      <c r="AG206" s="713"/>
      <c r="AH206" s="713"/>
      <c r="AI206" s="713"/>
      <c r="AJ206" s="713"/>
      <c r="AK206" s="713"/>
      <c r="AL206" s="713"/>
    </row>
    <row r="207" spans="1:38" ht="15" customHeight="1">
      <c r="A207" s="729" t="s">
        <v>3933</v>
      </c>
      <c r="B207" s="729" t="s">
        <v>3934</v>
      </c>
      <c r="C207" s="729" t="s">
        <v>12</v>
      </c>
      <c r="D207" s="729" t="s">
        <v>389</v>
      </c>
      <c r="E207" s="731" t="s">
        <v>4007</v>
      </c>
      <c r="F207" s="731">
        <v>23.01</v>
      </c>
      <c r="G207" s="731">
        <f>ROUND(F207*E207*$E$201,2)</f>
        <v>0.43</v>
      </c>
      <c r="H207" s="26">
        <f t="shared" si="71"/>
        <v>0</v>
      </c>
      <c r="I207" s="26">
        <f>ROUND(H207*E207*$E$201,2)</f>
        <v>0</v>
      </c>
      <c r="M207" s="375"/>
      <c r="N207" s="79"/>
      <c r="O207" s="653"/>
      <c r="P207" s="594"/>
      <c r="Q207" s="653"/>
      <c r="R207" s="653"/>
      <c r="S207" s="653"/>
      <c r="T207" s="653"/>
      <c r="U207" s="653"/>
      <c r="V207" s="653"/>
      <c r="W207" s="713"/>
      <c r="X207" s="704"/>
      <c r="Y207" s="713"/>
      <c r="Z207" s="713"/>
      <c r="AA207" s="704"/>
      <c r="AB207" s="704"/>
      <c r="AC207" s="653"/>
      <c r="AD207" s="674"/>
      <c r="AE207" s="713"/>
      <c r="AF207" s="713"/>
      <c r="AG207" s="713"/>
      <c r="AH207" s="713"/>
      <c r="AI207" s="713"/>
      <c r="AJ207" s="713"/>
      <c r="AK207" s="713"/>
      <c r="AL207" s="713"/>
    </row>
    <row r="208" spans="1:38">
      <c r="A208" s="917" t="s">
        <v>1894</v>
      </c>
      <c r="B208" s="918"/>
      <c r="C208" s="918"/>
      <c r="D208" s="918"/>
      <c r="E208" s="918"/>
      <c r="F208" s="919"/>
      <c r="G208" s="79">
        <f>SUM(G191:G207)</f>
        <v>284.67</v>
      </c>
      <c r="H208" s="485"/>
      <c r="I208" s="79">
        <f>SUM(I191:I207)</f>
        <v>222.37</v>
      </c>
      <c r="M208" s="104"/>
      <c r="N208" s="104"/>
      <c r="O208" s="80"/>
      <c r="P208" s="426"/>
      <c r="Q208" s="80"/>
      <c r="R208" s="80"/>
      <c r="S208" s="80"/>
      <c r="T208" s="80"/>
      <c r="U208" s="80"/>
      <c r="V208" s="80"/>
      <c r="W208" s="104"/>
      <c r="X208" s="104"/>
      <c r="Y208" s="104"/>
      <c r="Z208" s="104"/>
      <c r="AA208" s="104"/>
      <c r="AB208" s="104"/>
      <c r="AC208" s="80"/>
      <c r="AD208" s="80"/>
      <c r="AE208" s="697"/>
      <c r="AF208" s="697"/>
      <c r="AG208" s="697"/>
      <c r="AH208" s="697"/>
      <c r="AI208" s="697"/>
      <c r="AJ208" s="697"/>
      <c r="AK208" s="697"/>
      <c r="AL208" s="697"/>
    </row>
    <row r="209" spans="1:38">
      <c r="A209" s="697"/>
      <c r="B209" s="80"/>
      <c r="C209" s="490"/>
      <c r="D209" s="491"/>
      <c r="E209" s="80"/>
      <c r="F209" s="104"/>
      <c r="G209" s="104"/>
      <c r="H209" s="80"/>
      <c r="I209" s="80"/>
      <c r="M209" s="104"/>
      <c r="N209" s="104"/>
      <c r="O209" s="80"/>
      <c r="P209" s="426"/>
      <c r="Q209" s="80"/>
      <c r="R209" s="80"/>
      <c r="S209" s="80"/>
      <c r="T209" s="80"/>
      <c r="U209" s="80"/>
      <c r="V209" s="80"/>
      <c r="W209" s="104"/>
      <c r="X209" s="104"/>
      <c r="Y209" s="104"/>
      <c r="Z209" s="104"/>
      <c r="AA209" s="104"/>
      <c r="AB209" s="104"/>
      <c r="AC209" s="80"/>
      <c r="AD209" s="80"/>
      <c r="AE209" s="697"/>
      <c r="AF209" s="697"/>
      <c r="AG209" s="697"/>
      <c r="AH209" s="697"/>
      <c r="AI209" s="697"/>
      <c r="AJ209" s="697"/>
      <c r="AK209" s="697"/>
      <c r="AL209" s="697"/>
    </row>
    <row r="210" spans="1:38" ht="57.75" customHeight="1">
      <c r="A210" s="697"/>
      <c r="B210" s="80"/>
      <c r="C210" s="490"/>
      <c r="D210" s="491"/>
      <c r="E210" s="80"/>
      <c r="F210" s="104"/>
      <c r="G210" s="104"/>
      <c r="H210" s="80"/>
      <c r="I210" s="486"/>
      <c r="M210" s="537"/>
      <c r="N210" s="537"/>
      <c r="O210" s="75"/>
      <c r="P210" s="589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</row>
    <row r="211" spans="1:38">
      <c r="A211" s="920" t="s">
        <v>2057</v>
      </c>
      <c r="B211" s="921"/>
      <c r="C211" s="921"/>
      <c r="D211" s="921"/>
      <c r="E211" s="922"/>
      <c r="F211" s="484"/>
      <c r="G211" s="484"/>
      <c r="H211" s="75" t="s">
        <v>1915</v>
      </c>
      <c r="I211" s="77" t="s">
        <v>368</v>
      </c>
      <c r="M211" s="93"/>
      <c r="N211" s="93"/>
      <c r="O211" s="77"/>
      <c r="P211" s="590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</row>
    <row r="212" spans="1:38" ht="45" customHeight="1">
      <c r="A212" s="77" t="s">
        <v>1917</v>
      </c>
      <c r="B212" s="668"/>
      <c r="C212" s="77" t="s">
        <v>3</v>
      </c>
      <c r="D212" s="77" t="s">
        <v>4</v>
      </c>
      <c r="E212" s="77" t="s">
        <v>1826</v>
      </c>
      <c r="F212" s="93" t="s">
        <v>3781</v>
      </c>
      <c r="G212" s="93" t="s">
        <v>3783</v>
      </c>
      <c r="H212" s="77" t="s">
        <v>367</v>
      </c>
      <c r="I212" s="26" t="e">
        <f>ROUND(H212*E212,2)</f>
        <v>#VALUE!</v>
      </c>
      <c r="J212" s="375">
        <v>341.56399999999996</v>
      </c>
      <c r="K212" s="2" t="e">
        <f>IF(A213&lt;&gt;0,VLOOKUP(A213,#REF!,2,FALSE),"")</f>
        <v>#REF!</v>
      </c>
      <c r="M212" s="26"/>
      <c r="N212" s="26"/>
      <c r="O212" s="26"/>
      <c r="P212" s="595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5"/>
      <c r="AF212" s="25"/>
      <c r="AG212" s="25"/>
      <c r="AH212" s="25"/>
      <c r="AI212" s="25"/>
      <c r="AJ212" s="25"/>
      <c r="AK212" s="25"/>
      <c r="AL212" s="25"/>
    </row>
    <row r="213" spans="1:38" ht="60">
      <c r="A213" s="24">
        <v>1525</v>
      </c>
      <c r="B213" s="78" t="s">
        <v>401</v>
      </c>
      <c r="C213" s="25" t="s">
        <v>12</v>
      </c>
      <c r="D213" s="25" t="s">
        <v>35</v>
      </c>
      <c r="E213" s="26">
        <v>1.103</v>
      </c>
      <c r="F213" s="26">
        <f t="shared" ref="F213" si="77">AVERAGE(M213:AL213)</f>
        <v>526.25</v>
      </c>
      <c r="G213" s="26">
        <f t="shared" ref="G213:G218" si="78">ROUND(F213*E213,2)</f>
        <v>580.45000000000005</v>
      </c>
      <c r="H213" s="26">
        <f t="shared" ref="H213:H218" si="79">J212</f>
        <v>341.56399999999996</v>
      </c>
      <c r="I213" s="26">
        <f t="shared" ref="I213:I216" si="80">ROUND(H213*E213,2)</f>
        <v>376.75</v>
      </c>
      <c r="J213" s="375">
        <v>14.96</v>
      </c>
      <c r="K213" s="2" t="e">
        <f>IF(A214&lt;&gt;0,VLOOKUP(A214,#REF!,2,FALSE),"")</f>
        <v>#REF!</v>
      </c>
      <c r="M213" s="26"/>
      <c r="N213" s="26"/>
      <c r="O213" s="26"/>
      <c r="P213" s="595"/>
      <c r="Q213" s="26">
        <v>540</v>
      </c>
      <c r="R213" s="26">
        <v>515</v>
      </c>
      <c r="S213" s="26">
        <v>525</v>
      </c>
      <c r="T213" s="26">
        <v>525</v>
      </c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5"/>
      <c r="AF213" s="25"/>
      <c r="AG213" s="25"/>
      <c r="AH213" s="25"/>
      <c r="AI213" s="25"/>
      <c r="AJ213" s="25"/>
      <c r="AK213" s="25"/>
      <c r="AL213" s="25"/>
    </row>
    <row r="214" spans="1:38" ht="30">
      <c r="A214" s="503">
        <v>88262</v>
      </c>
      <c r="B214" s="628" t="s">
        <v>376</v>
      </c>
      <c r="C214" s="504" t="s">
        <v>12</v>
      </c>
      <c r="D214" s="504" t="s">
        <v>19</v>
      </c>
      <c r="E214" s="505">
        <v>9.4E-2</v>
      </c>
      <c r="F214" s="505">
        <f>17.6*0.85*'PLANILHA ORÇA - CORREGEDORIA'!$BH$19</f>
        <v>16.665565134926347</v>
      </c>
      <c r="G214" s="505">
        <f>ROUND(F214*E214,2)</f>
        <v>1.57</v>
      </c>
      <c r="H214" s="26">
        <f t="shared" si="79"/>
        <v>14.96</v>
      </c>
      <c r="I214" s="26">
        <f t="shared" si="80"/>
        <v>1.41</v>
      </c>
      <c r="J214" s="375">
        <v>15.121499999999999</v>
      </c>
      <c r="K214" s="2" t="e">
        <f>IF(A215&lt;&gt;0,VLOOKUP(A215,#REF!,2,FALSE),"")</f>
        <v>#REF!</v>
      </c>
      <c r="M214" s="26"/>
      <c r="N214" s="26"/>
      <c r="O214" s="26"/>
      <c r="P214" s="595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5"/>
      <c r="AF214" s="25"/>
      <c r="AG214" s="25"/>
      <c r="AH214" s="25"/>
      <c r="AI214" s="25"/>
      <c r="AJ214" s="25"/>
      <c r="AK214" s="25"/>
      <c r="AL214" s="25"/>
    </row>
    <row r="215" spans="1:38">
      <c r="A215" s="503">
        <v>88309</v>
      </c>
      <c r="B215" s="628" t="s">
        <v>390</v>
      </c>
      <c r="C215" s="504" t="s">
        <v>12</v>
      </c>
      <c r="D215" s="504" t="s">
        <v>19</v>
      </c>
      <c r="E215" s="505">
        <v>0.56499999999999995</v>
      </c>
      <c r="F215" s="505">
        <f>17.79*0.85*'PLANILHA ORÇA - CORREGEDORIA'!$BH$19</f>
        <v>16.845477485814751</v>
      </c>
      <c r="G215" s="505">
        <f t="shared" si="78"/>
        <v>9.52</v>
      </c>
      <c r="H215" s="26">
        <f t="shared" si="79"/>
        <v>15.121499999999999</v>
      </c>
      <c r="I215" s="26">
        <f t="shared" si="80"/>
        <v>8.5399999999999991</v>
      </c>
      <c r="J215" s="375">
        <v>11.798000000000002</v>
      </c>
      <c r="K215" s="2" t="e">
        <f>IF(A216&lt;&gt;0,VLOOKUP(A216,#REF!,2,FALSE),"")</f>
        <v>#REF!</v>
      </c>
      <c r="M215" s="26"/>
      <c r="N215" s="26"/>
      <c r="O215" s="26"/>
      <c r="P215" s="595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5"/>
      <c r="AF215" s="25"/>
      <c r="AG215" s="25"/>
      <c r="AH215" s="25"/>
      <c r="AI215" s="25"/>
      <c r="AJ215" s="25"/>
      <c r="AK215" s="25"/>
      <c r="AL215" s="25"/>
    </row>
    <row r="216" spans="1:38">
      <c r="A216" s="503">
        <v>88316</v>
      </c>
      <c r="B216" s="628" t="s">
        <v>377</v>
      </c>
      <c r="C216" s="504" t="s">
        <v>12</v>
      </c>
      <c r="D216" s="504" t="s">
        <v>19</v>
      </c>
      <c r="E216" s="505">
        <v>0.63800000000000001</v>
      </c>
      <c r="F216" s="505">
        <f>13.88*0.85*'PLANILHA ORÇA - CORREGEDORIA'!$BH$19</f>
        <v>13.143070685953276</v>
      </c>
      <c r="G216" s="505">
        <f t="shared" si="78"/>
        <v>8.39</v>
      </c>
      <c r="H216" s="26">
        <f t="shared" si="79"/>
        <v>11.798000000000002</v>
      </c>
      <c r="I216" s="26">
        <f t="shared" si="80"/>
        <v>7.53</v>
      </c>
      <c r="J216" s="375">
        <v>1.4449999999999998</v>
      </c>
      <c r="K216" s="2" t="e">
        <f>IF(A217&lt;&gt;0,VLOOKUP(A217,#REF!,2,FALSE),"")</f>
        <v>#REF!</v>
      </c>
      <c r="M216" s="26"/>
      <c r="N216" s="26"/>
      <c r="O216" s="26"/>
      <c r="P216" s="595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5"/>
      <c r="AF216" s="25"/>
      <c r="AG216" s="25"/>
      <c r="AH216" s="25"/>
      <c r="AI216" s="25"/>
      <c r="AJ216" s="25"/>
      <c r="AK216" s="25"/>
      <c r="AL216" s="25"/>
    </row>
    <row r="217" spans="1:38" ht="45">
      <c r="A217" s="727">
        <v>90586</v>
      </c>
      <c r="B217" s="728" t="s">
        <v>1780</v>
      </c>
      <c r="C217" s="729" t="s">
        <v>12</v>
      </c>
      <c r="D217" s="729" t="s">
        <v>388</v>
      </c>
      <c r="E217" s="731">
        <v>5.6000000000000001E-2</v>
      </c>
      <c r="F217" s="731">
        <v>1.48</v>
      </c>
      <c r="G217" s="731">
        <f>ROUND(F217*E217,2)</f>
        <v>0.08</v>
      </c>
      <c r="H217" s="26">
        <f>J216</f>
        <v>1.4449999999999998</v>
      </c>
      <c r="I217" s="26">
        <f>ROUND(H217*E217,2)</f>
        <v>0.08</v>
      </c>
      <c r="J217" s="375">
        <v>0.374</v>
      </c>
      <c r="K217" s="2" t="e">
        <f>IF(A218&lt;&gt;0,VLOOKUP(A218,#REF!,2,FALSE),"")</f>
        <v>#REF!</v>
      </c>
      <c r="M217" s="26"/>
      <c r="N217" s="26"/>
      <c r="O217" s="26"/>
      <c r="P217" s="595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5"/>
      <c r="AF217" s="25"/>
      <c r="AG217" s="25"/>
      <c r="AH217" s="25"/>
      <c r="AI217" s="25"/>
      <c r="AJ217" s="25"/>
      <c r="AK217" s="25"/>
      <c r="AL217" s="25"/>
    </row>
    <row r="218" spans="1:38" ht="15" customHeight="1">
      <c r="A218" s="727">
        <v>90587</v>
      </c>
      <c r="B218" s="728" t="s">
        <v>1783</v>
      </c>
      <c r="C218" s="729" t="s">
        <v>12</v>
      </c>
      <c r="D218" s="729" t="s">
        <v>389</v>
      </c>
      <c r="E218" s="731">
        <v>0.13300000000000001</v>
      </c>
      <c r="F218" s="731">
        <v>0.56000000000000005</v>
      </c>
      <c r="G218" s="731">
        <f t="shared" si="78"/>
        <v>7.0000000000000007E-2</v>
      </c>
      <c r="H218" s="26">
        <f t="shared" si="79"/>
        <v>0.374</v>
      </c>
      <c r="I218" s="26">
        <f>ROUND(H218*E218,2)</f>
        <v>0.05</v>
      </c>
      <c r="M218" s="375"/>
      <c r="N218" s="79"/>
      <c r="O218" s="535"/>
      <c r="P218" s="594"/>
      <c r="Q218" s="543"/>
      <c r="R218" s="543"/>
      <c r="S218" s="543"/>
      <c r="T218" s="569"/>
      <c r="U218" s="569"/>
      <c r="V218" s="653"/>
      <c r="W218" s="713"/>
      <c r="X218" s="704"/>
      <c r="Y218" s="713"/>
      <c r="Z218" s="713"/>
      <c r="AA218" s="704"/>
      <c r="AB218" s="704"/>
      <c r="AC218" s="653"/>
      <c r="AD218" s="674"/>
      <c r="AE218" s="713"/>
      <c r="AF218" s="713"/>
      <c r="AG218" s="713"/>
      <c r="AH218" s="713"/>
      <c r="AI218" s="713"/>
      <c r="AJ218" s="713"/>
      <c r="AK218" s="713"/>
      <c r="AL218" s="713"/>
    </row>
    <row r="219" spans="1:38" ht="35.25" customHeight="1">
      <c r="A219" s="917" t="s">
        <v>1894</v>
      </c>
      <c r="B219" s="918"/>
      <c r="C219" s="918"/>
      <c r="D219" s="918"/>
      <c r="E219" s="918"/>
      <c r="F219" s="926"/>
      <c r="G219" s="79">
        <f>ROUND(SUM(G213:G218),2)</f>
        <v>600.08000000000004</v>
      </c>
      <c r="H219" s="485"/>
      <c r="I219" s="79">
        <f>ROUND(SUM(I213:I218),2)</f>
        <v>394.36</v>
      </c>
      <c r="M219" s="104"/>
      <c r="N219" s="104"/>
      <c r="O219" s="80"/>
      <c r="P219" s="426"/>
      <c r="Q219" s="80"/>
      <c r="R219" s="80"/>
      <c r="S219" s="80"/>
      <c r="T219" s="80"/>
      <c r="U219" s="80"/>
      <c r="V219" s="80"/>
      <c r="W219" s="104"/>
      <c r="X219" s="104"/>
      <c r="Y219" s="104"/>
      <c r="Z219" s="104"/>
      <c r="AA219" s="104"/>
      <c r="AB219" s="104"/>
      <c r="AC219" s="80"/>
      <c r="AD219" s="80"/>
      <c r="AE219" s="697"/>
      <c r="AF219" s="697"/>
      <c r="AG219" s="697"/>
      <c r="AH219" s="697"/>
      <c r="AI219" s="697"/>
      <c r="AJ219" s="697"/>
      <c r="AK219" s="697"/>
      <c r="AL219" s="697"/>
    </row>
    <row r="220" spans="1:38" ht="57.75" customHeight="1">
      <c r="A220" s="697"/>
      <c r="B220" s="80"/>
      <c r="C220" s="490"/>
      <c r="D220" s="491"/>
      <c r="E220" s="80"/>
      <c r="F220" s="104"/>
      <c r="G220" s="104"/>
      <c r="H220" s="80"/>
      <c r="I220" s="82">
        <v>92489</v>
      </c>
      <c r="M220" s="537"/>
      <c r="N220" s="537"/>
      <c r="O220" s="75"/>
      <c r="P220" s="589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</row>
    <row r="221" spans="1:38" ht="28.5" customHeight="1">
      <c r="A221" s="920" t="s">
        <v>3897</v>
      </c>
      <c r="B221" s="921"/>
      <c r="C221" s="921"/>
      <c r="D221" s="921"/>
      <c r="E221" s="922"/>
      <c r="F221" s="484"/>
      <c r="G221" s="484"/>
      <c r="H221" s="75" t="s">
        <v>1915</v>
      </c>
      <c r="I221" s="77" t="s">
        <v>368</v>
      </c>
      <c r="M221" s="93"/>
      <c r="N221" s="93"/>
      <c r="O221" s="77"/>
      <c r="P221" s="590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</row>
    <row r="222" spans="1:38" ht="45" customHeight="1">
      <c r="A222" s="77" t="s">
        <v>1917</v>
      </c>
      <c r="B222" s="668"/>
      <c r="C222" s="77" t="s">
        <v>3</v>
      </c>
      <c r="D222" s="77" t="s">
        <v>4</v>
      </c>
      <c r="E222" s="77" t="s">
        <v>1826</v>
      </c>
      <c r="F222" s="93" t="s">
        <v>3781</v>
      </c>
      <c r="G222" s="93" t="s">
        <v>3783</v>
      </c>
      <c r="H222" s="77" t="s">
        <v>367</v>
      </c>
      <c r="I222" s="26" t="e">
        <f>ROUND(H222*E222,2)</f>
        <v>#VALUE!</v>
      </c>
      <c r="J222" s="375">
        <v>5.6355000000000004</v>
      </c>
      <c r="K222" s="2" t="e">
        <f>IF(A223&lt;&gt;0,VLOOKUP(A223,#REF!,2,FALSE),"")</f>
        <v>#REF!</v>
      </c>
      <c r="M222" s="26"/>
      <c r="N222" s="26"/>
      <c r="O222" s="26"/>
      <c r="P222" s="595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5"/>
      <c r="AF222" s="25"/>
      <c r="AG222" s="25"/>
      <c r="AH222" s="25"/>
      <c r="AI222" s="25"/>
      <c r="AJ222" s="25"/>
      <c r="AK222" s="25"/>
      <c r="AL222" s="25"/>
    </row>
    <row r="223" spans="1:38" ht="45">
      <c r="A223" s="24">
        <v>2692</v>
      </c>
      <c r="B223" s="78" t="s">
        <v>399</v>
      </c>
      <c r="C223" s="25" t="s">
        <v>12</v>
      </c>
      <c r="D223" s="25" t="s">
        <v>381</v>
      </c>
      <c r="E223" s="26">
        <v>8.0000000000000002E-3</v>
      </c>
      <c r="F223" s="26">
        <f t="shared" ref="F223" si="81">AVERAGE(M223:AL223)</f>
        <v>15.523</v>
      </c>
      <c r="G223" s="26">
        <f t="shared" ref="G223:G229" si="82">ROUND(F223*E223,2)</f>
        <v>0.12</v>
      </c>
      <c r="H223" s="26">
        <f>J222</f>
        <v>5.6355000000000004</v>
      </c>
      <c r="I223" s="26">
        <f t="shared" ref="I223:I229" si="83">ROUND(H223*E223,2)</f>
        <v>0.05</v>
      </c>
      <c r="J223" s="375">
        <v>2.5245000000000002</v>
      </c>
      <c r="K223" s="2" t="e">
        <f>IF(A224&lt;&gt;0,VLOOKUP(A224,#REF!,2,FALSE),"")</f>
        <v>#REF!</v>
      </c>
      <c r="M223" s="26"/>
      <c r="N223" s="26">
        <v>16.53</v>
      </c>
      <c r="O223" s="26"/>
      <c r="P223" s="595">
        <v>14.516</v>
      </c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5"/>
      <c r="AF223" s="25"/>
      <c r="AG223" s="25"/>
      <c r="AH223" s="25"/>
      <c r="AI223" s="25"/>
      <c r="AJ223" s="25"/>
      <c r="AK223" s="25"/>
      <c r="AL223" s="25"/>
    </row>
    <row r="224" spans="1:38" ht="60">
      <c r="A224" s="727">
        <v>10749</v>
      </c>
      <c r="B224" s="728" t="s">
        <v>410</v>
      </c>
      <c r="C224" s="729" t="s">
        <v>12</v>
      </c>
      <c r="D224" s="729" t="s">
        <v>13</v>
      </c>
      <c r="E224" s="731">
        <v>0.39700000000000002</v>
      </c>
      <c r="F224" s="731">
        <v>4.7530000000000001</v>
      </c>
      <c r="G224" s="731">
        <f t="shared" si="82"/>
        <v>1.89</v>
      </c>
      <c r="H224" s="26">
        <f t="shared" ref="H224:H228" si="84">J223</f>
        <v>2.5245000000000002</v>
      </c>
      <c r="I224" s="26">
        <f t="shared" si="83"/>
        <v>1</v>
      </c>
      <c r="J224" s="375">
        <v>59.270500000000006</v>
      </c>
      <c r="K224" s="2" t="e">
        <f>IF(A225&lt;&gt;0,VLOOKUP(A225,#REF!,2,FALSE),"")</f>
        <v>#REF!</v>
      </c>
      <c r="M224" s="26"/>
      <c r="N224" s="26"/>
      <c r="O224" s="26"/>
      <c r="P224" s="595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5"/>
      <c r="AF224" s="25"/>
      <c r="AG224" s="25"/>
      <c r="AH224" s="25"/>
      <c r="AI224" s="25"/>
      <c r="AJ224" s="25"/>
      <c r="AK224" s="25"/>
      <c r="AL224" s="25"/>
    </row>
    <row r="225" spans="1:38" ht="45">
      <c r="A225" s="727">
        <v>40270</v>
      </c>
      <c r="B225" s="728" t="s">
        <v>411</v>
      </c>
      <c r="C225" s="729" t="s">
        <v>12</v>
      </c>
      <c r="D225" s="729" t="s">
        <v>52</v>
      </c>
      <c r="E225" s="731">
        <v>0.03</v>
      </c>
      <c r="F225" s="731">
        <v>111.03</v>
      </c>
      <c r="G225" s="731">
        <f t="shared" si="82"/>
        <v>3.33</v>
      </c>
      <c r="H225" s="26">
        <f t="shared" si="84"/>
        <v>59.270500000000006</v>
      </c>
      <c r="I225" s="26">
        <f t="shared" si="83"/>
        <v>1.78</v>
      </c>
      <c r="J225" s="375">
        <v>3.6465000000000001</v>
      </c>
      <c r="K225" s="2" t="e">
        <f>IF(A226&lt;&gt;0,VLOOKUP(A226,#REF!,2,FALSE),"")</f>
        <v>#REF!</v>
      </c>
      <c r="M225" s="26"/>
      <c r="N225" s="26"/>
      <c r="O225" s="26"/>
      <c r="P225" s="595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5"/>
      <c r="AF225" s="25"/>
      <c r="AG225" s="25"/>
      <c r="AH225" s="25"/>
      <c r="AI225" s="25"/>
      <c r="AJ225" s="25"/>
      <c r="AK225" s="25"/>
      <c r="AL225" s="25"/>
    </row>
    <row r="226" spans="1:38" ht="30">
      <c r="A226" s="727">
        <v>40290</v>
      </c>
      <c r="B226" s="728" t="s">
        <v>412</v>
      </c>
      <c r="C226" s="729" t="s">
        <v>12</v>
      </c>
      <c r="D226" s="729" t="s">
        <v>13</v>
      </c>
      <c r="E226" s="731">
        <v>1.03</v>
      </c>
      <c r="F226" s="731">
        <v>6.85</v>
      </c>
      <c r="G226" s="731">
        <f t="shared" si="82"/>
        <v>7.06</v>
      </c>
      <c r="H226" s="26">
        <f>J225</f>
        <v>3.6465000000000001</v>
      </c>
      <c r="I226" s="26">
        <f t="shared" si="83"/>
        <v>3.76</v>
      </c>
      <c r="J226" s="375">
        <v>12.622499999999999</v>
      </c>
      <c r="K226" s="2" t="e">
        <f>IF(A227&lt;&gt;0,VLOOKUP(A227,#REF!,2,FALSE),"")</f>
        <v>#REF!</v>
      </c>
      <c r="M226" s="26"/>
      <c r="N226" s="26"/>
      <c r="O226" s="26"/>
      <c r="P226" s="595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5"/>
      <c r="AF226" s="25"/>
      <c r="AG226" s="25"/>
      <c r="AH226" s="25"/>
      <c r="AI226" s="25"/>
      <c r="AJ226" s="25"/>
      <c r="AK226" s="25"/>
      <c r="AL226" s="25"/>
    </row>
    <row r="227" spans="1:38" ht="30">
      <c r="A227" s="503">
        <v>88239</v>
      </c>
      <c r="B227" s="628" t="s">
        <v>393</v>
      </c>
      <c r="C227" s="504" t="s">
        <v>12</v>
      </c>
      <c r="D227" s="504" t="s">
        <v>19</v>
      </c>
      <c r="E227" s="505">
        <v>0.17599999999999999</v>
      </c>
      <c r="F227" s="505">
        <f>14.85*0.85*'PLANILHA ORÇA - CORREGEDORIA'!$BH$19</f>
        <v>14.061570582594101</v>
      </c>
      <c r="G227" s="505">
        <f t="shared" si="82"/>
        <v>2.4700000000000002</v>
      </c>
      <c r="H227" s="26">
        <f t="shared" si="84"/>
        <v>12.622499999999999</v>
      </c>
      <c r="I227" s="26">
        <f t="shared" si="83"/>
        <v>2.2200000000000002</v>
      </c>
      <c r="J227" s="375">
        <v>14.96</v>
      </c>
      <c r="K227" s="2" t="e">
        <f>IF(A228&lt;&gt;0,VLOOKUP(A228,#REF!,2,FALSE),"")</f>
        <v>#REF!</v>
      </c>
      <c r="M227" s="26"/>
      <c r="N227" s="26"/>
      <c r="O227" s="26"/>
      <c r="P227" s="595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5"/>
      <c r="AF227" s="25"/>
      <c r="AG227" s="25"/>
      <c r="AH227" s="25"/>
      <c r="AI227" s="25"/>
      <c r="AJ227" s="25"/>
      <c r="AK227" s="25"/>
      <c r="AL227" s="25"/>
    </row>
    <row r="228" spans="1:38" ht="30">
      <c r="A228" s="503">
        <v>88262</v>
      </c>
      <c r="B228" s="628" t="s">
        <v>376</v>
      </c>
      <c r="C228" s="504" t="s">
        <v>12</v>
      </c>
      <c r="D228" s="504" t="s">
        <v>19</v>
      </c>
      <c r="E228" s="505">
        <v>0.96099999999999997</v>
      </c>
      <c r="F228" s="505">
        <f>17.6*0.85*'PLANILHA ORÇA - CORREGEDORIA'!$BH$19</f>
        <v>16.665565134926347</v>
      </c>
      <c r="G228" s="505">
        <f t="shared" si="82"/>
        <v>16.02</v>
      </c>
      <c r="H228" s="26">
        <f t="shared" si="84"/>
        <v>14.96</v>
      </c>
      <c r="I228" s="26">
        <f t="shared" si="83"/>
        <v>14.38</v>
      </c>
      <c r="J228" s="375">
        <v>30.880499999999998</v>
      </c>
      <c r="K228" s="2" t="e">
        <f>IF(A229&lt;&gt;0,VLOOKUP(A229,#REF!,2,FALSE),"")</f>
        <v>#REF!</v>
      </c>
      <c r="M228" s="26"/>
      <c r="N228" s="26"/>
      <c r="O228" s="26"/>
      <c r="P228" s="595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5"/>
      <c r="AF228" s="25"/>
      <c r="AG228" s="25"/>
      <c r="AH228" s="25"/>
      <c r="AI228" s="25"/>
      <c r="AJ228" s="25"/>
      <c r="AK228" s="25"/>
      <c r="AL228" s="25"/>
    </row>
    <row r="229" spans="1:38" s="34" customFormat="1" ht="15" customHeight="1">
      <c r="A229" s="475" t="s">
        <v>4012</v>
      </c>
      <c r="B229" s="661" t="s">
        <v>1788</v>
      </c>
      <c r="C229" s="472" t="s">
        <v>12</v>
      </c>
      <c r="D229" s="472" t="s">
        <v>26</v>
      </c>
      <c r="E229" s="473">
        <v>0.183</v>
      </c>
      <c r="F229" s="473"/>
      <c r="G229" s="473">
        <f t="shared" si="82"/>
        <v>0</v>
      </c>
      <c r="H229" s="473"/>
      <c r="I229" s="473">
        <f t="shared" si="83"/>
        <v>0</v>
      </c>
      <c r="J229" s="378"/>
      <c r="L229" s="378"/>
      <c r="M229" s="378"/>
      <c r="N229" s="662"/>
      <c r="O229" s="687"/>
      <c r="P229" s="687"/>
      <c r="Q229" s="687"/>
      <c r="R229" s="687"/>
      <c r="S229" s="687"/>
      <c r="T229" s="687"/>
      <c r="U229" s="687"/>
      <c r="V229" s="687"/>
      <c r="W229" s="687"/>
      <c r="X229" s="687"/>
      <c r="Y229" s="687"/>
      <c r="Z229" s="687"/>
      <c r="AA229" s="687"/>
      <c r="AB229" s="687"/>
      <c r="AC229" s="687"/>
      <c r="AD229" s="687"/>
      <c r="AE229" s="687"/>
      <c r="AF229" s="687"/>
      <c r="AG229" s="687"/>
      <c r="AH229" s="687"/>
      <c r="AI229" s="687"/>
      <c r="AJ229" s="687"/>
      <c r="AK229" s="687"/>
      <c r="AL229" s="687"/>
    </row>
    <row r="230" spans="1:38" ht="15" customHeight="1">
      <c r="A230" s="25" t="s">
        <v>3989</v>
      </c>
      <c r="B230" s="25" t="s">
        <v>3990</v>
      </c>
      <c r="C230" s="25" t="s">
        <v>12</v>
      </c>
      <c r="D230" s="25" t="s">
        <v>26</v>
      </c>
      <c r="E230" s="26" t="s">
        <v>4008</v>
      </c>
      <c r="F230" s="26">
        <f t="shared" ref="F230" si="85">AVERAGE(M230:AL230)</f>
        <v>55.79</v>
      </c>
      <c r="G230" s="26">
        <f>ROUND(F230*E230*$E$229,2)</f>
        <v>10.72</v>
      </c>
      <c r="H230" s="26"/>
      <c r="I230" s="26">
        <f>ROUND(H230*E230*$E$229,2)</f>
        <v>0</v>
      </c>
      <c r="M230" s="375"/>
      <c r="N230" s="79"/>
      <c r="O230" s="653"/>
      <c r="P230" s="594"/>
      <c r="Q230" s="653"/>
      <c r="R230" s="653"/>
      <c r="S230" s="653"/>
      <c r="T230" s="653"/>
      <c r="U230" s="653"/>
      <c r="V230" s="653">
        <v>55.79</v>
      </c>
      <c r="W230" s="713"/>
      <c r="X230" s="704"/>
      <c r="Y230" s="713"/>
      <c r="Z230" s="713"/>
      <c r="AA230" s="704"/>
      <c r="AB230" s="704"/>
      <c r="AC230" s="653"/>
      <c r="AD230" s="674"/>
      <c r="AE230" s="713"/>
      <c r="AF230" s="713"/>
      <c r="AG230" s="713"/>
      <c r="AH230" s="713"/>
      <c r="AI230" s="713"/>
      <c r="AJ230" s="713"/>
      <c r="AK230" s="713"/>
      <c r="AL230" s="713"/>
    </row>
    <row r="231" spans="1:38" ht="15" customHeight="1">
      <c r="A231" s="504" t="s">
        <v>3909</v>
      </c>
      <c r="B231" s="504" t="s">
        <v>393</v>
      </c>
      <c r="C231" s="504" t="s">
        <v>12</v>
      </c>
      <c r="D231" s="504" t="s">
        <v>19</v>
      </c>
      <c r="E231" s="505" t="s">
        <v>4009</v>
      </c>
      <c r="F231" s="505">
        <f>14.85*0.85*'PLANILHA ORÇA - CORREGEDORIA'!$BH$19</f>
        <v>14.061570582594101</v>
      </c>
      <c r="G231" s="505">
        <f t="shared" ref="G231:G232" si="86">ROUND(F231*E231*$E$229,2)</f>
        <v>0.01</v>
      </c>
      <c r="H231" s="26"/>
      <c r="I231" s="26">
        <f t="shared" ref="I231:I232" si="87">ROUND(H231*E231*$E$229,2)</f>
        <v>0</v>
      </c>
      <c r="M231" s="375"/>
      <c r="N231" s="79"/>
      <c r="O231" s="653"/>
      <c r="P231" s="594"/>
      <c r="Q231" s="653"/>
      <c r="R231" s="653"/>
      <c r="S231" s="653"/>
      <c r="T231" s="653"/>
      <c r="U231" s="653"/>
      <c r="V231" s="653"/>
      <c r="W231" s="713"/>
      <c r="X231" s="704"/>
      <c r="Y231" s="713"/>
      <c r="Z231" s="713"/>
      <c r="AA231" s="704"/>
      <c r="AB231" s="704"/>
      <c r="AC231" s="653"/>
      <c r="AD231" s="674"/>
      <c r="AE231" s="713"/>
      <c r="AF231" s="713"/>
      <c r="AG231" s="713"/>
      <c r="AH231" s="713"/>
      <c r="AI231" s="713"/>
      <c r="AJ231" s="713"/>
      <c r="AK231" s="713"/>
      <c r="AL231" s="713"/>
    </row>
    <row r="232" spans="1:38" ht="15" customHeight="1">
      <c r="A232" s="504" t="s">
        <v>3910</v>
      </c>
      <c r="B232" s="504" t="s">
        <v>376</v>
      </c>
      <c r="C232" s="504" t="s">
        <v>12</v>
      </c>
      <c r="D232" s="504" t="s">
        <v>19</v>
      </c>
      <c r="E232" s="505" t="s">
        <v>4010</v>
      </c>
      <c r="F232" s="505">
        <f>17.6*0.85*'PLANILHA ORÇA - CORREGEDORIA'!$BH$19</f>
        <v>16.665565134926347</v>
      </c>
      <c r="G232" s="505">
        <f t="shared" si="86"/>
        <v>0.08</v>
      </c>
      <c r="H232" s="26"/>
      <c r="I232" s="26">
        <f t="shared" si="87"/>
        <v>0</v>
      </c>
      <c r="M232" s="375"/>
      <c r="N232" s="79"/>
      <c r="O232" s="653"/>
      <c r="P232" s="594"/>
      <c r="Q232" s="653"/>
      <c r="R232" s="653"/>
      <c r="S232" s="653"/>
      <c r="T232" s="653"/>
      <c r="U232" s="653"/>
      <c r="V232" s="653"/>
      <c r="W232" s="713"/>
      <c r="X232" s="704"/>
      <c r="Y232" s="713"/>
      <c r="Z232" s="713"/>
      <c r="AA232" s="704"/>
      <c r="AB232" s="704"/>
      <c r="AC232" s="653"/>
      <c r="AD232" s="674"/>
      <c r="AE232" s="713"/>
      <c r="AF232" s="713"/>
      <c r="AG232" s="713"/>
      <c r="AH232" s="713"/>
      <c r="AI232" s="713"/>
      <c r="AJ232" s="713"/>
      <c r="AK232" s="713"/>
      <c r="AL232" s="713"/>
    </row>
    <row r="233" spans="1:38" ht="15" customHeight="1">
      <c r="A233" s="729" t="s">
        <v>3931</v>
      </c>
      <c r="B233" s="729" t="s">
        <v>3932</v>
      </c>
      <c r="C233" s="729" t="s">
        <v>12</v>
      </c>
      <c r="D233" s="729" t="s">
        <v>388</v>
      </c>
      <c r="E233" s="731" t="s">
        <v>4009</v>
      </c>
      <c r="F233" s="731">
        <v>24.45</v>
      </c>
      <c r="G233" s="731">
        <f>ROUND(F233*E233*$E$229,2)</f>
        <v>0.02</v>
      </c>
      <c r="H233" s="26"/>
      <c r="I233" s="26">
        <f>ROUND(H233*E233*$E$229,2)</f>
        <v>0</v>
      </c>
      <c r="M233" s="375"/>
      <c r="N233" s="79"/>
      <c r="O233" s="653"/>
      <c r="P233" s="594"/>
      <c r="Q233" s="653"/>
      <c r="R233" s="653"/>
      <c r="S233" s="653"/>
      <c r="T233" s="653"/>
      <c r="U233" s="653"/>
      <c r="V233" s="653"/>
      <c r="W233" s="713"/>
      <c r="X233" s="704"/>
      <c r="Y233" s="713"/>
      <c r="Z233" s="713"/>
      <c r="AA233" s="704"/>
      <c r="AB233" s="704"/>
      <c r="AC233" s="653"/>
      <c r="AD233" s="674"/>
      <c r="AE233" s="713"/>
      <c r="AF233" s="713"/>
      <c r="AG233" s="713"/>
      <c r="AH233" s="713"/>
      <c r="AI233" s="713"/>
      <c r="AJ233" s="713"/>
      <c r="AK233" s="713"/>
      <c r="AL233" s="713"/>
    </row>
    <row r="234" spans="1:38" ht="15" customHeight="1">
      <c r="A234" s="729" t="s">
        <v>3933</v>
      </c>
      <c r="B234" s="729" t="s">
        <v>3934</v>
      </c>
      <c r="C234" s="729" t="s">
        <v>12</v>
      </c>
      <c r="D234" s="729" t="s">
        <v>389</v>
      </c>
      <c r="E234" s="731" t="s">
        <v>3949</v>
      </c>
      <c r="F234" s="731">
        <v>23.01</v>
      </c>
      <c r="G234" s="731">
        <f>ROUND(F234*E234*$E$229,2)</f>
        <v>0</v>
      </c>
      <c r="H234" s="26"/>
      <c r="I234" s="26">
        <f>ROUND(H234*E234*$E$229,2)</f>
        <v>0</v>
      </c>
      <c r="M234" s="375"/>
      <c r="N234" s="79"/>
      <c r="O234" s="653"/>
      <c r="P234" s="594"/>
      <c r="Q234" s="653"/>
      <c r="R234" s="653"/>
      <c r="S234" s="653"/>
      <c r="T234" s="653"/>
      <c r="U234" s="653"/>
      <c r="V234" s="653"/>
      <c r="W234" s="713"/>
      <c r="X234" s="704"/>
      <c r="Y234" s="713"/>
      <c r="Z234" s="713"/>
      <c r="AA234" s="704"/>
      <c r="AB234" s="704"/>
      <c r="AC234" s="653"/>
      <c r="AD234" s="674"/>
      <c r="AE234" s="713"/>
      <c r="AF234" s="713"/>
      <c r="AG234" s="713"/>
      <c r="AH234" s="713"/>
      <c r="AI234" s="713"/>
      <c r="AJ234" s="713"/>
      <c r="AK234" s="713"/>
      <c r="AL234" s="713"/>
    </row>
    <row r="235" spans="1:38" ht="24" customHeight="1">
      <c r="A235" s="917" t="s">
        <v>1894</v>
      </c>
      <c r="B235" s="918"/>
      <c r="C235" s="918"/>
      <c r="D235" s="918"/>
      <c r="E235" s="918"/>
      <c r="F235" s="926"/>
      <c r="G235" s="79">
        <f>ROUND(SUM(G223:G234),2)</f>
        <v>41.72</v>
      </c>
      <c r="H235" s="485"/>
      <c r="I235" s="79">
        <f>ROUND(SUM(I223:I234),2)</f>
        <v>23.19</v>
      </c>
      <c r="M235" s="104"/>
      <c r="N235" s="104"/>
      <c r="O235" s="80"/>
      <c r="P235" s="426"/>
      <c r="Q235" s="80"/>
      <c r="R235" s="80"/>
      <c r="S235" s="80"/>
      <c r="T235" s="80"/>
      <c r="U235" s="80"/>
      <c r="V235" s="80"/>
      <c r="W235" s="104"/>
      <c r="X235" s="104"/>
      <c r="Y235" s="104"/>
      <c r="Z235" s="104"/>
      <c r="AA235" s="104"/>
      <c r="AB235" s="104"/>
      <c r="AC235" s="80"/>
      <c r="AD235" s="80"/>
      <c r="AE235" s="697"/>
      <c r="AF235" s="697"/>
      <c r="AG235" s="697"/>
      <c r="AH235" s="697"/>
      <c r="AI235" s="697"/>
      <c r="AJ235" s="697"/>
      <c r="AK235" s="697"/>
      <c r="AL235" s="697"/>
    </row>
    <row r="236" spans="1:38" ht="33.75" customHeight="1">
      <c r="A236" s="697"/>
      <c r="B236" s="80"/>
      <c r="C236" s="490"/>
      <c r="D236" s="491"/>
      <c r="E236" s="80"/>
      <c r="F236" s="104"/>
      <c r="G236" s="104"/>
      <c r="H236" s="80"/>
      <c r="I236" s="486"/>
      <c r="M236" s="537"/>
      <c r="N236" s="537"/>
      <c r="O236" s="75"/>
      <c r="P236" s="589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</row>
    <row r="237" spans="1:38">
      <c r="A237" s="920" t="s">
        <v>2059</v>
      </c>
      <c r="B237" s="921"/>
      <c r="C237" s="921"/>
      <c r="D237" s="921"/>
      <c r="E237" s="922"/>
      <c r="F237" s="484"/>
      <c r="G237" s="484"/>
      <c r="H237" s="75" t="s">
        <v>1915</v>
      </c>
      <c r="I237" s="77" t="s">
        <v>368</v>
      </c>
      <c r="M237" s="93"/>
      <c r="N237" s="93"/>
      <c r="O237" s="77"/>
      <c r="P237" s="590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</row>
    <row r="238" spans="1:38" ht="45" customHeight="1">
      <c r="A238" s="77" t="s">
        <v>1917</v>
      </c>
      <c r="B238" s="668"/>
      <c r="C238" s="77" t="s">
        <v>3</v>
      </c>
      <c r="D238" s="77" t="s">
        <v>4</v>
      </c>
      <c r="E238" s="77" t="s">
        <v>1826</v>
      </c>
      <c r="F238" s="93" t="s">
        <v>3781</v>
      </c>
      <c r="G238" s="93" t="s">
        <v>3783</v>
      </c>
      <c r="H238" s="77" t="s">
        <v>367</v>
      </c>
      <c r="I238" s="26">
        <f>ROUND(H239*E239,2)</f>
        <v>0.27</v>
      </c>
      <c r="J238" s="375">
        <v>17.8415</v>
      </c>
      <c r="K238" s="2" t="e">
        <f>IF(A239&lt;&gt;0,VLOOKUP(A239,#REF!,2,FALSE),"")</f>
        <v>#REF!</v>
      </c>
      <c r="M238" s="26"/>
      <c r="N238" s="26"/>
      <c r="O238" s="26"/>
      <c r="P238" s="595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5"/>
      <c r="AF238" s="25"/>
      <c r="AG238" s="25"/>
      <c r="AH238" s="25"/>
      <c r="AI238" s="25"/>
      <c r="AJ238" s="25"/>
      <c r="AK238" s="25"/>
      <c r="AL238" s="25"/>
    </row>
    <row r="239" spans="1:38">
      <c r="A239" s="24">
        <v>43132</v>
      </c>
      <c r="B239" s="78" t="s">
        <v>385</v>
      </c>
      <c r="C239" s="25" t="s">
        <v>12</v>
      </c>
      <c r="D239" s="25" t="s">
        <v>45</v>
      </c>
      <c r="E239" s="26">
        <v>1.4999999999999999E-2</v>
      </c>
      <c r="F239" s="26">
        <f t="shared" ref="F239:F240" si="88">AVERAGE(M239:AL239)</f>
        <v>18.399999999999999</v>
      </c>
      <c r="G239" s="26">
        <f>ROUND(F239*E239,2)</f>
        <v>0.28000000000000003</v>
      </c>
      <c r="H239" s="26">
        <f>J238</f>
        <v>17.8415</v>
      </c>
      <c r="I239" s="26">
        <f>ROUND(H240*E240,2)</f>
        <v>14.1</v>
      </c>
      <c r="J239" s="375">
        <v>13.685000000000002</v>
      </c>
      <c r="K239" s="2" t="e">
        <f>IF(A240&lt;&gt;0,VLOOKUP(A240,#REF!,2,FALSE),"")</f>
        <v>#REF!</v>
      </c>
      <c r="M239" s="26"/>
      <c r="N239" s="26"/>
      <c r="O239" s="26"/>
      <c r="P239" s="595"/>
      <c r="Q239" s="26"/>
      <c r="R239" s="26"/>
      <c r="S239" s="26"/>
      <c r="T239" s="26">
        <v>17.100000000000001</v>
      </c>
      <c r="U239" s="26">
        <v>19.7</v>
      </c>
      <c r="V239" s="26"/>
      <c r="W239" s="26"/>
      <c r="X239" s="26"/>
      <c r="Y239" s="26"/>
      <c r="Z239" s="26"/>
      <c r="AA239" s="26"/>
      <c r="AB239" s="26"/>
      <c r="AC239" s="26"/>
      <c r="AD239" s="26"/>
      <c r="AE239" s="25"/>
      <c r="AF239" s="25"/>
      <c r="AG239" s="25"/>
      <c r="AH239" s="25"/>
      <c r="AI239" s="25"/>
      <c r="AJ239" s="25"/>
      <c r="AK239" s="25"/>
      <c r="AL239" s="25"/>
    </row>
    <row r="240" spans="1:38" ht="60">
      <c r="A240" s="24">
        <v>21141</v>
      </c>
      <c r="B240" s="78" t="s">
        <v>413</v>
      </c>
      <c r="C240" s="25" t="s">
        <v>12</v>
      </c>
      <c r="D240" s="25" t="s">
        <v>26</v>
      </c>
      <c r="E240" s="26">
        <v>1.03</v>
      </c>
      <c r="F240" s="26">
        <f t="shared" si="88"/>
        <v>13.95</v>
      </c>
      <c r="G240" s="26">
        <f>ROUND(F240*E240,2)</f>
        <v>14.37</v>
      </c>
      <c r="H240" s="26">
        <f>J239</f>
        <v>13.685000000000002</v>
      </c>
      <c r="I240" s="26">
        <f>ROUND(H241*E241,2)</f>
        <v>0.45</v>
      </c>
      <c r="J240" s="375">
        <v>15.045</v>
      </c>
      <c r="K240" s="2" t="e">
        <f>IF(A241&lt;&gt;0,VLOOKUP(A241,#REF!,2,FALSE),"")</f>
        <v>#REF!</v>
      </c>
      <c r="M240" s="26"/>
      <c r="N240" s="26"/>
      <c r="O240" s="26"/>
      <c r="P240" s="595"/>
      <c r="Q240" s="26"/>
      <c r="R240" s="26"/>
      <c r="S240" s="26"/>
      <c r="T240" s="26">
        <v>13.95</v>
      </c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5"/>
      <c r="AF240" s="25"/>
      <c r="AG240" s="25"/>
      <c r="AH240" s="25"/>
      <c r="AI240" s="25"/>
      <c r="AJ240" s="25"/>
      <c r="AK240" s="25"/>
      <c r="AL240" s="25"/>
    </row>
    <row r="241" spans="1:38">
      <c r="A241" s="503">
        <v>88245</v>
      </c>
      <c r="B241" s="628" t="s">
        <v>395</v>
      </c>
      <c r="C241" s="504" t="s">
        <v>12</v>
      </c>
      <c r="D241" s="504" t="s">
        <v>19</v>
      </c>
      <c r="E241" s="505">
        <v>0.03</v>
      </c>
      <c r="F241" s="633">
        <f>17.7*0.85*'PLANILHA ORÇA - CORREGEDORIA'!$BH$19</f>
        <v>16.760255845920241</v>
      </c>
      <c r="G241" s="505">
        <f t="shared" ref="G241:G242" si="89">ROUND(F241*E241,2)</f>
        <v>0.5</v>
      </c>
      <c r="H241" s="26">
        <f>J240</f>
        <v>15.045</v>
      </c>
      <c r="I241" s="26">
        <f>ROUND(H242*E242,2)</f>
        <v>0.71</v>
      </c>
      <c r="J241" s="375">
        <v>11.798000000000002</v>
      </c>
      <c r="K241" s="2" t="e">
        <f>IF(A242&lt;&gt;0,VLOOKUP(A242,#REF!,2,FALSE),"")</f>
        <v>#REF!</v>
      </c>
      <c r="M241" s="26"/>
      <c r="N241" s="26"/>
      <c r="O241" s="26"/>
      <c r="P241" s="595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5"/>
      <c r="AF241" s="25"/>
      <c r="AG241" s="25"/>
      <c r="AH241" s="25"/>
      <c r="AI241" s="25"/>
      <c r="AJ241" s="25"/>
      <c r="AK241" s="25"/>
      <c r="AL241" s="25"/>
    </row>
    <row r="242" spans="1:38" ht="15" customHeight="1">
      <c r="A242" s="503">
        <v>88316</v>
      </c>
      <c r="B242" s="628" t="s">
        <v>377</v>
      </c>
      <c r="C242" s="504" t="s">
        <v>12</v>
      </c>
      <c r="D242" s="504" t="s">
        <v>19</v>
      </c>
      <c r="E242" s="505">
        <v>0.06</v>
      </c>
      <c r="F242" s="505">
        <f>13.88*0.85*'PLANILHA ORÇA - CORREGEDORIA'!$BH$19</f>
        <v>13.143070685953276</v>
      </c>
      <c r="G242" s="505">
        <f t="shared" si="89"/>
        <v>0.79</v>
      </c>
      <c r="H242" s="26">
        <f>J241</f>
        <v>11.798000000000002</v>
      </c>
      <c r="I242" s="79">
        <f>ROUND(SUM(I238:I241),2)</f>
        <v>15.53</v>
      </c>
      <c r="M242" s="375"/>
      <c r="N242" s="79"/>
      <c r="O242" s="535"/>
      <c r="P242" s="594"/>
      <c r="Q242" s="543"/>
      <c r="R242" s="543"/>
      <c r="S242" s="543"/>
      <c r="T242" s="569"/>
      <c r="U242" s="569"/>
      <c r="V242" s="653"/>
      <c r="W242" s="713"/>
      <c r="X242" s="704"/>
      <c r="Y242" s="713"/>
      <c r="Z242" s="713"/>
      <c r="AA242" s="704"/>
      <c r="AB242" s="704"/>
      <c r="AC242" s="653"/>
      <c r="AD242" s="674"/>
      <c r="AE242" s="713"/>
      <c r="AF242" s="713"/>
      <c r="AG242" s="713"/>
      <c r="AH242" s="713"/>
      <c r="AI242" s="713"/>
      <c r="AJ242" s="713"/>
      <c r="AK242" s="713"/>
      <c r="AL242" s="713"/>
    </row>
    <row r="243" spans="1:38" ht="26.25" customHeight="1">
      <c r="A243" s="917" t="s">
        <v>1894</v>
      </c>
      <c r="B243" s="918"/>
      <c r="C243" s="918"/>
      <c r="D243" s="918"/>
      <c r="E243" s="918"/>
      <c r="F243" s="926"/>
      <c r="G243" s="79">
        <f>ROUND(SUM(G239:G242),2)</f>
        <v>15.94</v>
      </c>
      <c r="H243" s="485"/>
      <c r="I243" s="54"/>
      <c r="M243" s="53"/>
      <c r="N243" s="54"/>
      <c r="O243" s="53"/>
      <c r="P243" s="592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</row>
    <row r="244" spans="1:38" ht="60.75" customHeight="1">
      <c r="A244" s="53"/>
      <c r="B244" s="53"/>
      <c r="C244" s="53"/>
      <c r="D244" s="53"/>
      <c r="E244" s="53"/>
      <c r="F244" s="53"/>
      <c r="G244" s="54"/>
      <c r="H244" s="53"/>
      <c r="I244" s="531">
        <v>87508</v>
      </c>
      <c r="M244" s="537"/>
      <c r="N244" s="537"/>
      <c r="O244" s="75"/>
      <c r="P244" s="589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</row>
    <row r="245" spans="1:38">
      <c r="A245" s="920" t="s">
        <v>1543</v>
      </c>
      <c r="B245" s="921"/>
      <c r="C245" s="921"/>
      <c r="D245" s="921"/>
      <c r="E245" s="922"/>
      <c r="F245" s="517"/>
      <c r="G245" s="517"/>
      <c r="H245" s="75" t="s">
        <v>12</v>
      </c>
      <c r="I245" s="525" t="s">
        <v>368</v>
      </c>
      <c r="M245" s="526"/>
      <c r="N245" s="526"/>
      <c r="O245" s="525"/>
      <c r="P245" s="597"/>
      <c r="Q245" s="525"/>
      <c r="R245" s="525"/>
      <c r="S245" s="525"/>
      <c r="T245" s="525"/>
      <c r="U245" s="525"/>
      <c r="V245" s="525"/>
      <c r="W245" s="525"/>
      <c r="X245" s="525"/>
      <c r="Y245" s="525"/>
      <c r="Z245" s="525"/>
      <c r="AA245" s="525"/>
      <c r="AB245" s="525"/>
      <c r="AC245" s="525"/>
      <c r="AD245" s="525"/>
      <c r="AE245" s="525"/>
      <c r="AF245" s="525"/>
      <c r="AG245" s="525"/>
      <c r="AH245" s="525"/>
      <c r="AI245" s="525"/>
      <c r="AJ245" s="525"/>
      <c r="AK245" s="525"/>
      <c r="AL245" s="525"/>
    </row>
    <row r="246" spans="1:38" ht="45" customHeight="1">
      <c r="A246" s="77" t="s">
        <v>1917</v>
      </c>
      <c r="B246" s="668"/>
      <c r="C246" s="77" t="s">
        <v>3</v>
      </c>
      <c r="D246" s="77" t="s">
        <v>4</v>
      </c>
      <c r="E246" s="77" t="s">
        <v>1826</v>
      </c>
      <c r="F246" s="93" t="s">
        <v>3781</v>
      </c>
      <c r="G246" s="93" t="s">
        <v>3783</v>
      </c>
      <c r="H246" s="77" t="s">
        <v>367</v>
      </c>
      <c r="I246" s="26">
        <f>ROUND(H247*E247,2)</f>
        <v>0</v>
      </c>
      <c r="M246" s="26"/>
      <c r="N246" s="26"/>
      <c r="O246" s="26"/>
      <c r="P246" s="595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5"/>
      <c r="AF246" s="25"/>
      <c r="AG246" s="25"/>
      <c r="AH246" s="25"/>
      <c r="AI246" s="25"/>
      <c r="AJ246" s="25"/>
      <c r="AK246" s="25"/>
      <c r="AL246" s="25"/>
    </row>
    <row r="247" spans="1:38" ht="15" customHeight="1">
      <c r="A247" s="148" t="s">
        <v>3824</v>
      </c>
      <c r="B247" s="529" t="s">
        <v>3828</v>
      </c>
      <c r="C247" s="141" t="s">
        <v>12</v>
      </c>
      <c r="D247" s="141" t="s">
        <v>17</v>
      </c>
      <c r="E247" s="530">
        <v>37.24</v>
      </c>
      <c r="F247" s="26">
        <f t="shared" ref="F247:F248" si="90">AVERAGE(M247:AL247)</f>
        <v>0.72666666666666668</v>
      </c>
      <c r="G247" s="158">
        <f t="shared" ref="G247:G256" si="91">ROUND(F247*E247,2)</f>
        <v>27.06</v>
      </c>
      <c r="H247" s="158">
        <f>J246</f>
        <v>0</v>
      </c>
      <c r="I247" s="158">
        <f>ROUND(H248*E248,2)</f>
        <v>0</v>
      </c>
      <c r="M247" s="158"/>
      <c r="N247" s="158"/>
      <c r="O247" s="158"/>
      <c r="P247" s="59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41"/>
      <c r="AF247" s="141"/>
      <c r="AG247" s="141">
        <v>0.7</v>
      </c>
      <c r="AH247" s="141">
        <v>0.8</v>
      </c>
      <c r="AI247" s="141">
        <v>0.68</v>
      </c>
      <c r="AJ247" s="141"/>
      <c r="AK247" s="141"/>
      <c r="AL247" s="141"/>
    </row>
    <row r="248" spans="1:38" ht="60">
      <c r="A248" s="148" t="s">
        <v>3825</v>
      </c>
      <c r="B248" s="529" t="s">
        <v>3829</v>
      </c>
      <c r="C248" s="141" t="s">
        <v>12</v>
      </c>
      <c r="D248" s="141" t="s">
        <v>52</v>
      </c>
      <c r="E248" s="530">
        <v>0.57999999999999996</v>
      </c>
      <c r="F248" s="26">
        <f t="shared" si="90"/>
        <v>13.95</v>
      </c>
      <c r="G248" s="158">
        <f t="shared" si="91"/>
        <v>8.09</v>
      </c>
      <c r="H248" s="158">
        <f>J247</f>
        <v>0</v>
      </c>
      <c r="I248" s="158">
        <f>ROUND(H249*E249,2)</f>
        <v>0</v>
      </c>
      <c r="M248" s="158"/>
      <c r="N248" s="158"/>
      <c r="O248" s="158"/>
      <c r="P248" s="598"/>
      <c r="Q248" s="158"/>
      <c r="R248" s="158"/>
      <c r="S248" s="158"/>
      <c r="T248" s="158">
        <v>13.95</v>
      </c>
      <c r="U248" s="158"/>
      <c r="V248" s="158"/>
      <c r="W248" s="158"/>
      <c r="X248" s="158"/>
      <c r="Y248" s="158"/>
      <c r="Z248" s="158"/>
      <c r="AA248" s="158"/>
      <c r="AB248" s="158"/>
      <c r="AC248" s="158"/>
      <c r="AD248" s="158"/>
      <c r="AE248" s="141"/>
      <c r="AF248" s="141"/>
      <c r="AG248" s="141"/>
      <c r="AH248" s="141"/>
      <c r="AI248" s="141"/>
      <c r="AJ248" s="141"/>
      <c r="AK248" s="141"/>
      <c r="AL248" s="141"/>
    </row>
    <row r="249" spans="1:38" ht="30">
      <c r="A249" s="734" t="s">
        <v>3826</v>
      </c>
      <c r="B249" s="735" t="s">
        <v>3830</v>
      </c>
      <c r="C249" s="736" t="s">
        <v>12</v>
      </c>
      <c r="D249" s="736" t="s">
        <v>3832</v>
      </c>
      <c r="E249" s="737">
        <v>6.8999999999999999E-3</v>
      </c>
      <c r="F249" s="731">
        <v>40.33</v>
      </c>
      <c r="G249" s="691">
        <f t="shared" si="91"/>
        <v>0.28000000000000003</v>
      </c>
      <c r="H249" s="158">
        <f>J248</f>
        <v>0</v>
      </c>
      <c r="I249" s="158">
        <f>ROUND(H250*E250,2)</f>
        <v>0</v>
      </c>
      <c r="M249" s="158"/>
      <c r="N249" s="158"/>
      <c r="O249" s="158"/>
      <c r="P249" s="598"/>
      <c r="Q249" s="158"/>
      <c r="R249" s="158"/>
      <c r="S249" s="158"/>
      <c r="T249" s="158"/>
      <c r="U249" s="158"/>
      <c r="V249" s="158"/>
      <c r="W249" s="158"/>
      <c r="X249" s="158"/>
      <c r="Y249" s="158"/>
      <c r="Z249" s="158"/>
      <c r="AA249" s="158"/>
      <c r="AB249" s="158"/>
      <c r="AC249" s="158"/>
      <c r="AD249" s="158"/>
      <c r="AE249" s="141"/>
      <c r="AF249" s="141"/>
      <c r="AG249" s="141"/>
      <c r="AH249" s="141"/>
      <c r="AI249" s="141"/>
      <c r="AJ249" s="141"/>
      <c r="AK249" s="141"/>
      <c r="AL249" s="141"/>
    </row>
    <row r="250" spans="1:38" s="34" customFormat="1" ht="75">
      <c r="A250" s="583" t="s">
        <v>4028</v>
      </c>
      <c r="B250" s="692" t="s">
        <v>3831</v>
      </c>
      <c r="C250" s="582" t="s">
        <v>12</v>
      </c>
      <c r="D250" s="582" t="s">
        <v>35</v>
      </c>
      <c r="E250" s="693">
        <v>1.06E-2</v>
      </c>
      <c r="F250" s="473"/>
      <c r="G250" s="562">
        <f t="shared" si="91"/>
        <v>0</v>
      </c>
      <c r="H250" s="562">
        <f>J249</f>
        <v>0</v>
      </c>
      <c r="I250" s="562">
        <f>ROUND(H255*E255,2)</f>
        <v>0</v>
      </c>
      <c r="J250" s="378"/>
      <c r="L250" s="378"/>
      <c r="M250" s="562"/>
      <c r="N250" s="562"/>
      <c r="O250" s="562"/>
      <c r="P250" s="562"/>
      <c r="Q250" s="562"/>
      <c r="R250" s="562"/>
      <c r="S250" s="562"/>
      <c r="T250" s="562"/>
      <c r="U250" s="562"/>
      <c r="V250" s="562"/>
      <c r="W250" s="562"/>
      <c r="X250" s="562"/>
      <c r="Y250" s="562"/>
      <c r="Z250" s="562"/>
      <c r="AA250" s="562"/>
      <c r="AB250" s="562"/>
      <c r="AC250" s="562"/>
      <c r="AD250" s="562"/>
      <c r="AE250" s="582"/>
      <c r="AF250" s="582"/>
      <c r="AG250" s="582"/>
      <c r="AH250" s="582"/>
      <c r="AI250" s="582"/>
      <c r="AJ250" s="582"/>
      <c r="AK250" s="582"/>
      <c r="AL250" s="582"/>
    </row>
    <row r="251" spans="1:38" s="27" customFormat="1" ht="30">
      <c r="A251" s="141" t="s">
        <v>3813</v>
      </c>
      <c r="B251" s="141" t="s">
        <v>396</v>
      </c>
      <c r="C251" s="141" t="s">
        <v>12</v>
      </c>
      <c r="D251" s="141" t="s">
        <v>35</v>
      </c>
      <c r="E251" s="530" t="s">
        <v>3967</v>
      </c>
      <c r="F251" s="26">
        <f t="shared" ref="F251" si="92">AVERAGE(M251:AL251)</f>
        <v>81.166666666666671</v>
      </c>
      <c r="G251" s="158">
        <f>ROUND(F251*E251*$E$250,2)</f>
        <v>0.98</v>
      </c>
      <c r="H251" s="158"/>
      <c r="I251" s="158"/>
      <c r="J251" s="365"/>
      <c r="L251" s="365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41"/>
      <c r="AF251" s="141"/>
      <c r="AG251" s="141">
        <v>76</v>
      </c>
      <c r="AH251" s="141">
        <v>80</v>
      </c>
      <c r="AI251" s="141">
        <v>87.5</v>
      </c>
      <c r="AJ251" s="141"/>
      <c r="AK251" s="141"/>
      <c r="AL251" s="141"/>
    </row>
    <row r="252" spans="1:38" s="27" customFormat="1">
      <c r="A252" s="736" t="s">
        <v>4024</v>
      </c>
      <c r="B252" s="736" t="s">
        <v>535</v>
      </c>
      <c r="C252" s="736" t="s">
        <v>12</v>
      </c>
      <c r="D252" s="736" t="s">
        <v>45</v>
      </c>
      <c r="E252" s="737" t="s">
        <v>4025</v>
      </c>
      <c r="F252" s="731">
        <v>0.91</v>
      </c>
      <c r="G252" s="691">
        <f>ROUND(F252*E252*$E$250,2)</f>
        <v>1.65</v>
      </c>
      <c r="H252" s="158"/>
      <c r="I252" s="158"/>
      <c r="J252" s="365"/>
      <c r="L252" s="365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58"/>
      <c r="Y252" s="158"/>
      <c r="Z252" s="158"/>
      <c r="AA252" s="158"/>
      <c r="AB252" s="158"/>
      <c r="AC252" s="158"/>
      <c r="AD252" s="158"/>
      <c r="AE252" s="141"/>
      <c r="AF252" s="141"/>
      <c r="AG252" s="141"/>
      <c r="AH252" s="141"/>
      <c r="AI252" s="141"/>
      <c r="AJ252" s="141"/>
      <c r="AK252" s="141"/>
      <c r="AL252" s="141"/>
    </row>
    <row r="253" spans="1:38" s="27" customFormat="1">
      <c r="A253" s="141" t="s">
        <v>3814</v>
      </c>
      <c r="B253" s="141" t="s">
        <v>397</v>
      </c>
      <c r="C253" s="141" t="s">
        <v>12</v>
      </c>
      <c r="D253" s="141" t="s">
        <v>45</v>
      </c>
      <c r="E253" s="530" t="s">
        <v>4026</v>
      </c>
      <c r="F253" s="26">
        <f t="shared" ref="F253" si="93">AVERAGE(M253:AL253)</f>
        <v>0.96633333333333338</v>
      </c>
      <c r="G253" s="158">
        <f>ROUND(F253*E253*$E$250,2)</f>
        <v>1.97</v>
      </c>
      <c r="H253" s="158"/>
      <c r="I253" s="158"/>
      <c r="J253" s="365"/>
      <c r="L253" s="365"/>
      <c r="M253" s="93">
        <v>0.98</v>
      </c>
      <c r="N253" s="158">
        <v>0.94</v>
      </c>
      <c r="O253" s="77"/>
      <c r="P253" s="590">
        <v>0.97899999999999998</v>
      </c>
      <c r="Q253" s="158"/>
      <c r="R253" s="158"/>
      <c r="S253" s="158"/>
      <c r="T253" s="158"/>
      <c r="U253" s="158"/>
      <c r="V253" s="158"/>
      <c r="W253" s="158"/>
      <c r="X253" s="158"/>
      <c r="Y253" s="158"/>
      <c r="Z253" s="158"/>
      <c r="AA253" s="158"/>
      <c r="AB253" s="158"/>
      <c r="AC253" s="158"/>
      <c r="AD253" s="158"/>
      <c r="AE253" s="141"/>
      <c r="AF253" s="141"/>
      <c r="AG253" s="141"/>
      <c r="AH253" s="141"/>
      <c r="AI253" s="141"/>
      <c r="AJ253" s="141"/>
      <c r="AK253" s="141"/>
      <c r="AL253" s="141"/>
    </row>
    <row r="254" spans="1:38" s="27" customFormat="1">
      <c r="A254" s="635" t="s">
        <v>3816</v>
      </c>
      <c r="B254" s="635" t="s">
        <v>377</v>
      </c>
      <c r="C254" s="635" t="s">
        <v>12</v>
      </c>
      <c r="D254" s="635" t="s">
        <v>19</v>
      </c>
      <c r="E254" s="636" t="s">
        <v>4027</v>
      </c>
      <c r="F254" s="505">
        <f>13.88*0.85*'PLANILHA ORÇA - CORREGEDORIA'!$BH$19</f>
        <v>13.143070685953276</v>
      </c>
      <c r="G254" s="561">
        <f>ROUND(F254*E254*$E$250,2)</f>
        <v>1.55</v>
      </c>
      <c r="H254" s="158"/>
      <c r="I254" s="158"/>
      <c r="J254" s="365"/>
      <c r="L254" s="365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  <c r="Z254" s="158"/>
      <c r="AA254" s="158"/>
      <c r="AB254" s="158"/>
      <c r="AC254" s="158"/>
      <c r="AD254" s="158"/>
      <c r="AE254" s="141"/>
      <c r="AF254" s="141"/>
      <c r="AG254" s="141"/>
      <c r="AH254" s="141"/>
      <c r="AI254" s="141"/>
      <c r="AJ254" s="141"/>
      <c r="AK254" s="141"/>
      <c r="AL254" s="141"/>
    </row>
    <row r="255" spans="1:38">
      <c r="A255" s="513" t="s">
        <v>3827</v>
      </c>
      <c r="B255" s="634" t="s">
        <v>390</v>
      </c>
      <c r="C255" s="635" t="s">
        <v>12</v>
      </c>
      <c r="D255" s="635" t="s">
        <v>19</v>
      </c>
      <c r="E255" s="636">
        <v>1.506</v>
      </c>
      <c r="F255" s="505">
        <f>17.79*0.85*'PLANILHA ORÇA - CORREGEDORIA'!$BH$19</f>
        <v>16.845477485814751</v>
      </c>
      <c r="G255" s="561">
        <f>ROUND(F255*E255,2)</f>
        <v>25.37</v>
      </c>
      <c r="H255" s="158">
        <f>J250</f>
        <v>0</v>
      </c>
      <c r="I255" s="158">
        <f t="shared" ref="I255:I256" si="94">ROUND(H256*E256,2)</f>
        <v>0</v>
      </c>
      <c r="M255" s="158"/>
      <c r="N255" s="158"/>
      <c r="O255" s="158"/>
      <c r="P255" s="598"/>
      <c r="Q255" s="158"/>
      <c r="R255" s="158"/>
      <c r="S255" s="158"/>
      <c r="T255" s="158"/>
      <c r="U255" s="158"/>
      <c r="V255" s="158"/>
      <c r="W255" s="158"/>
      <c r="X255" s="158"/>
      <c r="Y255" s="158"/>
      <c r="Z255" s="158"/>
      <c r="AA255" s="158"/>
      <c r="AB255" s="158"/>
      <c r="AC255" s="158"/>
      <c r="AD255" s="158"/>
      <c r="AE255" s="141"/>
      <c r="AF255" s="141"/>
      <c r="AG255" s="141"/>
      <c r="AH255" s="141"/>
      <c r="AI255" s="141"/>
      <c r="AJ255" s="141"/>
      <c r="AK255" s="141"/>
      <c r="AL255" s="141"/>
    </row>
    <row r="256" spans="1:38" ht="15" customHeight="1">
      <c r="A256" s="513" t="s">
        <v>3816</v>
      </c>
      <c r="B256" s="634" t="s">
        <v>377</v>
      </c>
      <c r="C256" s="635" t="s">
        <v>12</v>
      </c>
      <c r="D256" s="635" t="s">
        <v>19</v>
      </c>
      <c r="E256" s="636">
        <v>0.753</v>
      </c>
      <c r="F256" s="505">
        <f>13.88*0.85*'PLANILHA ORÇA - CORREGEDORIA'!$BH$19</f>
        <v>13.143070685953276</v>
      </c>
      <c r="G256" s="561">
        <f t="shared" si="91"/>
        <v>9.9</v>
      </c>
      <c r="H256" s="158">
        <f t="shared" ref="H256" si="95">J255</f>
        <v>0</v>
      </c>
      <c r="I256" s="158">
        <f t="shared" si="94"/>
        <v>0</v>
      </c>
      <c r="M256" s="375"/>
      <c r="N256" s="527"/>
      <c r="O256" s="528"/>
      <c r="P256" s="599"/>
      <c r="Q256" s="528"/>
      <c r="R256" s="528"/>
      <c r="S256" s="528"/>
      <c r="T256" s="528"/>
      <c r="U256" s="528"/>
      <c r="V256" s="528"/>
      <c r="W256" s="528"/>
      <c r="X256" s="528"/>
      <c r="Y256" s="528"/>
      <c r="Z256" s="528"/>
      <c r="AA256" s="528"/>
      <c r="AB256" s="528"/>
      <c r="AC256" s="528"/>
      <c r="AD256" s="528"/>
      <c r="AE256" s="528"/>
      <c r="AF256" s="528"/>
      <c r="AG256" s="528"/>
      <c r="AH256" s="528"/>
      <c r="AI256" s="528"/>
      <c r="AJ256" s="528"/>
      <c r="AK256" s="528"/>
      <c r="AL256" s="528"/>
    </row>
    <row r="257" spans="1:38" ht="27" customHeight="1">
      <c r="A257" s="967" t="s">
        <v>1894</v>
      </c>
      <c r="B257" s="968"/>
      <c r="C257" s="968"/>
      <c r="D257" s="968"/>
      <c r="E257" s="968"/>
      <c r="F257" s="969"/>
      <c r="G257" s="527">
        <f>ROUND(SUM(G247:G256),2)</f>
        <v>76.849999999999994</v>
      </c>
      <c r="H257" s="528"/>
      <c r="I257" s="527">
        <f>ROUND(SUM(I247:I256),2)</f>
        <v>0</v>
      </c>
      <c r="M257" s="53"/>
      <c r="N257" s="54"/>
      <c r="O257" s="53"/>
      <c r="P257" s="592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</row>
    <row r="258" spans="1:38" ht="54" customHeight="1">
      <c r="A258" s="53"/>
      <c r="B258" s="53"/>
      <c r="C258" s="53"/>
      <c r="D258" s="53"/>
      <c r="E258" s="53"/>
      <c r="F258" s="53"/>
      <c r="G258" s="54"/>
      <c r="H258" s="53"/>
      <c r="I258" s="531">
        <v>96363</v>
      </c>
      <c r="M258" s="537"/>
      <c r="N258" s="537"/>
      <c r="O258" s="75"/>
      <c r="P258" s="589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</row>
    <row r="259" spans="1:38">
      <c r="A259" s="920" t="s">
        <v>3323</v>
      </c>
      <c r="B259" s="921"/>
      <c r="C259" s="921"/>
      <c r="D259" s="921"/>
      <c r="E259" s="922"/>
      <c r="F259" s="517"/>
      <c r="G259" s="517"/>
      <c r="H259" s="75" t="s">
        <v>12</v>
      </c>
      <c r="I259" s="525" t="s">
        <v>368</v>
      </c>
      <c r="M259" s="526"/>
      <c r="N259" s="526"/>
      <c r="O259" s="525"/>
      <c r="P259" s="597"/>
      <c r="Q259" s="525"/>
      <c r="R259" s="525"/>
      <c r="S259" s="525"/>
      <c r="T259" s="525"/>
      <c r="U259" s="525"/>
      <c r="V259" s="525"/>
      <c r="W259" s="525"/>
      <c r="X259" s="525"/>
      <c r="Y259" s="525"/>
      <c r="Z259" s="525"/>
      <c r="AA259" s="525"/>
      <c r="AB259" s="525"/>
      <c r="AC259" s="525"/>
      <c r="AD259" s="525"/>
      <c r="AE259" s="525"/>
      <c r="AF259" s="525"/>
      <c r="AG259" s="525"/>
      <c r="AH259" s="525"/>
      <c r="AI259" s="525"/>
      <c r="AJ259" s="525"/>
      <c r="AK259" s="525"/>
      <c r="AL259" s="525"/>
    </row>
    <row r="260" spans="1:38" ht="45" customHeight="1">
      <c r="A260" s="77" t="s">
        <v>1917</v>
      </c>
      <c r="B260" s="668"/>
      <c r="C260" s="77" t="s">
        <v>3</v>
      </c>
      <c r="D260" s="77" t="s">
        <v>4</v>
      </c>
      <c r="E260" s="77" t="s">
        <v>1826</v>
      </c>
      <c r="F260" s="93" t="s">
        <v>3781</v>
      </c>
      <c r="G260" s="93" t="s">
        <v>3783</v>
      </c>
      <c r="H260" s="77" t="s">
        <v>367</v>
      </c>
      <c r="I260" s="26"/>
      <c r="M260" s="26"/>
      <c r="N260" s="26"/>
      <c r="O260" s="26"/>
      <c r="P260" s="595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5"/>
      <c r="AF260" s="25"/>
      <c r="AG260" s="25"/>
      <c r="AH260" s="25"/>
      <c r="AI260" s="25"/>
      <c r="AJ260" s="25"/>
      <c r="AK260" s="25"/>
      <c r="AL260" s="25"/>
    </row>
    <row r="261" spans="1:38" ht="45">
      <c r="A261" s="148" t="s">
        <v>3833</v>
      </c>
      <c r="B261" s="529" t="s">
        <v>3844</v>
      </c>
      <c r="C261" s="141" t="s">
        <v>12</v>
      </c>
      <c r="D261" s="141" t="s">
        <v>3832</v>
      </c>
      <c r="E261" s="530">
        <v>2.9000000000000001E-2</v>
      </c>
      <c r="F261" s="26">
        <f t="shared" ref="F261:F268" si="96">AVERAGE(M261:AL261)</f>
        <v>44.99</v>
      </c>
      <c r="G261" s="158">
        <f t="shared" ref="G261:G272" si="97">ROUND(F261*E261,2)</f>
        <v>1.3</v>
      </c>
      <c r="H261" s="517"/>
      <c r="I261" s="517"/>
      <c r="M261" s="537"/>
      <c r="N261" s="158"/>
      <c r="O261" s="537"/>
      <c r="P261" s="593"/>
      <c r="Q261" s="544"/>
      <c r="R261" s="544"/>
      <c r="S261" s="544"/>
      <c r="T261" s="570"/>
      <c r="U261" s="570"/>
      <c r="V261" s="654"/>
      <c r="W261" s="717"/>
      <c r="X261" s="705"/>
      <c r="Y261" s="717"/>
      <c r="Z261" s="717"/>
      <c r="AA261" s="705"/>
      <c r="AB261" s="705"/>
      <c r="AC261" s="654"/>
      <c r="AD261" s="675"/>
      <c r="AE261" s="717">
        <v>44.99</v>
      </c>
      <c r="AF261" s="717"/>
      <c r="AG261" s="717"/>
      <c r="AH261" s="717"/>
      <c r="AI261" s="717"/>
      <c r="AJ261" s="717"/>
      <c r="AK261" s="717"/>
      <c r="AL261" s="717"/>
    </row>
    <row r="262" spans="1:38" ht="45">
      <c r="A262" s="148" t="s">
        <v>3834</v>
      </c>
      <c r="B262" s="529" t="s">
        <v>3845</v>
      </c>
      <c r="C262" s="141" t="s">
        <v>12</v>
      </c>
      <c r="D262" s="141" t="s">
        <v>26</v>
      </c>
      <c r="E262" s="530">
        <v>3.1589999999999998</v>
      </c>
      <c r="F262" s="26">
        <f t="shared" si="96"/>
        <v>20.03</v>
      </c>
      <c r="G262" s="158">
        <f t="shared" si="97"/>
        <v>63.27</v>
      </c>
      <c r="H262" s="517"/>
      <c r="I262" s="517"/>
      <c r="M262" s="537"/>
      <c r="N262" s="158"/>
      <c r="O262" s="537"/>
      <c r="P262" s="593"/>
      <c r="Q262" s="544"/>
      <c r="R262" s="544"/>
      <c r="S262" s="544"/>
      <c r="T262" s="570"/>
      <c r="U262" s="570"/>
      <c r="V262" s="654"/>
      <c r="W262" s="717"/>
      <c r="X262" s="705"/>
      <c r="Y262" s="717"/>
      <c r="Z262" s="717"/>
      <c r="AA262" s="705"/>
      <c r="AB262" s="705"/>
      <c r="AC262" s="654"/>
      <c r="AD262" s="675"/>
      <c r="AE262" s="717">
        <v>20.37</v>
      </c>
      <c r="AF262" s="717">
        <v>19.690000000000001</v>
      </c>
      <c r="AG262" s="717"/>
      <c r="AH262" s="717"/>
      <c r="AI262" s="717"/>
      <c r="AJ262" s="717"/>
      <c r="AK262" s="717"/>
      <c r="AL262" s="717"/>
    </row>
    <row r="263" spans="1:38" ht="45">
      <c r="A263" s="148" t="s">
        <v>3835</v>
      </c>
      <c r="B263" s="529" t="s">
        <v>3846</v>
      </c>
      <c r="C263" s="141" t="s">
        <v>12</v>
      </c>
      <c r="D263" s="141" t="s">
        <v>52</v>
      </c>
      <c r="E263" s="530">
        <v>0.9093</v>
      </c>
      <c r="F263" s="26">
        <f t="shared" si="96"/>
        <v>9.4</v>
      </c>
      <c r="G263" s="158">
        <f t="shared" si="97"/>
        <v>8.5500000000000007</v>
      </c>
      <c r="H263" s="517"/>
      <c r="I263" s="517"/>
      <c r="M263" s="537"/>
      <c r="N263" s="158"/>
      <c r="O263" s="537"/>
      <c r="P263" s="593"/>
      <c r="Q263" s="544"/>
      <c r="R263" s="544"/>
      <c r="S263" s="544"/>
      <c r="T263" s="570"/>
      <c r="U263" s="570"/>
      <c r="V263" s="654"/>
      <c r="W263" s="717"/>
      <c r="X263" s="705"/>
      <c r="Y263" s="717"/>
      <c r="Z263" s="717"/>
      <c r="AA263" s="705"/>
      <c r="AB263" s="705"/>
      <c r="AC263" s="654"/>
      <c r="AD263" s="675"/>
      <c r="AE263" s="717">
        <v>8.67</v>
      </c>
      <c r="AF263" s="717">
        <v>10.130000000000001</v>
      </c>
      <c r="AG263" s="717"/>
      <c r="AH263" s="717"/>
      <c r="AI263" s="717"/>
      <c r="AJ263" s="717"/>
      <c r="AK263" s="717"/>
      <c r="AL263" s="717"/>
    </row>
    <row r="264" spans="1:38" ht="45">
      <c r="A264" s="148" t="s">
        <v>3836</v>
      </c>
      <c r="B264" s="529" t="s">
        <v>3847</v>
      </c>
      <c r="C264" s="141" t="s">
        <v>12</v>
      </c>
      <c r="D264" s="141" t="s">
        <v>52</v>
      </c>
      <c r="E264" s="530">
        <v>2.8999000000000001</v>
      </c>
      <c r="F264" s="26">
        <f t="shared" si="96"/>
        <v>10.3185</v>
      </c>
      <c r="G264" s="158">
        <f t="shared" si="97"/>
        <v>29.92</v>
      </c>
      <c r="H264" s="517"/>
      <c r="I264" s="517"/>
      <c r="M264" s="537"/>
      <c r="N264" s="158"/>
      <c r="O264" s="537"/>
      <c r="P264" s="593"/>
      <c r="Q264" s="544"/>
      <c r="R264" s="544"/>
      <c r="S264" s="544"/>
      <c r="T264" s="570"/>
      <c r="U264" s="570"/>
      <c r="V264" s="654"/>
      <c r="W264" s="717"/>
      <c r="X264" s="705"/>
      <c r="Y264" s="717"/>
      <c r="Z264" s="717"/>
      <c r="AA264" s="705"/>
      <c r="AB264" s="705"/>
      <c r="AC264" s="654"/>
      <c r="AD264" s="675"/>
      <c r="AE264" s="717">
        <v>9.9969999999999999</v>
      </c>
      <c r="AF264" s="717">
        <v>10.64</v>
      </c>
      <c r="AG264" s="717"/>
      <c r="AH264" s="717"/>
      <c r="AI264" s="717"/>
      <c r="AJ264" s="717"/>
      <c r="AK264" s="717"/>
      <c r="AL264" s="717"/>
    </row>
    <row r="265" spans="1:38" ht="45">
      <c r="A265" s="148" t="s">
        <v>3837</v>
      </c>
      <c r="B265" s="529" t="s">
        <v>3848</v>
      </c>
      <c r="C265" s="141" t="s">
        <v>12</v>
      </c>
      <c r="D265" s="141" t="s">
        <v>52</v>
      </c>
      <c r="E265" s="530">
        <v>2.5777999999999999</v>
      </c>
      <c r="F265" s="26">
        <f t="shared" si="96"/>
        <v>0.39449999999999996</v>
      </c>
      <c r="G265" s="158">
        <f t="shared" si="97"/>
        <v>1.02</v>
      </c>
      <c r="H265" s="517"/>
      <c r="I265" s="517"/>
      <c r="M265" s="537"/>
      <c r="N265" s="158"/>
      <c r="O265" s="537"/>
      <c r="P265" s="593"/>
      <c r="Q265" s="544"/>
      <c r="R265" s="544"/>
      <c r="S265" s="544"/>
      <c r="T265" s="570"/>
      <c r="U265" s="570"/>
      <c r="V265" s="654"/>
      <c r="W265" s="717"/>
      <c r="X265" s="705"/>
      <c r="Y265" s="717"/>
      <c r="Z265" s="717"/>
      <c r="AA265" s="705"/>
      <c r="AB265" s="705"/>
      <c r="AC265" s="654"/>
      <c r="AD265" s="675"/>
      <c r="AE265" s="717">
        <v>0.433</v>
      </c>
      <c r="AF265" s="717">
        <v>0.35599999999999998</v>
      </c>
      <c r="AG265" s="717"/>
      <c r="AH265" s="717"/>
      <c r="AI265" s="717"/>
      <c r="AJ265" s="717"/>
      <c r="AK265" s="717"/>
      <c r="AL265" s="717"/>
    </row>
    <row r="266" spans="1:38" ht="45">
      <c r="A266" s="148" t="s">
        <v>3838</v>
      </c>
      <c r="B266" s="529" t="s">
        <v>3849</v>
      </c>
      <c r="C266" s="141" t="s">
        <v>12</v>
      </c>
      <c r="D266" s="141" t="s">
        <v>52</v>
      </c>
      <c r="E266" s="530">
        <v>0.79249999999999998</v>
      </c>
      <c r="F266" s="26">
        <f t="shared" si="96"/>
        <v>2.3845000000000001</v>
      </c>
      <c r="G266" s="158">
        <f t="shared" si="97"/>
        <v>1.89</v>
      </c>
      <c r="H266" s="517"/>
      <c r="I266" s="158">
        <f>ROUND(H267*E267,2)</f>
        <v>0</v>
      </c>
      <c r="M266" s="158"/>
      <c r="N266" s="158"/>
      <c r="O266" s="158"/>
      <c r="P266" s="59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41">
        <v>2.67</v>
      </c>
      <c r="AF266" s="141">
        <v>2.0990000000000002</v>
      </c>
      <c r="AG266" s="141"/>
      <c r="AH266" s="141"/>
      <c r="AI266" s="141"/>
      <c r="AJ266" s="141"/>
      <c r="AK266" s="141"/>
      <c r="AL266" s="141"/>
    </row>
    <row r="267" spans="1:38" ht="60">
      <c r="A267" s="148" t="s">
        <v>3839</v>
      </c>
      <c r="B267" s="529" t="s">
        <v>3850</v>
      </c>
      <c r="C267" s="141" t="s">
        <v>12</v>
      </c>
      <c r="D267" s="141" t="s">
        <v>45</v>
      </c>
      <c r="E267" s="530">
        <v>1.0327</v>
      </c>
      <c r="F267" s="26">
        <f t="shared" si="96"/>
        <v>3.375</v>
      </c>
      <c r="G267" s="158">
        <f t="shared" si="97"/>
        <v>3.49</v>
      </c>
      <c r="H267" s="158">
        <f>J266</f>
        <v>0</v>
      </c>
      <c r="I267" s="158">
        <f>ROUND(H268*E268,2)</f>
        <v>0</v>
      </c>
      <c r="M267" s="158"/>
      <c r="N267" s="158"/>
      <c r="O267" s="158"/>
      <c r="P267" s="59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  <c r="AB267" s="158"/>
      <c r="AC267" s="158"/>
      <c r="AD267" s="158"/>
      <c r="AE267" s="141">
        <v>3.5</v>
      </c>
      <c r="AF267" s="141">
        <v>3.25</v>
      </c>
      <c r="AG267" s="141"/>
      <c r="AH267" s="141"/>
      <c r="AI267" s="141"/>
      <c r="AJ267" s="141"/>
      <c r="AK267" s="141"/>
      <c r="AL267" s="141"/>
    </row>
    <row r="268" spans="1:38" ht="45">
      <c r="A268" s="148" t="s">
        <v>3840</v>
      </c>
      <c r="B268" s="529" t="s">
        <v>3851</v>
      </c>
      <c r="C268" s="141" t="s">
        <v>12</v>
      </c>
      <c r="D268" s="141" t="s">
        <v>17</v>
      </c>
      <c r="E268" s="530">
        <v>20.0077</v>
      </c>
      <c r="F268" s="26">
        <f t="shared" si="96"/>
        <v>6.5000000000000002E-2</v>
      </c>
      <c r="G268" s="158">
        <f t="shared" si="97"/>
        <v>1.3</v>
      </c>
      <c r="H268" s="158">
        <f>J267</f>
        <v>0</v>
      </c>
      <c r="I268" s="158">
        <f>ROUND(H269*E269,2)</f>
        <v>0</v>
      </c>
      <c r="M268" s="158"/>
      <c r="N268" s="158"/>
      <c r="O268" s="158"/>
      <c r="P268" s="59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  <c r="AB268" s="158"/>
      <c r="AC268" s="158"/>
      <c r="AD268" s="158"/>
      <c r="AE268" s="141">
        <v>7.4999999999999997E-2</v>
      </c>
      <c r="AF268" s="141">
        <v>5.5E-2</v>
      </c>
      <c r="AG268" s="141"/>
      <c r="AH268" s="141"/>
      <c r="AI268" s="141"/>
      <c r="AJ268" s="141"/>
      <c r="AK268" s="141"/>
      <c r="AL268" s="141"/>
    </row>
    <row r="269" spans="1:38" ht="45">
      <c r="A269" s="148" t="s">
        <v>3841</v>
      </c>
      <c r="B269" s="529" t="s">
        <v>3852</v>
      </c>
      <c r="C269" s="141" t="s">
        <v>12</v>
      </c>
      <c r="D269" s="141" t="s">
        <v>17</v>
      </c>
      <c r="E269" s="530">
        <v>10.0039</v>
      </c>
      <c r="F269" s="26">
        <v>0.21</v>
      </c>
      <c r="G269" s="158">
        <f>ROUND(F269*E269,2)</f>
        <v>2.1</v>
      </c>
      <c r="H269" s="158">
        <f>J268</f>
        <v>0</v>
      </c>
      <c r="I269" s="158">
        <f>ROUND(H270*E270,2)</f>
        <v>0</v>
      </c>
      <c r="M269" s="158"/>
      <c r="N269" s="158"/>
      <c r="O269" s="158"/>
      <c r="P269" s="59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  <c r="AB269" s="158"/>
      <c r="AC269" s="158"/>
      <c r="AD269" s="158"/>
      <c r="AE269" s="141"/>
      <c r="AF269" s="141"/>
      <c r="AG269" s="141"/>
      <c r="AH269" s="141"/>
      <c r="AI269" s="141"/>
      <c r="AJ269" s="141"/>
      <c r="AK269" s="141"/>
      <c r="AL269" s="141"/>
    </row>
    <row r="270" spans="1:38" ht="45">
      <c r="A270" s="148" t="s">
        <v>3842</v>
      </c>
      <c r="B270" s="529" t="s">
        <v>3853</v>
      </c>
      <c r="C270" s="141" t="s">
        <v>12</v>
      </c>
      <c r="D270" s="141" t="s">
        <v>17</v>
      </c>
      <c r="E270" s="530">
        <v>0.91490000000000005</v>
      </c>
      <c r="F270" s="26">
        <f t="shared" ref="F270" si="98">AVERAGE(M270:AL270)</f>
        <v>0.1245</v>
      </c>
      <c r="G270" s="158">
        <f>ROUND(F270*E270,2)</f>
        <v>0.11</v>
      </c>
      <c r="H270" s="158">
        <f>J269</f>
        <v>0</v>
      </c>
      <c r="I270" s="158">
        <f t="shared" ref="I270:I272" si="99">ROUND(H271*E271,2)</f>
        <v>0</v>
      </c>
      <c r="M270" s="158"/>
      <c r="N270" s="158"/>
      <c r="O270" s="158"/>
      <c r="P270" s="59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  <c r="AB270" s="158"/>
      <c r="AC270" s="158"/>
      <c r="AD270" s="158"/>
      <c r="AE270" s="141">
        <v>9.9000000000000005E-2</v>
      </c>
      <c r="AF270" s="141">
        <v>0.15</v>
      </c>
      <c r="AG270" s="141"/>
      <c r="AH270" s="141"/>
      <c r="AI270" s="141"/>
      <c r="AJ270" s="141"/>
      <c r="AK270" s="141"/>
      <c r="AL270" s="141"/>
    </row>
    <row r="271" spans="1:38" ht="15" customHeight="1">
      <c r="A271" s="513" t="s">
        <v>3843</v>
      </c>
      <c r="B271" s="634" t="s">
        <v>3854</v>
      </c>
      <c r="C271" s="635" t="s">
        <v>12</v>
      </c>
      <c r="D271" s="635" t="s">
        <v>19</v>
      </c>
      <c r="E271" s="636">
        <v>0.73760000000000003</v>
      </c>
      <c r="F271" s="505">
        <f>18*0.85*'PLANILHA ORÇA - CORREGEDORIA'!$BH$19</f>
        <v>17.04432797890194</v>
      </c>
      <c r="G271" s="561">
        <f t="shared" si="97"/>
        <v>12.57</v>
      </c>
      <c r="H271" s="158"/>
      <c r="I271" s="158">
        <f t="shared" si="99"/>
        <v>0</v>
      </c>
      <c r="M271" s="158"/>
      <c r="N271" s="158"/>
      <c r="O271" s="158"/>
      <c r="P271" s="59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  <c r="AB271" s="158"/>
      <c r="AC271" s="158"/>
      <c r="AD271" s="158"/>
      <c r="AE271" s="141"/>
      <c r="AF271" s="141"/>
      <c r="AG271" s="141"/>
      <c r="AH271" s="141"/>
      <c r="AI271" s="141"/>
      <c r="AJ271" s="141"/>
      <c r="AK271" s="141"/>
      <c r="AL271" s="141"/>
    </row>
    <row r="272" spans="1:38" ht="15" customHeight="1">
      <c r="A272" s="513" t="s">
        <v>3816</v>
      </c>
      <c r="B272" s="634" t="s">
        <v>377</v>
      </c>
      <c r="C272" s="635" t="s">
        <v>12</v>
      </c>
      <c r="D272" s="635" t="s">
        <v>19</v>
      </c>
      <c r="E272" s="636">
        <v>0.18440000000000001</v>
      </c>
      <c r="F272" s="505">
        <f>13.88*0.85*'PLANILHA ORÇA - CORREGEDORIA'!$BH$19</f>
        <v>13.143070685953276</v>
      </c>
      <c r="G272" s="561">
        <f t="shared" si="97"/>
        <v>2.42</v>
      </c>
      <c r="H272" s="158"/>
      <c r="I272" s="158">
        <f t="shared" si="99"/>
        <v>0</v>
      </c>
      <c r="M272" s="375"/>
      <c r="N272" s="527"/>
      <c r="O272" s="528"/>
      <c r="P272" s="599"/>
      <c r="Q272" s="528"/>
      <c r="R272" s="528"/>
      <c r="S272" s="528"/>
      <c r="T272" s="528"/>
      <c r="U272" s="528"/>
      <c r="V272" s="528"/>
      <c r="W272" s="528"/>
      <c r="X272" s="528"/>
      <c r="Y272" s="528"/>
      <c r="Z272" s="528"/>
      <c r="AA272" s="528"/>
      <c r="AB272" s="528"/>
      <c r="AC272" s="528"/>
      <c r="AD272" s="528"/>
      <c r="AE272" s="528"/>
      <c r="AF272" s="528"/>
      <c r="AG272" s="528"/>
      <c r="AH272" s="528"/>
      <c r="AI272" s="528"/>
      <c r="AJ272" s="528"/>
      <c r="AK272" s="528"/>
      <c r="AL272" s="528"/>
    </row>
    <row r="273" spans="1:38" ht="28.5" customHeight="1">
      <c r="A273" s="967" t="s">
        <v>1894</v>
      </c>
      <c r="B273" s="968"/>
      <c r="C273" s="968"/>
      <c r="D273" s="968"/>
      <c r="E273" s="968"/>
      <c r="F273" s="969"/>
      <c r="G273" s="527">
        <f>ROUND(SUM(G261:G272),2)</f>
        <v>127.94</v>
      </c>
      <c r="H273" s="528"/>
      <c r="I273" s="527">
        <f>ROUND(SUM(I261:I272),2)</f>
        <v>0</v>
      </c>
      <c r="M273" s="53"/>
      <c r="N273" s="54"/>
      <c r="O273" s="53"/>
      <c r="P273" s="592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</row>
    <row r="274" spans="1:38" ht="60.75" customHeight="1">
      <c r="A274" s="53"/>
      <c r="B274" s="53"/>
      <c r="C274" s="53"/>
      <c r="D274" s="53"/>
      <c r="E274" s="53"/>
      <c r="F274" s="53"/>
      <c r="G274" s="54"/>
      <c r="H274" s="53"/>
      <c r="I274" s="82">
        <v>11914</v>
      </c>
      <c r="M274" s="537"/>
      <c r="N274" s="537"/>
      <c r="O274" s="75"/>
      <c r="P274" s="589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</row>
    <row r="275" spans="1:38">
      <c r="A275" s="920" t="s">
        <v>3423</v>
      </c>
      <c r="B275" s="921"/>
      <c r="C275" s="921"/>
      <c r="D275" s="921"/>
      <c r="E275" s="922"/>
      <c r="F275" s="484"/>
      <c r="G275" s="484"/>
      <c r="H275" s="75" t="s">
        <v>44</v>
      </c>
      <c r="I275" s="77" t="s">
        <v>368</v>
      </c>
      <c r="M275" s="93"/>
      <c r="N275" s="93"/>
      <c r="O275" s="77"/>
      <c r="P275" s="590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</row>
    <row r="276" spans="1:38" ht="45" customHeight="1">
      <c r="A276" s="77" t="s">
        <v>365</v>
      </c>
      <c r="B276" s="668"/>
      <c r="C276" s="77" t="s">
        <v>3</v>
      </c>
      <c r="D276" s="77" t="s">
        <v>4</v>
      </c>
      <c r="E276" s="77" t="s">
        <v>1826</v>
      </c>
      <c r="F276" s="93" t="s">
        <v>3781</v>
      </c>
      <c r="G276" s="93" t="s">
        <v>3783</v>
      </c>
      <c r="H276" s="77" t="s">
        <v>367</v>
      </c>
      <c r="I276" s="26">
        <f>ROUND(H277*E277,2)</f>
        <v>0.33</v>
      </c>
      <c r="J276" s="375">
        <v>1.0880000000000001</v>
      </c>
      <c r="K276" s="2" t="e">
        <f>IF(A277&lt;&gt;0,VLOOKUP(A277,#REF!,2,FALSE),"")</f>
        <v>#REF!</v>
      </c>
      <c r="M276" s="26"/>
      <c r="N276" s="26"/>
      <c r="O276" s="26"/>
      <c r="P276" s="595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5"/>
      <c r="AF276" s="25"/>
      <c r="AG276" s="25"/>
      <c r="AH276" s="25"/>
      <c r="AI276" s="25"/>
      <c r="AJ276" s="25"/>
      <c r="AK276" s="25"/>
      <c r="AL276" s="25"/>
    </row>
    <row r="277" spans="1:38" s="28" customFormat="1" ht="30">
      <c r="A277" s="727">
        <v>4182</v>
      </c>
      <c r="B277" s="728" t="s">
        <v>417</v>
      </c>
      <c r="C277" s="729" t="s">
        <v>44</v>
      </c>
      <c r="D277" s="729" t="s">
        <v>19</v>
      </c>
      <c r="E277" s="731">
        <v>0.3</v>
      </c>
      <c r="F277" s="1005">
        <f>168300/702</f>
        <v>239.74358974358975</v>
      </c>
      <c r="G277" s="1008">
        <f>F277</f>
        <v>239.74358974358975</v>
      </c>
      <c r="H277" s="26">
        <f>J276</f>
        <v>1.0880000000000001</v>
      </c>
      <c r="I277" s="26">
        <f>ROUND(H278*E278,2)</f>
        <v>0.11</v>
      </c>
      <c r="J277" s="374">
        <v>5.2700000000000005</v>
      </c>
      <c r="K277" s="28" t="e">
        <f>IF(A278&lt;&gt;0,VLOOKUP(A278,#REF!,2,FALSE),"")</f>
        <v>#REF!</v>
      </c>
      <c r="L277" s="374"/>
      <c r="M277" s="26"/>
      <c r="N277" s="158"/>
      <c r="O277" s="26"/>
      <c r="P277" s="595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5"/>
      <c r="AF277" s="25"/>
      <c r="AG277" s="25"/>
      <c r="AH277" s="25"/>
      <c r="AI277" s="25"/>
      <c r="AJ277" s="25"/>
      <c r="AK277" s="25"/>
      <c r="AL277" s="25"/>
    </row>
    <row r="278" spans="1:38" s="28" customFormat="1">
      <c r="A278" s="24">
        <v>3510</v>
      </c>
      <c r="B278" s="78" t="s">
        <v>418</v>
      </c>
      <c r="C278" s="25" t="s">
        <v>44</v>
      </c>
      <c r="D278" s="25" t="s">
        <v>17</v>
      </c>
      <c r="E278" s="26">
        <v>0.02</v>
      </c>
      <c r="F278" s="1006"/>
      <c r="G278" s="1009"/>
      <c r="H278" s="26">
        <f>J277</f>
        <v>5.2700000000000005</v>
      </c>
      <c r="I278" s="26">
        <f>ROUND(H279*E279,2)</f>
        <v>108.48</v>
      </c>
      <c r="J278" s="374">
        <v>35.683</v>
      </c>
      <c r="K278" s="28" t="e">
        <f>IF(A279&lt;&gt;0,VLOOKUP(A279,#REF!,2,FALSE),"")</f>
        <v>#REF!</v>
      </c>
      <c r="L278" s="374"/>
      <c r="M278" s="26"/>
      <c r="N278" s="158"/>
      <c r="O278" s="26"/>
      <c r="P278" s="595"/>
      <c r="Q278" s="26"/>
      <c r="R278" s="26"/>
      <c r="S278" s="26"/>
      <c r="T278" s="26">
        <v>19.010000000000002</v>
      </c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5"/>
      <c r="AF278" s="25"/>
      <c r="AG278" s="25"/>
      <c r="AH278" s="25"/>
      <c r="AI278" s="25"/>
      <c r="AJ278" s="25"/>
      <c r="AK278" s="25"/>
      <c r="AL278" s="25"/>
    </row>
    <row r="279" spans="1:38" ht="30">
      <c r="A279" s="727">
        <v>1734</v>
      </c>
      <c r="B279" s="728" t="s">
        <v>419</v>
      </c>
      <c r="C279" s="729" t="s">
        <v>44</v>
      </c>
      <c r="D279" s="729" t="s">
        <v>52</v>
      </c>
      <c r="E279" s="731">
        <v>3.04</v>
      </c>
      <c r="F279" s="1006"/>
      <c r="G279" s="1009"/>
      <c r="H279" s="26">
        <f>J278</f>
        <v>35.683</v>
      </c>
      <c r="I279" s="26">
        <f>ROUND(H280*E280,2)</f>
        <v>11.13</v>
      </c>
      <c r="J279" s="375">
        <v>15.045</v>
      </c>
      <c r="K279" s="28" t="e">
        <f>IF(A280&lt;&gt;0,VLOOKUP(A280,#REF!,2,FALSE),"")</f>
        <v>#REF!</v>
      </c>
      <c r="M279" s="26"/>
      <c r="N279" s="158"/>
      <c r="O279" s="26"/>
      <c r="P279" s="595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5"/>
      <c r="AF279" s="25"/>
      <c r="AG279" s="25"/>
      <c r="AH279" s="25"/>
      <c r="AI279" s="25"/>
      <c r="AJ279" s="25"/>
      <c r="AK279" s="25"/>
      <c r="AL279" s="25"/>
    </row>
    <row r="280" spans="1:38" ht="30">
      <c r="A280" s="503">
        <v>88315</v>
      </c>
      <c r="B280" s="628" t="s">
        <v>420</v>
      </c>
      <c r="C280" s="504" t="s">
        <v>12</v>
      </c>
      <c r="D280" s="504" t="s">
        <v>19</v>
      </c>
      <c r="E280" s="505">
        <v>0.74</v>
      </c>
      <c r="F280" s="1006"/>
      <c r="G280" s="1009"/>
      <c r="H280" s="26">
        <f>J279</f>
        <v>15.045</v>
      </c>
      <c r="I280" s="26">
        <f>ROUND(H281*E281,2)</f>
        <v>8.73</v>
      </c>
      <c r="J280" s="375">
        <v>11.798000000000002</v>
      </c>
      <c r="K280" s="28" t="e">
        <f>IF(A281&lt;&gt;0,VLOOKUP(A281,#REF!,2,FALSE),"")</f>
        <v>#REF!</v>
      </c>
      <c r="M280" s="26"/>
      <c r="N280" s="158"/>
      <c r="O280" s="26"/>
      <c r="P280" s="595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5"/>
      <c r="AF280" s="25"/>
      <c r="AG280" s="25"/>
      <c r="AH280" s="25"/>
      <c r="AI280" s="25"/>
      <c r="AJ280" s="25"/>
      <c r="AK280" s="25"/>
      <c r="AL280" s="25"/>
    </row>
    <row r="281" spans="1:38" s="34" customFormat="1">
      <c r="A281" s="503">
        <v>88316</v>
      </c>
      <c r="B281" s="628" t="s">
        <v>377</v>
      </c>
      <c r="C281" s="504" t="s">
        <v>12</v>
      </c>
      <c r="D281" s="504" t="s">
        <v>19</v>
      </c>
      <c r="E281" s="505">
        <v>0.74</v>
      </c>
      <c r="F281" s="1006"/>
      <c r="G281" s="1009"/>
      <c r="H281" s="26">
        <f>J280</f>
        <v>11.798000000000002</v>
      </c>
      <c r="I281" s="81">
        <v>54.07</v>
      </c>
      <c r="J281" s="378">
        <v>16.652350000000002</v>
      </c>
      <c r="L281" s="378"/>
      <c r="M281" s="26"/>
      <c r="N281" s="158"/>
      <c r="O281" s="81"/>
      <c r="P281" s="600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6"/>
      <c r="AF281" s="86"/>
      <c r="AG281" s="86"/>
      <c r="AH281" s="86"/>
      <c r="AI281" s="86"/>
      <c r="AJ281" s="86"/>
      <c r="AK281" s="86"/>
      <c r="AL281" s="86"/>
    </row>
    <row r="282" spans="1:38" ht="15" customHeight="1">
      <c r="A282" s="25"/>
      <c r="B282" s="78" t="s">
        <v>421</v>
      </c>
      <c r="C282" s="25" t="s">
        <v>2015</v>
      </c>
      <c r="D282" s="25" t="s">
        <v>52</v>
      </c>
      <c r="E282" s="26">
        <v>2.76</v>
      </c>
      <c r="F282" s="1007"/>
      <c r="G282" s="1010"/>
      <c r="H282" s="81">
        <v>19.591000000000001</v>
      </c>
      <c r="I282" s="79">
        <f>ROUND(SUM(I276:I281),2)</f>
        <v>182.85</v>
      </c>
      <c r="M282" s="375"/>
      <c r="N282" s="79"/>
      <c r="O282" s="535"/>
      <c r="P282" s="594"/>
      <c r="Q282" s="543"/>
      <c r="R282" s="543"/>
      <c r="S282" s="543"/>
      <c r="T282" s="569"/>
      <c r="U282" s="569"/>
      <c r="V282" s="653"/>
      <c r="W282" s="713"/>
      <c r="X282" s="704"/>
      <c r="Y282" s="713"/>
      <c r="Z282" s="713"/>
      <c r="AA282" s="704"/>
      <c r="AB282" s="704"/>
      <c r="AC282" s="653"/>
      <c r="AD282" s="674"/>
      <c r="AE282" s="713"/>
      <c r="AF282" s="713"/>
      <c r="AG282" s="713"/>
      <c r="AH282" s="713"/>
      <c r="AI282" s="713"/>
      <c r="AJ282" s="713"/>
      <c r="AK282" s="713"/>
      <c r="AL282" s="713"/>
    </row>
    <row r="283" spans="1:38" ht="24" customHeight="1">
      <c r="A283" s="917" t="s">
        <v>1894</v>
      </c>
      <c r="B283" s="918"/>
      <c r="C283" s="918"/>
      <c r="D283" s="918"/>
      <c r="E283" s="918"/>
      <c r="F283" s="926"/>
      <c r="G283" s="79">
        <f>ROUND(SUM(G277:G282),2)</f>
        <v>239.74</v>
      </c>
      <c r="H283" s="485"/>
      <c r="I283" s="80"/>
      <c r="M283" s="104"/>
      <c r="N283" s="104"/>
      <c r="O283" s="80"/>
      <c r="P283" s="426"/>
      <c r="Q283" s="80"/>
      <c r="R283" s="80"/>
      <c r="S283" s="80"/>
      <c r="T283" s="80"/>
      <c r="U283" s="80"/>
      <c r="V283" s="80"/>
      <c r="W283" s="104"/>
      <c r="X283" s="104"/>
      <c r="Y283" s="104"/>
      <c r="Z283" s="104"/>
      <c r="AA283" s="104"/>
      <c r="AB283" s="104"/>
      <c r="AC283" s="80"/>
      <c r="AD283" s="80"/>
      <c r="AE283" s="697"/>
      <c r="AF283" s="697"/>
      <c r="AG283" s="697"/>
      <c r="AH283" s="697"/>
      <c r="AI283" s="697"/>
      <c r="AJ283" s="697"/>
      <c r="AK283" s="697"/>
      <c r="AL283" s="697"/>
    </row>
    <row r="284" spans="1:38" ht="32.25" customHeight="1">
      <c r="A284" s="697"/>
      <c r="B284" s="80"/>
      <c r="C284" s="490"/>
      <c r="D284" s="491"/>
      <c r="E284" s="80"/>
      <c r="F284" s="104"/>
      <c r="G284" s="104"/>
      <c r="H284" s="80"/>
      <c r="I284" s="82">
        <v>11489</v>
      </c>
      <c r="M284" s="537"/>
      <c r="N284" s="537"/>
      <c r="O284" s="75"/>
      <c r="P284" s="589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</row>
    <row r="285" spans="1:38">
      <c r="A285" s="920" t="s">
        <v>3424</v>
      </c>
      <c r="B285" s="921"/>
      <c r="C285" s="921"/>
      <c r="D285" s="921"/>
      <c r="E285" s="922"/>
      <c r="F285" s="484"/>
      <c r="G285" s="484"/>
      <c r="H285" s="75" t="s">
        <v>44</v>
      </c>
      <c r="I285" s="77" t="s">
        <v>368</v>
      </c>
      <c r="M285" s="93"/>
      <c r="N285" s="93"/>
      <c r="O285" s="77"/>
      <c r="P285" s="590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</row>
    <row r="286" spans="1:38" s="45" customFormat="1" ht="53.25" customHeight="1">
      <c r="A286" s="77" t="s">
        <v>364</v>
      </c>
      <c r="B286" s="486"/>
      <c r="C286" s="77" t="s">
        <v>3</v>
      </c>
      <c r="D286" s="77" t="s">
        <v>4</v>
      </c>
      <c r="E286" s="77" t="s">
        <v>1826</v>
      </c>
      <c r="F286" s="93" t="s">
        <v>3781</v>
      </c>
      <c r="G286" s="93" t="s">
        <v>3783</v>
      </c>
      <c r="H286" s="77" t="s">
        <v>367</v>
      </c>
      <c r="I286" s="26">
        <f>ROUND(H287*E287,2)</f>
        <v>382.5</v>
      </c>
      <c r="J286" s="364">
        <v>382.5</v>
      </c>
      <c r="K286" s="45" t="e">
        <f>IF(A287&lt;&gt;0,VLOOKUP(A287,#REF!,2,FALSE),"")</f>
        <v>#REF!</v>
      </c>
      <c r="L286" s="364"/>
      <c r="M286" s="26"/>
      <c r="N286" s="158"/>
      <c r="O286" s="26"/>
      <c r="P286" s="595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5"/>
      <c r="AF286" s="25"/>
      <c r="AG286" s="25"/>
      <c r="AH286" s="25"/>
      <c r="AI286" s="25"/>
      <c r="AJ286" s="25"/>
      <c r="AK286" s="25"/>
      <c r="AL286" s="25"/>
    </row>
    <row r="287" spans="1:38" ht="15" customHeight="1">
      <c r="A287" s="24">
        <v>12424</v>
      </c>
      <c r="B287" s="78" t="s">
        <v>2401</v>
      </c>
      <c r="C287" s="25" t="s">
        <v>44</v>
      </c>
      <c r="D287" s="25" t="s">
        <v>68</v>
      </c>
      <c r="E287" s="26">
        <v>1</v>
      </c>
      <c r="F287" s="26">
        <f>(289926+15960)/702</f>
        <v>435.73504273504273</v>
      </c>
      <c r="G287" s="158">
        <f>ROUND(F287*E287,2)</f>
        <v>435.74</v>
      </c>
      <c r="H287" s="26">
        <f>J286</f>
        <v>382.5</v>
      </c>
      <c r="I287" s="79">
        <f>ROUND(SUM(I286),2)</f>
        <v>382.5</v>
      </c>
      <c r="M287" s="375"/>
      <c r="N287" s="79"/>
      <c r="O287" s="535"/>
      <c r="P287" s="594"/>
      <c r="Q287" s="543"/>
      <c r="R287" s="543"/>
      <c r="S287" s="543"/>
      <c r="T287" s="569"/>
      <c r="U287" s="569"/>
      <c r="V287" s="653"/>
      <c r="W287" s="713"/>
      <c r="X287" s="704"/>
      <c r="Y287" s="713"/>
      <c r="Z287" s="713"/>
      <c r="AA287" s="704"/>
      <c r="AB287" s="704"/>
      <c r="AC287" s="653"/>
      <c r="AD287" s="674"/>
      <c r="AE287" s="713"/>
      <c r="AF287" s="713"/>
      <c r="AG287" s="713"/>
      <c r="AH287" s="713"/>
      <c r="AI287" s="713"/>
      <c r="AJ287" s="713"/>
      <c r="AK287" s="713"/>
      <c r="AL287" s="713"/>
    </row>
    <row r="288" spans="1:38" ht="29.25" customHeight="1">
      <c r="A288" s="917" t="s">
        <v>1894</v>
      </c>
      <c r="B288" s="918"/>
      <c r="C288" s="918"/>
      <c r="D288" s="918"/>
      <c r="E288" s="918"/>
      <c r="F288" s="926"/>
      <c r="G288" s="79">
        <f>ROUND(SUM(G287),2)</f>
        <v>435.74</v>
      </c>
      <c r="H288" s="485"/>
      <c r="I288" s="80"/>
      <c r="M288" s="104"/>
      <c r="N288" s="104"/>
      <c r="O288" s="80"/>
      <c r="P288" s="426"/>
      <c r="Q288" s="80"/>
      <c r="R288" s="80"/>
      <c r="S288" s="80"/>
      <c r="T288" s="80"/>
      <c r="U288" s="80"/>
      <c r="V288" s="80"/>
      <c r="W288" s="104"/>
      <c r="X288" s="104"/>
      <c r="Y288" s="104"/>
      <c r="Z288" s="104"/>
      <c r="AA288" s="104"/>
      <c r="AB288" s="104"/>
      <c r="AC288" s="80"/>
      <c r="AD288" s="80"/>
      <c r="AE288" s="697"/>
      <c r="AF288" s="697"/>
      <c r="AG288" s="697"/>
      <c r="AH288" s="697"/>
      <c r="AI288" s="697"/>
      <c r="AJ288" s="697"/>
      <c r="AK288" s="697"/>
      <c r="AL288" s="697"/>
    </row>
    <row r="289" spans="1:38" ht="72" customHeight="1">
      <c r="A289" s="697"/>
      <c r="B289" s="80"/>
      <c r="C289" s="490"/>
      <c r="D289" s="491"/>
      <c r="E289" s="80"/>
      <c r="F289" s="104"/>
      <c r="G289" s="104"/>
      <c r="H289" s="80"/>
      <c r="I289" s="82" t="s">
        <v>2498</v>
      </c>
      <c r="M289" s="537"/>
      <c r="N289" s="537"/>
      <c r="O289" s="75"/>
      <c r="P289" s="589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</row>
    <row r="290" spans="1:38">
      <c r="A290" s="920" t="s">
        <v>2499</v>
      </c>
      <c r="B290" s="921"/>
      <c r="C290" s="921"/>
      <c r="D290" s="921"/>
      <c r="E290" s="922"/>
      <c r="F290" s="484"/>
      <c r="G290" s="484"/>
      <c r="H290" s="75" t="s">
        <v>1915</v>
      </c>
      <c r="I290" s="77" t="s">
        <v>368</v>
      </c>
      <c r="M290" s="93"/>
      <c r="N290" s="93"/>
      <c r="O290" s="77"/>
      <c r="P290" s="590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</row>
    <row r="291" spans="1:38" ht="45" customHeight="1">
      <c r="A291" s="77" t="s">
        <v>1917</v>
      </c>
      <c r="B291" s="668"/>
      <c r="C291" s="77" t="s">
        <v>3</v>
      </c>
      <c r="D291" s="77" t="s">
        <v>4</v>
      </c>
      <c r="E291" s="77" t="s">
        <v>1826</v>
      </c>
      <c r="F291" s="93" t="s">
        <v>3781</v>
      </c>
      <c r="G291" s="93" t="s">
        <v>3783</v>
      </c>
      <c r="H291" s="77" t="s">
        <v>367</v>
      </c>
      <c r="I291" s="26">
        <f>ROUND(H292*E292,2)</f>
        <v>170.6</v>
      </c>
      <c r="J291" s="375">
        <v>170.595</v>
      </c>
      <c r="K291" s="2" t="e">
        <f>IF(A292&lt;&gt;0,VLOOKUP(A292,#REF!,2,FALSE),"")</f>
        <v>#REF!</v>
      </c>
      <c r="M291" s="26"/>
      <c r="N291" s="26"/>
      <c r="O291" s="26"/>
      <c r="P291" s="595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5"/>
      <c r="AF291" s="25"/>
      <c r="AG291" s="25"/>
      <c r="AH291" s="25"/>
      <c r="AI291" s="25"/>
      <c r="AJ291" s="25"/>
      <c r="AK291" s="25"/>
      <c r="AL291" s="25"/>
    </row>
    <row r="292" spans="1:38" s="34" customFormat="1" ht="45">
      <c r="A292" s="725" t="s">
        <v>4075</v>
      </c>
      <c r="B292" s="661" t="s">
        <v>3920</v>
      </c>
      <c r="C292" s="472" t="s">
        <v>12</v>
      </c>
      <c r="D292" s="472" t="s">
        <v>17</v>
      </c>
      <c r="E292" s="473">
        <v>1</v>
      </c>
      <c r="F292" s="473"/>
      <c r="G292" s="562">
        <f>ROUND(F292*E292,2)</f>
        <v>0</v>
      </c>
      <c r="H292" s="473">
        <f>J291</f>
        <v>170.595</v>
      </c>
      <c r="I292" s="473">
        <f>ROUND(H298*E298,2)</f>
        <v>55</v>
      </c>
      <c r="J292" s="378">
        <v>5.4994999999999994</v>
      </c>
      <c r="K292" s="34" t="e">
        <f>IF(A298&lt;&gt;0,VLOOKUP(A298,#REF!,2,FALSE),"")</f>
        <v>#REF!</v>
      </c>
      <c r="L292" s="378"/>
      <c r="M292" s="473"/>
      <c r="N292" s="562"/>
      <c r="O292" s="473"/>
      <c r="P292" s="473"/>
      <c r="Q292" s="473"/>
      <c r="R292" s="473"/>
      <c r="S292" s="473"/>
      <c r="T292" s="473"/>
      <c r="U292" s="473"/>
      <c r="V292" s="473"/>
      <c r="W292" s="473"/>
      <c r="X292" s="473"/>
      <c r="Y292" s="473"/>
      <c r="Z292" s="473"/>
      <c r="AA292" s="473"/>
      <c r="AB292" s="473"/>
      <c r="AC292" s="473"/>
      <c r="AD292" s="473"/>
      <c r="AE292" s="472"/>
      <c r="AF292" s="472"/>
      <c r="AG292" s="472"/>
      <c r="AH292" s="472"/>
      <c r="AI292" s="472"/>
      <c r="AJ292" s="472"/>
      <c r="AK292" s="472"/>
      <c r="AL292" s="472"/>
    </row>
    <row r="293" spans="1:38" s="28" customFormat="1" ht="90">
      <c r="A293" s="729" t="s">
        <v>4065</v>
      </c>
      <c r="B293" s="729" t="s">
        <v>4066</v>
      </c>
      <c r="C293" s="729" t="s">
        <v>12</v>
      </c>
      <c r="D293" s="729" t="s">
        <v>4067</v>
      </c>
      <c r="E293" s="731" t="s">
        <v>4061</v>
      </c>
      <c r="F293" s="731">
        <v>150</v>
      </c>
      <c r="G293" s="691">
        <f>ROUND(F293*E293*$E$292,2)</f>
        <v>150</v>
      </c>
      <c r="H293" s="26"/>
      <c r="I293" s="26"/>
      <c r="J293" s="374"/>
      <c r="L293" s="374"/>
      <c r="M293" s="26"/>
      <c r="N293" s="158"/>
      <c r="O293" s="26"/>
      <c r="P293" s="595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5"/>
      <c r="AF293" s="25"/>
      <c r="AG293" s="25"/>
      <c r="AH293" s="25"/>
      <c r="AI293" s="25"/>
      <c r="AJ293" s="25"/>
      <c r="AK293" s="25"/>
      <c r="AL293" s="25"/>
    </row>
    <row r="294" spans="1:38" s="28" customFormat="1">
      <c r="A294" s="25" t="s">
        <v>4068</v>
      </c>
      <c r="B294" s="25" t="s">
        <v>4069</v>
      </c>
      <c r="C294" s="25" t="s">
        <v>12</v>
      </c>
      <c r="D294" s="25" t="s">
        <v>45</v>
      </c>
      <c r="E294" s="26" t="s">
        <v>4070</v>
      </c>
      <c r="F294" s="26">
        <f t="shared" ref="F294" si="100">AVERAGE(M294:AL294)</f>
        <v>28</v>
      </c>
      <c r="G294" s="158">
        <f>ROUND(F294*E294*$E$292,2)</f>
        <v>0.31</v>
      </c>
      <c r="H294" s="26"/>
      <c r="I294" s="26"/>
      <c r="J294" s="374"/>
      <c r="L294" s="374"/>
      <c r="M294" s="26"/>
      <c r="N294" s="158"/>
      <c r="O294" s="26"/>
      <c r="P294" s="595"/>
      <c r="Q294" s="26"/>
      <c r="R294" s="26"/>
      <c r="S294" s="26"/>
      <c r="T294" s="26"/>
      <c r="U294" s="26"/>
      <c r="V294" s="26">
        <v>28</v>
      </c>
      <c r="W294" s="26"/>
      <c r="X294" s="26"/>
      <c r="Y294" s="26"/>
      <c r="Z294" s="26"/>
      <c r="AA294" s="26"/>
      <c r="AB294" s="26"/>
      <c r="AC294" s="26"/>
      <c r="AD294" s="26"/>
      <c r="AE294" s="25"/>
      <c r="AF294" s="25"/>
      <c r="AG294" s="25"/>
      <c r="AH294" s="25"/>
      <c r="AI294" s="25"/>
      <c r="AJ294" s="25"/>
      <c r="AK294" s="25"/>
      <c r="AL294" s="25"/>
    </row>
    <row r="295" spans="1:38" s="28" customFormat="1" ht="30">
      <c r="A295" s="729" t="s">
        <v>4071</v>
      </c>
      <c r="B295" s="729" t="s">
        <v>375</v>
      </c>
      <c r="C295" s="729" t="s">
        <v>12</v>
      </c>
      <c r="D295" s="729" t="s">
        <v>45</v>
      </c>
      <c r="E295" s="731" t="s">
        <v>4072</v>
      </c>
      <c r="F295" s="731">
        <v>22.34</v>
      </c>
      <c r="G295" s="691">
        <f t="shared" ref="G295" si="101">ROUND(F295*E295*$E$292,2)</f>
        <v>0.54</v>
      </c>
      <c r="H295" s="26"/>
      <c r="I295" s="26"/>
      <c r="J295" s="374"/>
      <c r="L295" s="374"/>
      <c r="M295" s="26"/>
      <c r="N295" s="158"/>
      <c r="O295" s="26"/>
      <c r="P295" s="595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5"/>
      <c r="AF295" s="25"/>
      <c r="AG295" s="25"/>
      <c r="AH295" s="25"/>
      <c r="AI295" s="25"/>
      <c r="AJ295" s="25"/>
      <c r="AK295" s="25"/>
      <c r="AL295" s="25"/>
    </row>
    <row r="296" spans="1:38" s="28" customFormat="1" ht="30">
      <c r="A296" s="504" t="s">
        <v>4020</v>
      </c>
      <c r="B296" s="504" t="s">
        <v>435</v>
      </c>
      <c r="C296" s="504" t="s">
        <v>12</v>
      </c>
      <c r="D296" s="504" t="s">
        <v>19</v>
      </c>
      <c r="E296" s="505" t="s">
        <v>4073</v>
      </c>
      <c r="F296" s="505">
        <f>16.84*0.85*'PLANILHA ORÇA - CORREGEDORIA'!$BH$19</f>
        <v>15.945915731372706</v>
      </c>
      <c r="G296" s="561">
        <f>ROUND(F296*E296*$E$292,2)</f>
        <v>43.71</v>
      </c>
      <c r="H296" s="26"/>
      <c r="I296" s="26"/>
      <c r="J296" s="374"/>
      <c r="L296" s="374"/>
      <c r="M296" s="26"/>
      <c r="N296" s="158"/>
      <c r="O296" s="26"/>
      <c r="P296" s="595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5"/>
      <c r="AF296" s="25"/>
      <c r="AG296" s="25"/>
      <c r="AH296" s="25"/>
      <c r="AI296" s="25"/>
      <c r="AJ296" s="25"/>
      <c r="AK296" s="25"/>
      <c r="AL296" s="25"/>
    </row>
    <row r="297" spans="1:38" s="28" customFormat="1">
      <c r="A297" s="504" t="s">
        <v>3816</v>
      </c>
      <c r="B297" s="504" t="s">
        <v>377</v>
      </c>
      <c r="C297" s="504" t="s">
        <v>12</v>
      </c>
      <c r="D297" s="504" t="s">
        <v>19</v>
      </c>
      <c r="E297" s="505" t="s">
        <v>4074</v>
      </c>
      <c r="F297" s="505">
        <f>13.88*0.85*'PLANILHA ORÇA - CORREGEDORIA'!$BH$19</f>
        <v>13.143070685953276</v>
      </c>
      <c r="G297" s="561">
        <f>ROUND(F297*E297*$E$292,2)</f>
        <v>17.84</v>
      </c>
      <c r="H297" s="26"/>
      <c r="I297" s="26"/>
      <c r="J297" s="374"/>
      <c r="L297" s="374"/>
      <c r="M297" s="26"/>
      <c r="N297" s="158"/>
      <c r="O297" s="26"/>
      <c r="P297" s="595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5"/>
      <c r="AF297" s="25"/>
      <c r="AG297" s="25"/>
      <c r="AH297" s="25"/>
      <c r="AI297" s="25"/>
      <c r="AJ297" s="25"/>
      <c r="AK297" s="25"/>
      <c r="AL297" s="25"/>
    </row>
    <row r="298" spans="1:38" s="34" customFormat="1" ht="45">
      <c r="A298" s="475" t="s">
        <v>4023</v>
      </c>
      <c r="B298" s="661" t="s">
        <v>3919</v>
      </c>
      <c r="C298" s="472" t="s">
        <v>12</v>
      </c>
      <c r="D298" s="472" t="s">
        <v>52</v>
      </c>
      <c r="E298" s="473">
        <v>10</v>
      </c>
      <c r="F298" s="473"/>
      <c r="G298" s="562">
        <f t="shared" ref="G298" si="102">ROUND(F298*E298,2)</f>
        <v>0</v>
      </c>
      <c r="H298" s="473">
        <f>J292</f>
        <v>5.4994999999999994</v>
      </c>
      <c r="I298" s="473">
        <f>ROUND(H303*E303,2)</f>
        <v>319.55</v>
      </c>
      <c r="J298" s="378">
        <v>319.54899999999998</v>
      </c>
      <c r="K298" s="47" t="e">
        <f>IF(A303&lt;&gt;0,VLOOKUP(A303,#REF!,2,FALSE),"")</f>
        <v>#REF!</v>
      </c>
      <c r="L298" s="378"/>
      <c r="M298" s="473"/>
      <c r="N298" s="562"/>
      <c r="O298" s="473"/>
      <c r="P298" s="473"/>
      <c r="Q298" s="473"/>
      <c r="R298" s="473"/>
      <c r="S298" s="473"/>
      <c r="T298" s="473"/>
      <c r="U298" s="473"/>
      <c r="V298" s="473">
        <v>6.5</v>
      </c>
      <c r="W298" s="473"/>
      <c r="X298" s="473"/>
      <c r="Y298" s="473"/>
      <c r="Z298" s="473"/>
      <c r="AA298" s="473"/>
      <c r="AB298" s="473"/>
      <c r="AC298" s="473"/>
      <c r="AD298" s="473"/>
      <c r="AE298" s="472"/>
      <c r="AF298" s="472"/>
      <c r="AG298" s="472"/>
      <c r="AH298" s="472"/>
      <c r="AI298" s="472"/>
      <c r="AJ298" s="472"/>
      <c r="AK298" s="472"/>
      <c r="AL298" s="472"/>
    </row>
    <row r="299" spans="1:38" s="28" customFormat="1" ht="60">
      <c r="A299" s="25" t="s">
        <v>4014</v>
      </c>
      <c r="B299" s="25" t="s">
        <v>4015</v>
      </c>
      <c r="C299" s="25" t="s">
        <v>12</v>
      </c>
      <c r="D299" s="25" t="s">
        <v>52</v>
      </c>
      <c r="E299" s="26" t="s">
        <v>4016</v>
      </c>
      <c r="F299" s="26">
        <f t="shared" ref="F299" si="103">AVERAGE(M299:AL299)</f>
        <v>12.14</v>
      </c>
      <c r="G299" s="158">
        <f>ROUND(F299*E299*$E$298,2)</f>
        <v>141.19</v>
      </c>
      <c r="H299" s="26"/>
      <c r="I299" s="26"/>
      <c r="J299" s="374"/>
      <c r="K299" s="37"/>
      <c r="L299" s="374"/>
      <c r="M299" s="26"/>
      <c r="N299" s="158"/>
      <c r="O299" s="26"/>
      <c r="P299" s="595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>
        <v>12.14</v>
      </c>
      <c r="AD299" s="26"/>
      <c r="AE299" s="25"/>
      <c r="AF299" s="25"/>
      <c r="AG299" s="25"/>
      <c r="AH299" s="25"/>
      <c r="AI299" s="25"/>
      <c r="AJ299" s="25"/>
      <c r="AK299" s="25"/>
      <c r="AL299" s="25"/>
    </row>
    <row r="300" spans="1:38" s="28" customFormat="1" ht="30">
      <c r="A300" s="729" t="s">
        <v>4017</v>
      </c>
      <c r="B300" s="729" t="s">
        <v>4018</v>
      </c>
      <c r="C300" s="729" t="s">
        <v>12</v>
      </c>
      <c r="D300" s="729" t="s">
        <v>45</v>
      </c>
      <c r="E300" s="731" t="s">
        <v>4019</v>
      </c>
      <c r="F300" s="731">
        <v>25.12</v>
      </c>
      <c r="G300" s="691">
        <f>ROUND(F300*E300*$E$298,2)</f>
        <v>1.51</v>
      </c>
      <c r="H300" s="26"/>
      <c r="I300" s="26"/>
      <c r="J300" s="374"/>
      <c r="K300" s="37"/>
      <c r="L300" s="374"/>
      <c r="M300" s="26"/>
      <c r="N300" s="158"/>
      <c r="O300" s="26"/>
      <c r="P300" s="595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5"/>
      <c r="AF300" s="25"/>
      <c r="AG300" s="25"/>
      <c r="AH300" s="25"/>
      <c r="AI300" s="25"/>
      <c r="AJ300" s="25"/>
      <c r="AK300" s="25"/>
      <c r="AL300" s="25"/>
    </row>
    <row r="301" spans="1:38" s="28" customFormat="1" ht="30">
      <c r="A301" s="504" t="s">
        <v>4020</v>
      </c>
      <c r="B301" s="504" t="s">
        <v>435</v>
      </c>
      <c r="C301" s="504" t="s">
        <v>12</v>
      </c>
      <c r="D301" s="504" t="s">
        <v>19</v>
      </c>
      <c r="E301" s="505" t="s">
        <v>4021</v>
      </c>
      <c r="F301" s="505">
        <f>16.84*0.85*'PLANILHA ORÇA - CORREGEDORIA'!$BH$19</f>
        <v>15.945915731372706</v>
      </c>
      <c r="G301" s="561">
        <f>ROUND(F301*E301*$E$298,2)</f>
        <v>10.84</v>
      </c>
      <c r="H301" s="26"/>
      <c r="I301" s="26"/>
      <c r="J301" s="374"/>
      <c r="K301" s="37"/>
      <c r="L301" s="374"/>
      <c r="M301" s="26"/>
      <c r="N301" s="158"/>
      <c r="O301" s="26"/>
      <c r="P301" s="595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5"/>
      <c r="AF301" s="25"/>
      <c r="AG301" s="25"/>
      <c r="AH301" s="25"/>
      <c r="AI301" s="25"/>
      <c r="AJ301" s="25"/>
      <c r="AK301" s="25"/>
      <c r="AL301" s="25"/>
    </row>
    <row r="302" spans="1:38" s="28" customFormat="1">
      <c r="A302" s="504" t="s">
        <v>3816</v>
      </c>
      <c r="B302" s="504" t="s">
        <v>377</v>
      </c>
      <c r="C302" s="504" t="s">
        <v>12</v>
      </c>
      <c r="D302" s="504" t="s">
        <v>19</v>
      </c>
      <c r="E302" s="505" t="s">
        <v>4022</v>
      </c>
      <c r="F302" s="505">
        <f>13.88*0.85*'PLANILHA ORÇA - CORREGEDORIA'!$BH$19</f>
        <v>13.143070685953276</v>
      </c>
      <c r="G302" s="561">
        <f>ROUND(F302*E302*$E$298,2)</f>
        <v>4.47</v>
      </c>
      <c r="H302" s="26"/>
      <c r="I302" s="26"/>
      <c r="J302" s="374"/>
      <c r="K302" s="37"/>
      <c r="L302" s="374"/>
      <c r="M302" s="26"/>
      <c r="N302" s="158"/>
      <c r="O302" s="26"/>
      <c r="P302" s="595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5"/>
      <c r="AF302" s="25"/>
      <c r="AG302" s="25"/>
      <c r="AH302" s="25"/>
      <c r="AI302" s="25"/>
      <c r="AJ302" s="25"/>
      <c r="AK302" s="25"/>
      <c r="AL302" s="25"/>
    </row>
    <row r="303" spans="1:38" s="28" customFormat="1" ht="60">
      <c r="A303" s="24">
        <v>91297</v>
      </c>
      <c r="B303" s="78" t="s">
        <v>1790</v>
      </c>
      <c r="C303" s="25" t="s">
        <v>12</v>
      </c>
      <c r="D303" s="25" t="s">
        <v>17</v>
      </c>
      <c r="E303" s="26">
        <v>1</v>
      </c>
      <c r="F303" s="26">
        <f t="shared" ref="F303" si="104">AVERAGE(M303:AL303)</f>
        <v>160</v>
      </c>
      <c r="G303" s="158">
        <f>ROUND(F303*E303,2)</f>
        <v>160</v>
      </c>
      <c r="H303" s="26">
        <f>J298</f>
        <v>319.54899999999998</v>
      </c>
      <c r="I303" s="26">
        <f>ROUND(H304*E304,2)</f>
        <v>121.25</v>
      </c>
      <c r="J303" s="374">
        <v>34.0595</v>
      </c>
      <c r="K303" s="37" t="e">
        <f>IF(A304&lt;&gt;0,VLOOKUP(A304,#REF!,2,FALSE),"")</f>
        <v>#REF!</v>
      </c>
      <c r="L303" s="374"/>
      <c r="M303" s="26"/>
      <c r="N303" s="158"/>
      <c r="O303" s="26"/>
      <c r="P303" s="595"/>
      <c r="Q303" s="26"/>
      <c r="R303" s="26"/>
      <c r="S303" s="26"/>
      <c r="T303" s="26"/>
      <c r="U303" s="26"/>
      <c r="V303" s="26">
        <v>160</v>
      </c>
      <c r="W303" s="26"/>
      <c r="X303" s="26"/>
      <c r="Y303" s="26"/>
      <c r="Z303" s="26"/>
      <c r="AA303" s="26"/>
      <c r="AB303" s="26"/>
      <c r="AC303" s="26"/>
      <c r="AD303" s="26"/>
      <c r="AE303" s="25"/>
      <c r="AF303" s="25"/>
      <c r="AG303" s="25"/>
      <c r="AH303" s="25"/>
      <c r="AI303" s="25"/>
      <c r="AJ303" s="25"/>
      <c r="AK303" s="25"/>
      <c r="AL303" s="25"/>
    </row>
    <row r="304" spans="1:38" s="28" customFormat="1" ht="30">
      <c r="A304" s="727">
        <v>1341</v>
      </c>
      <c r="B304" s="728" t="s">
        <v>633</v>
      </c>
      <c r="C304" s="729" t="s">
        <v>12</v>
      </c>
      <c r="D304" s="729" t="s">
        <v>26</v>
      </c>
      <c r="E304" s="731">
        <v>3.56</v>
      </c>
      <c r="F304" s="731">
        <v>63.92</v>
      </c>
      <c r="G304" s="691">
        <f>ROUND(F304*E304,2)</f>
        <v>227.56</v>
      </c>
      <c r="H304" s="26">
        <f>J303</f>
        <v>34.0595</v>
      </c>
      <c r="I304" s="26">
        <f>ROUND(H305*E305,2)</f>
        <v>79.489999999999995</v>
      </c>
      <c r="J304" s="374">
        <v>79.49199999999999</v>
      </c>
      <c r="K304" s="28" t="e">
        <f>IF(A305&lt;&gt;0,VLOOKUP(A305,#REF!,2,FALSE),"")</f>
        <v>#REF!</v>
      </c>
      <c r="L304" s="374"/>
      <c r="M304" s="26"/>
      <c r="N304" s="158"/>
      <c r="O304" s="26"/>
      <c r="P304" s="595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5"/>
      <c r="AF304" s="25"/>
      <c r="AG304" s="25"/>
      <c r="AH304" s="25"/>
      <c r="AI304" s="25"/>
      <c r="AJ304" s="25"/>
      <c r="AK304" s="25"/>
      <c r="AL304" s="25"/>
    </row>
    <row r="305" spans="1:38" s="34" customFormat="1" ht="15" customHeight="1">
      <c r="A305" s="475" t="s">
        <v>4064</v>
      </c>
      <c r="B305" s="661" t="s">
        <v>1791</v>
      </c>
      <c r="C305" s="472" t="s">
        <v>12</v>
      </c>
      <c r="D305" s="472" t="s">
        <v>17</v>
      </c>
      <c r="E305" s="473">
        <v>1</v>
      </c>
      <c r="F305" s="473"/>
      <c r="G305" s="562">
        <f>ROUND(F305*E305,2)</f>
        <v>0</v>
      </c>
      <c r="H305" s="473">
        <f>J304</f>
        <v>79.49199999999999</v>
      </c>
      <c r="I305" s="662">
        <f>ROUND(SUM(I291:I304),2)</f>
        <v>745.89</v>
      </c>
      <c r="J305" s="378"/>
      <c r="L305" s="378"/>
      <c r="M305" s="717"/>
      <c r="N305" s="717"/>
      <c r="O305" s="717"/>
      <c r="P305" s="687"/>
      <c r="Q305" s="687"/>
      <c r="R305" s="687"/>
      <c r="S305" s="687"/>
      <c r="T305" s="687"/>
      <c r="U305" s="687"/>
      <c r="V305" s="687"/>
      <c r="W305" s="687"/>
      <c r="X305" s="687"/>
      <c r="Y305" s="687"/>
      <c r="Z305" s="687"/>
      <c r="AA305" s="687"/>
      <c r="AB305" s="687"/>
      <c r="AC305" s="687"/>
      <c r="AD305" s="687"/>
      <c r="AE305" s="687"/>
      <c r="AF305" s="687"/>
      <c r="AG305" s="687"/>
      <c r="AH305" s="687"/>
      <c r="AI305" s="687"/>
      <c r="AJ305" s="687"/>
      <c r="AK305" s="687"/>
      <c r="AL305" s="687"/>
    </row>
    <row r="306" spans="1:38" ht="15" customHeight="1">
      <c r="A306" s="729" t="s">
        <v>4059</v>
      </c>
      <c r="B306" s="729" t="s">
        <v>4060</v>
      </c>
      <c r="C306" s="283"/>
      <c r="D306" s="729" t="s">
        <v>383</v>
      </c>
      <c r="E306" s="731" t="s">
        <v>4061</v>
      </c>
      <c r="F306" s="731">
        <v>109.36</v>
      </c>
      <c r="G306" s="691">
        <f>ROUND(F306*E306,2)</f>
        <v>109.36</v>
      </c>
      <c r="H306" s="26"/>
      <c r="I306" s="79"/>
      <c r="M306" s="26"/>
      <c r="N306" s="79"/>
      <c r="O306" s="713"/>
      <c r="P306" s="594"/>
      <c r="Q306" s="713"/>
      <c r="R306" s="713"/>
      <c r="S306" s="713"/>
      <c r="T306" s="713"/>
      <c r="U306" s="713"/>
      <c r="V306" s="713"/>
      <c r="W306" s="713"/>
      <c r="X306" s="713"/>
      <c r="Y306" s="713"/>
      <c r="Z306" s="713"/>
      <c r="AA306" s="713"/>
      <c r="AB306" s="713"/>
      <c r="AC306" s="713"/>
      <c r="AD306" s="713"/>
      <c r="AE306" s="713"/>
      <c r="AF306" s="713"/>
      <c r="AG306" s="713"/>
      <c r="AH306" s="713"/>
      <c r="AI306" s="713"/>
      <c r="AJ306" s="713"/>
      <c r="AK306" s="713"/>
      <c r="AL306" s="713"/>
    </row>
    <row r="307" spans="1:38" ht="15" customHeight="1">
      <c r="A307" s="504" t="s">
        <v>4020</v>
      </c>
      <c r="B307" s="504" t="s">
        <v>435</v>
      </c>
      <c r="C307" s="28"/>
      <c r="D307" s="504" t="s">
        <v>19</v>
      </c>
      <c r="E307" s="505" t="s">
        <v>4062</v>
      </c>
      <c r="F307" s="505">
        <f>16.84*0.85*'PLANILHA ORÇA - CORREGEDORIA'!$BH$19</f>
        <v>15.945915731372706</v>
      </c>
      <c r="G307" s="561">
        <f>ROUND(F307*E307*$E$305,2)</f>
        <v>12.23</v>
      </c>
      <c r="H307" s="26"/>
      <c r="I307" s="79"/>
      <c r="M307" s="26"/>
      <c r="N307" s="79"/>
      <c r="O307" s="713"/>
      <c r="P307" s="594"/>
      <c r="Q307" s="713"/>
      <c r="R307" s="713"/>
      <c r="S307" s="713"/>
      <c r="T307" s="713"/>
      <c r="U307" s="713"/>
      <c r="V307" s="713"/>
      <c r="W307" s="713"/>
      <c r="X307" s="713"/>
      <c r="Y307" s="713"/>
      <c r="Z307" s="713"/>
      <c r="AA307" s="713"/>
      <c r="AB307" s="713"/>
      <c r="AC307" s="713"/>
      <c r="AD307" s="713"/>
      <c r="AE307" s="713"/>
      <c r="AF307" s="713"/>
      <c r="AG307" s="713"/>
      <c r="AH307" s="713"/>
      <c r="AI307" s="713"/>
      <c r="AJ307" s="713"/>
      <c r="AK307" s="713"/>
      <c r="AL307" s="713"/>
    </row>
    <row r="308" spans="1:38" ht="15" customHeight="1">
      <c r="A308" s="504" t="s">
        <v>3816</v>
      </c>
      <c r="B308" s="504" t="s">
        <v>377</v>
      </c>
      <c r="C308" s="28"/>
      <c r="D308" s="504" t="s">
        <v>19</v>
      </c>
      <c r="E308" s="505" t="s">
        <v>4063</v>
      </c>
      <c r="F308" s="505">
        <f>13.88*0.85*'PLANILHA ORÇA - CORREGEDORIA'!$BH$19</f>
        <v>13.143070685953276</v>
      </c>
      <c r="G308" s="561">
        <f>ROUND(F308*E308*$E$305,2)</f>
        <v>5.05</v>
      </c>
      <c r="H308" s="26"/>
      <c r="I308" s="79"/>
      <c r="M308" s="26"/>
      <c r="N308" s="79"/>
      <c r="O308" s="713"/>
      <c r="P308" s="594"/>
      <c r="Q308" s="713"/>
      <c r="R308" s="713"/>
      <c r="S308" s="713"/>
      <c r="T308" s="713"/>
      <c r="U308" s="713"/>
      <c r="V308" s="713"/>
      <c r="W308" s="713"/>
      <c r="X308" s="713"/>
      <c r="Y308" s="713"/>
      <c r="Z308" s="713"/>
      <c r="AA308" s="713"/>
      <c r="AB308" s="713"/>
      <c r="AC308" s="713"/>
      <c r="AD308" s="713"/>
      <c r="AE308" s="713"/>
      <c r="AF308" s="713"/>
      <c r="AG308" s="713"/>
      <c r="AH308" s="713"/>
      <c r="AI308" s="713"/>
      <c r="AJ308" s="713"/>
      <c r="AK308" s="713"/>
      <c r="AL308" s="713"/>
    </row>
    <row r="309" spans="1:38" ht="42.75" customHeight="1">
      <c r="A309" s="917" t="s">
        <v>1894</v>
      </c>
      <c r="B309" s="918"/>
      <c r="C309" s="918"/>
      <c r="D309" s="918"/>
      <c r="E309" s="918"/>
      <c r="F309" s="926"/>
      <c r="G309" s="79">
        <f>ROUND(SUM(G292:G305),2)</f>
        <v>757.97</v>
      </c>
      <c r="H309" s="485"/>
      <c r="I309" s="80"/>
      <c r="M309" s="104"/>
      <c r="N309" s="104"/>
      <c r="O309" s="80"/>
      <c r="P309" s="426"/>
      <c r="Q309" s="80"/>
      <c r="R309" s="80"/>
      <c r="S309" s="80"/>
      <c r="T309" s="80"/>
      <c r="U309" s="80"/>
      <c r="V309" s="80"/>
      <c r="W309" s="104"/>
      <c r="X309" s="104"/>
      <c r="Y309" s="104"/>
      <c r="Z309" s="104"/>
      <c r="AA309" s="104"/>
      <c r="AB309" s="104"/>
      <c r="AC309" s="80"/>
      <c r="AD309" s="80"/>
      <c r="AE309" s="697"/>
      <c r="AF309" s="697"/>
      <c r="AG309" s="697"/>
      <c r="AH309" s="697"/>
      <c r="AI309" s="697"/>
      <c r="AJ309" s="697"/>
      <c r="AK309" s="697"/>
      <c r="AL309" s="697"/>
    </row>
    <row r="310" spans="1:38" ht="35.25" customHeight="1">
      <c r="A310" s="697"/>
      <c r="B310" s="80"/>
      <c r="C310" s="490"/>
      <c r="D310" s="491"/>
      <c r="E310" s="80"/>
      <c r="F310" s="104"/>
      <c r="G310" s="104"/>
      <c r="H310" s="80"/>
      <c r="I310" s="486"/>
      <c r="M310" s="537"/>
      <c r="N310" s="537"/>
      <c r="O310" s="75"/>
      <c r="P310" s="589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</row>
    <row r="311" spans="1:38" ht="35.25" customHeight="1">
      <c r="A311" s="920" t="s">
        <v>2065</v>
      </c>
      <c r="B311" s="921"/>
      <c r="C311" s="921"/>
      <c r="D311" s="921"/>
      <c r="E311" s="929"/>
      <c r="F311" s="484"/>
      <c r="G311" s="484"/>
      <c r="H311" s="75" t="s">
        <v>1915</v>
      </c>
      <c r="I311" s="77" t="s">
        <v>368</v>
      </c>
      <c r="M311" s="93"/>
      <c r="N311" s="93"/>
      <c r="O311" s="77"/>
      <c r="P311" s="590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</row>
    <row r="312" spans="1:38" ht="45" customHeight="1">
      <c r="A312" s="77" t="s">
        <v>1917</v>
      </c>
      <c r="B312" s="668"/>
      <c r="C312" s="77" t="s">
        <v>3</v>
      </c>
      <c r="D312" s="77" t="s">
        <v>4</v>
      </c>
      <c r="E312" s="77" t="s">
        <v>1826</v>
      </c>
      <c r="F312" s="93" t="s">
        <v>3781</v>
      </c>
      <c r="G312" s="93" t="s">
        <v>3783</v>
      </c>
      <c r="H312" s="77" t="s">
        <v>367</v>
      </c>
      <c r="I312" s="26">
        <f t="shared" ref="I312:I318" si="105">ROUND(H313*E313,2)</f>
        <v>16.600000000000001</v>
      </c>
      <c r="J312" s="375">
        <v>28.126500000000004</v>
      </c>
      <c r="K312" s="2" t="e">
        <f>IF(A313&lt;&gt;0,VLOOKUP(A313,#REF!,2,FALSE),"")</f>
        <v>#REF!</v>
      </c>
      <c r="M312" s="26"/>
      <c r="N312" s="26"/>
      <c r="O312" s="26"/>
      <c r="P312" s="595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5"/>
      <c r="AF312" s="25"/>
      <c r="AG312" s="25"/>
      <c r="AH312" s="25"/>
      <c r="AI312" s="25"/>
      <c r="AJ312" s="25"/>
      <c r="AK312" s="25"/>
      <c r="AL312" s="25"/>
    </row>
    <row r="313" spans="1:38" ht="45">
      <c r="A313" s="24">
        <v>142</v>
      </c>
      <c r="B313" s="78" t="s">
        <v>423</v>
      </c>
      <c r="C313" s="25" t="s">
        <v>12</v>
      </c>
      <c r="D313" s="25" t="s">
        <v>424</v>
      </c>
      <c r="E313" s="26">
        <v>0.59030000000000005</v>
      </c>
      <c r="F313" s="1011">
        <v>1246.6311499999999</v>
      </c>
      <c r="G313" s="1014">
        <f>F313</f>
        <v>1246.6311499999999</v>
      </c>
      <c r="H313" s="26">
        <f t="shared" ref="H313:H319" si="106">J312</f>
        <v>28.126500000000004</v>
      </c>
      <c r="I313" s="26">
        <f>ROUND(H314*E314,2)</f>
        <v>258.99</v>
      </c>
      <c r="J313" s="375">
        <v>258.96100000000001</v>
      </c>
      <c r="K313" s="28" t="e">
        <f>IF(A314&lt;&gt;0,VLOOKUP(A314,#REF!,2,FALSE),"")</f>
        <v>#REF!</v>
      </c>
      <c r="M313" s="26"/>
      <c r="N313" s="158"/>
      <c r="O313" s="26"/>
      <c r="P313" s="595"/>
      <c r="Q313" s="26"/>
      <c r="R313" s="26"/>
      <c r="S313" s="26"/>
      <c r="T313" s="26"/>
      <c r="U313" s="26"/>
      <c r="V313" s="26"/>
      <c r="W313" s="26">
        <v>40.39</v>
      </c>
      <c r="X313" s="26"/>
      <c r="Y313" s="26"/>
      <c r="Z313" s="26"/>
      <c r="AA313" s="26"/>
      <c r="AB313" s="26"/>
      <c r="AC313" s="26"/>
      <c r="AD313" s="26"/>
      <c r="AE313" s="25"/>
      <c r="AF313" s="25"/>
      <c r="AG313" s="25"/>
      <c r="AH313" s="25"/>
      <c r="AI313" s="25"/>
      <c r="AJ313" s="25"/>
      <c r="AK313" s="25"/>
      <c r="AL313" s="25"/>
    </row>
    <row r="314" spans="1:38" ht="45">
      <c r="A314" s="24">
        <v>34381</v>
      </c>
      <c r="B314" s="78" t="s">
        <v>438</v>
      </c>
      <c r="C314" s="25" t="s">
        <v>12</v>
      </c>
      <c r="D314" s="25" t="s">
        <v>26</v>
      </c>
      <c r="E314" s="26">
        <v>1.0001</v>
      </c>
      <c r="F314" s="1012"/>
      <c r="G314" s="1015"/>
      <c r="H314" s="26">
        <f t="shared" si="106"/>
        <v>258.96100000000001</v>
      </c>
      <c r="I314" s="26">
        <f>ROUND(H315*E315,2)</f>
        <v>2.4900000000000002</v>
      </c>
      <c r="J314" s="375">
        <v>0.10199999999999999</v>
      </c>
      <c r="K314" s="28" t="e">
        <f>IF(A315&lt;&gt;0,VLOOKUP(A315,#REF!,2,FALSE),"")</f>
        <v>#REF!</v>
      </c>
      <c r="M314" s="26"/>
      <c r="N314" s="158"/>
      <c r="O314" s="26"/>
      <c r="P314" s="595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5"/>
      <c r="AF314" s="25"/>
      <c r="AG314" s="25"/>
      <c r="AH314" s="25"/>
      <c r="AI314" s="25"/>
      <c r="AJ314" s="25"/>
      <c r="AK314" s="25"/>
      <c r="AL314" s="25"/>
    </row>
    <row r="315" spans="1:38" ht="45">
      <c r="A315" s="24">
        <v>11950</v>
      </c>
      <c r="B315" s="78" t="s">
        <v>404</v>
      </c>
      <c r="C315" s="25" t="s">
        <v>12</v>
      </c>
      <c r="D315" s="25" t="s">
        <v>17</v>
      </c>
      <c r="E315" s="26">
        <v>24.4</v>
      </c>
      <c r="F315" s="1012"/>
      <c r="G315" s="1015"/>
      <c r="H315" s="26">
        <f t="shared" si="106"/>
        <v>0.10199999999999999</v>
      </c>
      <c r="I315" s="26">
        <f t="shared" si="105"/>
        <v>30.24</v>
      </c>
      <c r="J315" s="375">
        <v>15.121499999999999</v>
      </c>
      <c r="K315" s="28" t="e">
        <f>IF(A316&lt;&gt;0,VLOOKUP(A316,#REF!,2,FALSE),"")</f>
        <v>#REF!</v>
      </c>
      <c r="M315" s="26"/>
      <c r="N315" s="158"/>
      <c r="O315" s="26"/>
      <c r="P315" s="595"/>
      <c r="Q315" s="26"/>
      <c r="R315" s="26"/>
      <c r="S315" s="26"/>
      <c r="T315" s="26"/>
      <c r="U315" s="26"/>
      <c r="V315" s="26"/>
      <c r="W315" s="26">
        <v>5.3999999999999999E-2</v>
      </c>
      <c r="X315" s="26"/>
      <c r="Y315" s="26"/>
      <c r="Z315" s="26"/>
      <c r="AA315" s="26"/>
      <c r="AB315" s="26"/>
      <c r="AC315" s="26"/>
      <c r="AD315" s="26"/>
      <c r="AE315" s="25"/>
      <c r="AF315" s="25"/>
      <c r="AG315" s="25"/>
      <c r="AH315" s="25"/>
      <c r="AI315" s="25"/>
      <c r="AJ315" s="25"/>
      <c r="AK315" s="25"/>
      <c r="AL315" s="25"/>
    </row>
    <row r="316" spans="1:38">
      <c r="A316" s="503">
        <v>88309</v>
      </c>
      <c r="B316" s="628" t="s">
        <v>390</v>
      </c>
      <c r="C316" s="504" t="s">
        <v>12</v>
      </c>
      <c r="D316" s="504" t="s">
        <v>19</v>
      </c>
      <c r="E316" s="505">
        <v>2</v>
      </c>
      <c r="F316" s="1012"/>
      <c r="G316" s="1015"/>
      <c r="H316" s="26">
        <f t="shared" si="106"/>
        <v>15.121499999999999</v>
      </c>
      <c r="I316" s="26">
        <f t="shared" si="105"/>
        <v>11.8</v>
      </c>
      <c r="J316" s="375">
        <v>11.798000000000002</v>
      </c>
      <c r="K316" s="28" t="e">
        <f>IF(A317&lt;&gt;0,VLOOKUP(A317,#REF!,2,FALSE),"")</f>
        <v>#REF!</v>
      </c>
      <c r="M316" s="26"/>
      <c r="N316" s="158"/>
      <c r="O316" s="26"/>
      <c r="P316" s="595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5"/>
      <c r="AF316" s="25"/>
      <c r="AG316" s="25"/>
      <c r="AH316" s="25"/>
      <c r="AI316" s="25"/>
      <c r="AJ316" s="25"/>
      <c r="AK316" s="25"/>
      <c r="AL316" s="25"/>
    </row>
    <row r="317" spans="1:38">
      <c r="A317" s="503">
        <v>88316</v>
      </c>
      <c r="B317" s="628" t="s">
        <v>377</v>
      </c>
      <c r="C317" s="504" t="s">
        <v>12</v>
      </c>
      <c r="D317" s="504" t="s">
        <v>19</v>
      </c>
      <c r="E317" s="505">
        <v>1</v>
      </c>
      <c r="F317" s="1012"/>
      <c r="G317" s="1015"/>
      <c r="H317" s="26">
        <f t="shared" si="106"/>
        <v>11.798000000000002</v>
      </c>
      <c r="I317" s="26">
        <f t="shared" si="105"/>
        <v>12.7</v>
      </c>
      <c r="J317" s="375">
        <v>12.699</v>
      </c>
      <c r="K317" s="28" t="e">
        <f>IF(A318&lt;&gt;0,VLOOKUP(A318,#REF!,2,FALSE),"")</f>
        <v>#REF!</v>
      </c>
      <c r="M317" s="26"/>
      <c r="N317" s="158"/>
      <c r="O317" s="26"/>
      <c r="P317" s="595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5"/>
      <c r="AF317" s="25"/>
      <c r="AG317" s="25"/>
      <c r="AH317" s="25"/>
      <c r="AI317" s="25"/>
      <c r="AJ317" s="25"/>
      <c r="AK317" s="25"/>
      <c r="AL317" s="25"/>
    </row>
    <row r="318" spans="1:38" ht="30">
      <c r="A318" s="503">
        <v>88325</v>
      </c>
      <c r="B318" s="628" t="s">
        <v>450</v>
      </c>
      <c r="C318" s="504" t="s">
        <v>12</v>
      </c>
      <c r="D318" s="504" t="s">
        <v>19</v>
      </c>
      <c r="E318" s="505">
        <v>1</v>
      </c>
      <c r="F318" s="1012"/>
      <c r="G318" s="1015"/>
      <c r="H318" s="26">
        <f t="shared" si="106"/>
        <v>12.699</v>
      </c>
      <c r="I318" s="26">
        <f t="shared" si="105"/>
        <v>12.97</v>
      </c>
      <c r="J318" s="375">
        <v>8.6445000000000007</v>
      </c>
      <c r="K318" s="28" t="e">
        <f>IF(A319&lt;&gt;0,VLOOKUP(A319,#REF!,2,FALSE),"")</f>
        <v>#REF!</v>
      </c>
      <c r="M318" s="26"/>
      <c r="N318" s="158"/>
      <c r="O318" s="26"/>
      <c r="P318" s="595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5"/>
      <c r="AF318" s="25"/>
      <c r="AG318" s="25"/>
      <c r="AH318" s="25"/>
      <c r="AI318" s="25"/>
      <c r="AJ318" s="25"/>
      <c r="AK318" s="25"/>
      <c r="AL318" s="25"/>
    </row>
    <row r="319" spans="1:38" ht="17.25" customHeight="1">
      <c r="A319" s="727">
        <v>10498</v>
      </c>
      <c r="B319" s="728" t="s">
        <v>3921</v>
      </c>
      <c r="C319" s="729" t="s">
        <v>12</v>
      </c>
      <c r="D319" s="729" t="s">
        <v>45</v>
      </c>
      <c r="E319" s="731">
        <v>1.5</v>
      </c>
      <c r="F319" s="1013"/>
      <c r="G319" s="1016"/>
      <c r="H319" s="26">
        <f t="shared" si="106"/>
        <v>8.6445000000000007</v>
      </c>
      <c r="I319" s="79">
        <f>ROUND(SUM(I312:I318),2)</f>
        <v>345.79</v>
      </c>
      <c r="M319" s="375"/>
      <c r="N319" s="79"/>
      <c r="O319" s="535"/>
      <c r="P319" s="594"/>
      <c r="Q319" s="543"/>
      <c r="R319" s="543"/>
      <c r="S319" s="543"/>
      <c r="T319" s="569"/>
      <c r="U319" s="569"/>
      <c r="V319" s="653"/>
      <c r="W319" s="713"/>
      <c r="X319" s="704"/>
      <c r="Y319" s="713"/>
      <c r="Z319" s="713"/>
      <c r="AA319" s="704"/>
      <c r="AB319" s="704"/>
      <c r="AC319" s="653"/>
      <c r="AD319" s="674"/>
      <c r="AE319" s="713"/>
      <c r="AF319" s="713"/>
      <c r="AG319" s="713"/>
      <c r="AH319" s="713"/>
      <c r="AI319" s="713"/>
      <c r="AJ319" s="713"/>
      <c r="AK319" s="713"/>
      <c r="AL319" s="713"/>
    </row>
    <row r="320" spans="1:38" ht="33" customHeight="1">
      <c r="A320" s="917" t="s">
        <v>1894</v>
      </c>
      <c r="B320" s="918"/>
      <c r="C320" s="918"/>
      <c r="D320" s="918"/>
      <c r="E320" s="918"/>
      <c r="F320" s="926"/>
      <c r="G320" s="79">
        <f>ROUND(SUM(G313:G319),2)</f>
        <v>1246.6300000000001</v>
      </c>
      <c r="H320" s="485"/>
      <c r="I320" s="80"/>
      <c r="M320" s="104"/>
      <c r="N320" s="104"/>
      <c r="O320" s="80"/>
      <c r="P320" s="426"/>
      <c r="Q320" s="80"/>
      <c r="R320" s="80"/>
      <c r="S320" s="80"/>
      <c r="T320" s="80"/>
      <c r="U320" s="80"/>
      <c r="V320" s="80"/>
      <c r="W320" s="104"/>
      <c r="X320" s="104"/>
      <c r="Y320" s="104"/>
      <c r="Z320" s="104"/>
      <c r="AA320" s="104"/>
      <c r="AB320" s="104"/>
      <c r="AC320" s="80"/>
      <c r="AD320" s="80"/>
      <c r="AE320" s="697"/>
      <c r="AF320" s="697"/>
      <c r="AG320" s="697"/>
      <c r="AH320" s="697"/>
      <c r="AI320" s="697"/>
      <c r="AJ320" s="697"/>
      <c r="AK320" s="697"/>
      <c r="AL320" s="697"/>
    </row>
    <row r="321" spans="1:38" ht="38.25" customHeight="1">
      <c r="A321" s="697"/>
      <c r="B321" s="80"/>
      <c r="C321" s="490"/>
      <c r="D321" s="491"/>
      <c r="E321" s="80"/>
      <c r="F321" s="104"/>
      <c r="G321" s="104"/>
      <c r="H321" s="80"/>
      <c r="I321" s="486"/>
      <c r="M321" s="537"/>
      <c r="N321" s="537"/>
      <c r="O321" s="75"/>
      <c r="P321" s="589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</row>
    <row r="322" spans="1:38">
      <c r="A322" s="920" t="s">
        <v>2638</v>
      </c>
      <c r="B322" s="921"/>
      <c r="C322" s="921"/>
      <c r="D322" s="921"/>
      <c r="E322" s="929"/>
      <c r="F322" s="484"/>
      <c r="G322" s="484"/>
      <c r="H322" s="75" t="s">
        <v>1915</v>
      </c>
      <c r="I322" s="77" t="s">
        <v>368</v>
      </c>
      <c r="M322" s="93"/>
      <c r="N322" s="93"/>
      <c r="O322" s="77"/>
      <c r="P322" s="590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</row>
    <row r="323" spans="1:38" ht="45" customHeight="1">
      <c r="A323" s="77" t="s">
        <v>1917</v>
      </c>
      <c r="B323" s="668"/>
      <c r="C323" s="77" t="s">
        <v>3</v>
      </c>
      <c r="D323" s="77" t="s">
        <v>4</v>
      </c>
      <c r="E323" s="77" t="s">
        <v>1826</v>
      </c>
      <c r="F323" s="93" t="s">
        <v>3781</v>
      </c>
      <c r="G323" s="93" t="s">
        <v>3783</v>
      </c>
      <c r="H323" s="77" t="s">
        <v>367</v>
      </c>
      <c r="I323" s="26">
        <f t="shared" ref="I323:I335" si="107">ROUND(H324*E324,2)</f>
        <v>191.58</v>
      </c>
      <c r="J323" s="375">
        <v>383.16300000000001</v>
      </c>
      <c r="K323" s="2" t="e">
        <f>IF(A324&lt;&gt;0,VLOOKUP(A324,#REF!,2,FALSE),"")</f>
        <v>#REF!</v>
      </c>
      <c r="M323" s="26"/>
      <c r="N323" s="26"/>
      <c r="O323" s="26"/>
      <c r="P323" s="595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5"/>
      <c r="AF323" s="25"/>
      <c r="AG323" s="25"/>
      <c r="AH323" s="25"/>
      <c r="AI323" s="25"/>
      <c r="AJ323" s="25"/>
      <c r="AK323" s="25"/>
      <c r="AL323" s="25"/>
    </row>
    <row r="324" spans="1:38" s="45" customFormat="1" ht="45">
      <c r="A324" s="24">
        <v>599</v>
      </c>
      <c r="B324" s="78" t="s">
        <v>439</v>
      </c>
      <c r="C324" s="25" t="s">
        <v>12</v>
      </c>
      <c r="D324" s="25" t="s">
        <v>26</v>
      </c>
      <c r="E324" s="26">
        <v>0.5</v>
      </c>
      <c r="F324" s="1011">
        <v>1712.97</v>
      </c>
      <c r="G324" s="1014">
        <f>F324</f>
        <v>1712.97</v>
      </c>
      <c r="H324" s="26">
        <f t="shared" ref="H324:H337" si="108">J323</f>
        <v>383.16300000000001</v>
      </c>
      <c r="I324" s="26">
        <f t="shared" si="107"/>
        <v>31.06</v>
      </c>
      <c r="J324" s="364">
        <v>31.058999999999997</v>
      </c>
      <c r="K324" s="45" t="e">
        <f>IF(A325&lt;&gt;0,VLOOKUP(A325,#REF!,2,FALSE),"")</f>
        <v>#REF!</v>
      </c>
      <c r="L324" s="364"/>
      <c r="M324" s="26"/>
      <c r="N324" s="158"/>
      <c r="O324" s="26"/>
      <c r="P324" s="595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5"/>
      <c r="AF324" s="25"/>
      <c r="AG324" s="25"/>
      <c r="AH324" s="25"/>
      <c r="AI324" s="25"/>
      <c r="AJ324" s="25"/>
      <c r="AK324" s="25"/>
      <c r="AL324" s="25"/>
    </row>
    <row r="325" spans="1:38">
      <c r="A325" s="24">
        <v>2583</v>
      </c>
      <c r="B325" s="78" t="s">
        <v>440</v>
      </c>
      <c r="C325" s="25" t="s">
        <v>44</v>
      </c>
      <c r="D325" s="25" t="s">
        <v>26</v>
      </c>
      <c r="E325" s="26">
        <v>1</v>
      </c>
      <c r="F325" s="1012"/>
      <c r="G325" s="1015"/>
      <c r="H325" s="26">
        <f t="shared" si="108"/>
        <v>31.058999999999997</v>
      </c>
      <c r="I325" s="26">
        <f>ROUND(H326*E326,2)</f>
        <v>4.54</v>
      </c>
      <c r="J325" s="375">
        <v>15.121499999999999</v>
      </c>
      <c r="K325" s="28" t="e">
        <f>IF(A326&lt;&gt;0,VLOOKUP(A326,#REF!,2,FALSE),"")</f>
        <v>#REF!</v>
      </c>
      <c r="M325" s="26"/>
      <c r="N325" s="158"/>
      <c r="O325" s="26"/>
      <c r="P325" s="595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5"/>
      <c r="AF325" s="25"/>
      <c r="AG325" s="25"/>
      <c r="AH325" s="25"/>
      <c r="AI325" s="25"/>
      <c r="AJ325" s="25"/>
      <c r="AK325" s="25"/>
      <c r="AL325" s="25">
        <v>50</v>
      </c>
    </row>
    <row r="326" spans="1:38">
      <c r="A326" s="503">
        <v>88309</v>
      </c>
      <c r="B326" s="628" t="s">
        <v>390</v>
      </c>
      <c r="C326" s="504" t="s">
        <v>12</v>
      </c>
      <c r="D326" s="504" t="s">
        <v>19</v>
      </c>
      <c r="E326" s="505">
        <v>0.3</v>
      </c>
      <c r="F326" s="1012"/>
      <c r="G326" s="1015"/>
      <c r="H326" s="26">
        <f t="shared" si="108"/>
        <v>15.121499999999999</v>
      </c>
      <c r="I326" s="26">
        <f>ROUND(H327*E327,2)</f>
        <v>12.04</v>
      </c>
      <c r="J326" s="375">
        <v>15.045</v>
      </c>
      <c r="K326" s="28" t="e">
        <f>IF(A327&lt;&gt;0,VLOOKUP(A327,#REF!,2,FALSE),"")</f>
        <v>#REF!</v>
      </c>
      <c r="M326" s="26"/>
      <c r="N326" s="158"/>
      <c r="O326" s="26"/>
      <c r="P326" s="595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5"/>
      <c r="AF326" s="25"/>
      <c r="AG326" s="25"/>
      <c r="AH326" s="25"/>
      <c r="AI326" s="25"/>
      <c r="AJ326" s="25"/>
      <c r="AK326" s="25"/>
      <c r="AL326" s="25"/>
    </row>
    <row r="327" spans="1:38" ht="30">
      <c r="A327" s="503">
        <v>88315</v>
      </c>
      <c r="B327" s="628" t="s">
        <v>420</v>
      </c>
      <c r="C327" s="504" t="s">
        <v>12</v>
      </c>
      <c r="D327" s="504" t="s">
        <v>19</v>
      </c>
      <c r="E327" s="505">
        <v>0.8</v>
      </c>
      <c r="F327" s="1012"/>
      <c r="G327" s="1015"/>
      <c r="H327" s="26">
        <f t="shared" si="108"/>
        <v>15.045</v>
      </c>
      <c r="I327" s="26">
        <f t="shared" si="107"/>
        <v>14.16</v>
      </c>
      <c r="J327" s="375">
        <v>11.798000000000002</v>
      </c>
      <c r="K327" s="28" t="e">
        <f>IF(A328&lt;&gt;0,VLOOKUP(A328,#REF!,2,FALSE),"")</f>
        <v>#REF!</v>
      </c>
      <c r="M327" s="26"/>
      <c r="N327" s="158"/>
      <c r="O327" s="26"/>
      <c r="P327" s="595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5"/>
      <c r="AF327" s="25"/>
      <c r="AG327" s="25"/>
      <c r="AH327" s="25"/>
      <c r="AI327" s="25"/>
      <c r="AJ327" s="25"/>
      <c r="AK327" s="25"/>
      <c r="AL327" s="25"/>
    </row>
    <row r="328" spans="1:38">
      <c r="A328" s="503">
        <v>88316</v>
      </c>
      <c r="B328" s="628" t="s">
        <v>377</v>
      </c>
      <c r="C328" s="504" t="s">
        <v>12</v>
      </c>
      <c r="D328" s="504" t="s">
        <v>19</v>
      </c>
      <c r="E328" s="505">
        <v>1.2</v>
      </c>
      <c r="F328" s="1012"/>
      <c r="G328" s="1015"/>
      <c r="H328" s="26">
        <f t="shared" si="108"/>
        <v>11.798000000000002</v>
      </c>
      <c r="I328" s="26">
        <f t="shared" si="107"/>
        <v>12.7</v>
      </c>
      <c r="J328" s="375">
        <v>12.699</v>
      </c>
      <c r="K328" s="28" t="e">
        <f>IF(A329&lt;&gt;0,VLOOKUP(A329,#REF!,2,FALSE),"")</f>
        <v>#REF!</v>
      </c>
      <c r="M328" s="26"/>
      <c r="N328" s="158"/>
      <c r="O328" s="26"/>
      <c r="P328" s="595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5"/>
      <c r="AF328" s="25"/>
      <c r="AG328" s="25"/>
      <c r="AH328" s="25"/>
      <c r="AI328" s="25"/>
      <c r="AJ328" s="25"/>
      <c r="AK328" s="25"/>
      <c r="AL328" s="25"/>
    </row>
    <row r="329" spans="1:38" ht="30">
      <c r="A329" s="503">
        <v>88325</v>
      </c>
      <c r="B329" s="628" t="s">
        <v>450</v>
      </c>
      <c r="C329" s="504" t="s">
        <v>12</v>
      </c>
      <c r="D329" s="504" t="s">
        <v>19</v>
      </c>
      <c r="E329" s="505">
        <v>1</v>
      </c>
      <c r="F329" s="1012"/>
      <c r="G329" s="1015"/>
      <c r="H329" s="26">
        <f t="shared" si="108"/>
        <v>12.699</v>
      </c>
      <c r="I329" s="26">
        <f t="shared" si="107"/>
        <v>2.4900000000000002</v>
      </c>
      <c r="J329" s="375">
        <v>414.29849999999999</v>
      </c>
      <c r="K329" s="28" t="e">
        <f>IF(A330&lt;&gt;0,VLOOKUP(A330,#REF!,2,FALSE),"")</f>
        <v>#REF!</v>
      </c>
      <c r="M329" s="26"/>
      <c r="N329" s="158"/>
      <c r="O329" s="26"/>
      <c r="P329" s="595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5"/>
      <c r="AF329" s="25"/>
      <c r="AG329" s="25"/>
      <c r="AH329" s="25"/>
      <c r="AI329" s="25"/>
      <c r="AJ329" s="25"/>
      <c r="AK329" s="25"/>
      <c r="AL329" s="25"/>
    </row>
    <row r="330" spans="1:38" s="34" customFormat="1" ht="45">
      <c r="A330" s="679" t="s">
        <v>4033</v>
      </c>
      <c r="B330" s="680" t="s">
        <v>1793</v>
      </c>
      <c r="C330" s="681" t="s">
        <v>12</v>
      </c>
      <c r="D330" s="681" t="s">
        <v>35</v>
      </c>
      <c r="E330" s="682">
        <v>6.0000000000000001E-3</v>
      </c>
      <c r="F330" s="1012"/>
      <c r="G330" s="1015"/>
      <c r="H330" s="682">
        <f t="shared" si="108"/>
        <v>414.29849999999999</v>
      </c>
      <c r="I330" s="682">
        <f>ROUND(H335*E335,2)</f>
        <v>300.29000000000002</v>
      </c>
      <c r="J330" s="378">
        <v>600.58450000000005</v>
      </c>
      <c r="K330" s="34" t="e">
        <f>IF(A335&lt;&gt;0,VLOOKUP(A335,#REF!,2,FALSE),"")</f>
        <v>#REF!</v>
      </c>
      <c r="L330" s="378"/>
      <c r="M330" s="682"/>
      <c r="N330" s="695"/>
      <c r="O330" s="682"/>
      <c r="P330" s="682"/>
      <c r="Q330" s="682"/>
      <c r="R330" s="682"/>
      <c r="S330" s="682"/>
      <c r="T330" s="682"/>
      <c r="U330" s="682"/>
      <c r="V330" s="682"/>
      <c r="W330" s="682"/>
      <c r="X330" s="682"/>
      <c r="Y330" s="682"/>
      <c r="Z330" s="682"/>
      <c r="AA330" s="682"/>
      <c r="AB330" s="682"/>
      <c r="AC330" s="682"/>
      <c r="AD330" s="682"/>
      <c r="AE330" s="681"/>
      <c r="AF330" s="681"/>
      <c r="AG330" s="681"/>
      <c r="AH330" s="681"/>
      <c r="AI330" s="681"/>
      <c r="AJ330" s="681"/>
      <c r="AK330" s="681"/>
      <c r="AL330" s="681"/>
    </row>
    <row r="331" spans="1:38" s="45" customFormat="1" ht="30">
      <c r="A331" s="25" t="s">
        <v>3813</v>
      </c>
      <c r="B331" s="25" t="s">
        <v>396</v>
      </c>
      <c r="C331" s="671" t="s">
        <v>12</v>
      </c>
      <c r="D331" s="25" t="s">
        <v>35</v>
      </c>
      <c r="E331" s="26" t="s">
        <v>4029</v>
      </c>
      <c r="F331" s="1012"/>
      <c r="G331" s="1015"/>
      <c r="H331" s="26"/>
      <c r="I331" s="26"/>
      <c r="J331" s="26"/>
      <c r="L331" s="364"/>
      <c r="M331" s="26"/>
      <c r="N331" s="158"/>
      <c r="O331" s="26"/>
      <c r="P331" s="595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5"/>
      <c r="AF331" s="25"/>
      <c r="AG331" s="25">
        <v>76</v>
      </c>
      <c r="AH331" s="25">
        <v>80</v>
      </c>
      <c r="AI331" s="25">
        <v>87.5</v>
      </c>
      <c r="AJ331" s="25"/>
      <c r="AK331" s="25"/>
      <c r="AL331" s="25"/>
    </row>
    <row r="332" spans="1:38" s="45" customFormat="1">
      <c r="A332" s="729" t="s">
        <v>4024</v>
      </c>
      <c r="B332" s="729" t="s">
        <v>535</v>
      </c>
      <c r="C332" s="738" t="s">
        <v>12</v>
      </c>
      <c r="D332" s="729" t="s">
        <v>45</v>
      </c>
      <c r="E332" s="731" t="s">
        <v>4030</v>
      </c>
      <c r="F332" s="1012"/>
      <c r="G332" s="1015"/>
      <c r="H332" s="26"/>
      <c r="I332" s="26"/>
      <c r="J332" s="26"/>
      <c r="L332" s="364"/>
      <c r="M332" s="26"/>
      <c r="N332" s="158"/>
      <c r="O332" s="26"/>
      <c r="P332" s="595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5"/>
      <c r="AF332" s="25"/>
      <c r="AG332" s="25"/>
      <c r="AH332" s="25"/>
      <c r="AI332" s="25"/>
      <c r="AJ332" s="25"/>
      <c r="AK332" s="25"/>
      <c r="AL332" s="25"/>
    </row>
    <row r="333" spans="1:38" s="45" customFormat="1">
      <c r="A333" s="25" t="s">
        <v>3814</v>
      </c>
      <c r="B333" s="25" t="s">
        <v>397</v>
      </c>
      <c r="C333" s="671" t="s">
        <v>12</v>
      </c>
      <c r="D333" s="25" t="s">
        <v>45</v>
      </c>
      <c r="E333" s="26" t="s">
        <v>4031</v>
      </c>
      <c r="F333" s="1012"/>
      <c r="G333" s="1015"/>
      <c r="H333" s="26"/>
      <c r="I333" s="26"/>
      <c r="J333" s="26"/>
      <c r="L333" s="364"/>
      <c r="M333" s="93">
        <v>0.98</v>
      </c>
      <c r="N333" s="158">
        <v>0.94</v>
      </c>
      <c r="O333" s="77"/>
      <c r="P333" s="590">
        <v>0.97899999999999998</v>
      </c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5"/>
      <c r="AF333" s="25"/>
      <c r="AG333" s="25"/>
      <c r="AH333" s="25"/>
      <c r="AI333" s="25"/>
      <c r="AJ333" s="25"/>
      <c r="AK333" s="25"/>
      <c r="AL333" s="25"/>
    </row>
    <row r="334" spans="1:38" s="27" customFormat="1">
      <c r="A334" s="504" t="s">
        <v>3816</v>
      </c>
      <c r="B334" s="505" t="s">
        <v>377</v>
      </c>
      <c r="C334" s="505" t="s">
        <v>12</v>
      </c>
      <c r="D334" s="505" t="s">
        <v>19</v>
      </c>
      <c r="E334" s="505" t="s">
        <v>4032</v>
      </c>
      <c r="F334" s="1012"/>
      <c r="G334" s="1015"/>
      <c r="H334" s="26"/>
      <c r="I334" s="26"/>
      <c r="J334" s="26"/>
      <c r="L334" s="365"/>
      <c r="M334" s="26"/>
      <c r="N334" s="158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5"/>
      <c r="AF334" s="25"/>
      <c r="AG334" s="25"/>
      <c r="AH334" s="25"/>
      <c r="AI334" s="25"/>
      <c r="AJ334" s="25"/>
      <c r="AK334" s="25"/>
      <c r="AL334" s="25"/>
    </row>
    <row r="335" spans="1:38" s="27" customFormat="1" ht="60">
      <c r="A335" s="669">
        <v>94569</v>
      </c>
      <c r="B335" s="670" t="s">
        <v>1794</v>
      </c>
      <c r="C335" s="671" t="s">
        <v>12</v>
      </c>
      <c r="D335" s="671" t="s">
        <v>26</v>
      </c>
      <c r="E335" s="672">
        <v>0.5</v>
      </c>
      <c r="F335" s="1012"/>
      <c r="G335" s="1015"/>
      <c r="H335" s="672">
        <f>J330</f>
        <v>600.58450000000005</v>
      </c>
      <c r="I335" s="672">
        <f t="shared" si="107"/>
        <v>12.97</v>
      </c>
      <c r="J335" s="365">
        <v>8.6445000000000007</v>
      </c>
      <c r="K335" s="27" t="e">
        <f>IF(A336&lt;&gt;0,VLOOKUP(A336,#REF!,2,FALSE),"")</f>
        <v>#REF!</v>
      </c>
      <c r="L335" s="365"/>
      <c r="M335" s="672"/>
      <c r="N335" s="694"/>
      <c r="O335" s="672"/>
      <c r="P335" s="672"/>
      <c r="Q335" s="672"/>
      <c r="R335" s="672"/>
      <c r="S335" s="672"/>
      <c r="T335" s="672"/>
      <c r="U335" s="672"/>
      <c r="V335" s="672"/>
      <c r="W335" s="672"/>
      <c r="X335" s="672"/>
      <c r="Y335" s="672"/>
      <c r="Z335" s="672"/>
      <c r="AA335" s="672"/>
      <c r="AB335" s="672"/>
      <c r="AC335" s="672"/>
      <c r="AD335" s="672"/>
      <c r="AE335" s="671"/>
      <c r="AF335" s="671"/>
      <c r="AG335" s="671"/>
      <c r="AH335" s="671"/>
      <c r="AI335" s="671"/>
      <c r="AJ335" s="671"/>
      <c r="AK335" s="671"/>
      <c r="AL335" s="671"/>
    </row>
    <row r="336" spans="1:38">
      <c r="A336" s="727">
        <v>10498</v>
      </c>
      <c r="B336" s="728" t="s">
        <v>3921</v>
      </c>
      <c r="C336" s="729" t="s">
        <v>12</v>
      </c>
      <c r="D336" s="729" t="s">
        <v>45</v>
      </c>
      <c r="E336" s="731">
        <v>1.5</v>
      </c>
      <c r="F336" s="1012"/>
      <c r="G336" s="1015"/>
      <c r="H336" s="26">
        <f t="shared" si="108"/>
        <v>8.6445000000000007</v>
      </c>
      <c r="I336" s="26">
        <f>ROUND(H337*E337,2)</f>
        <v>127.12</v>
      </c>
      <c r="J336" s="375">
        <v>254.24350000000001</v>
      </c>
      <c r="K336" s="28" t="e">
        <f>IF(A337&lt;&gt;0,VLOOKUP(A337,#REF!,2,FALSE),"")</f>
        <v>#REF!</v>
      </c>
      <c r="M336" s="26"/>
      <c r="N336" s="158"/>
      <c r="O336" s="26"/>
      <c r="P336" s="595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5"/>
      <c r="AF336" s="25"/>
      <c r="AG336" s="25"/>
      <c r="AH336" s="25"/>
      <c r="AI336" s="25"/>
      <c r="AJ336" s="25"/>
      <c r="AK336" s="25"/>
      <c r="AL336" s="25"/>
    </row>
    <row r="337" spans="1:38" ht="15" customHeight="1">
      <c r="A337" s="24">
        <v>10506</v>
      </c>
      <c r="B337" s="78" t="s">
        <v>3922</v>
      </c>
      <c r="C337" s="25" t="s">
        <v>12</v>
      </c>
      <c r="D337" s="25" t="s">
        <v>26</v>
      </c>
      <c r="E337" s="26">
        <v>0.5</v>
      </c>
      <c r="F337" s="1013"/>
      <c r="G337" s="1016"/>
      <c r="H337" s="26">
        <f t="shared" si="108"/>
        <v>254.24350000000001</v>
      </c>
      <c r="I337" s="79">
        <f>ROUND(SUM(I323:I336),2)</f>
        <v>708.95</v>
      </c>
      <c r="M337" s="375"/>
      <c r="N337" s="79"/>
      <c r="O337" s="535"/>
      <c r="P337" s="594"/>
      <c r="Q337" s="543"/>
      <c r="R337" s="543"/>
      <c r="S337" s="543"/>
      <c r="T337" s="569"/>
      <c r="U337" s="569"/>
      <c r="V337" s="653"/>
      <c r="W337" s="713"/>
      <c r="X337" s="704"/>
      <c r="Y337" s="713"/>
      <c r="Z337" s="713"/>
      <c r="AA337" s="704"/>
      <c r="AB337" s="704"/>
      <c r="AC337" s="653"/>
      <c r="AD337" s="674">
        <v>480</v>
      </c>
      <c r="AE337" s="713"/>
      <c r="AF337" s="713"/>
      <c r="AG337" s="713"/>
      <c r="AH337" s="713"/>
      <c r="AI337" s="713"/>
      <c r="AJ337" s="713"/>
      <c r="AK337" s="713"/>
      <c r="AL337" s="713"/>
    </row>
    <row r="338" spans="1:38" ht="23.25" customHeight="1">
      <c r="A338" s="917" t="s">
        <v>1894</v>
      </c>
      <c r="B338" s="918"/>
      <c r="C338" s="918"/>
      <c r="D338" s="918"/>
      <c r="E338" s="918"/>
      <c r="F338" s="926"/>
      <c r="G338" s="79">
        <f>ROUND(SUM(G324:G337),2)</f>
        <v>1712.97</v>
      </c>
      <c r="H338" s="485"/>
      <c r="I338" s="80"/>
      <c r="M338" s="104"/>
      <c r="N338" s="104"/>
      <c r="O338" s="80"/>
      <c r="P338" s="426"/>
      <c r="Q338" s="80"/>
      <c r="R338" s="80"/>
      <c r="S338" s="80"/>
      <c r="T338" s="80"/>
      <c r="U338" s="80"/>
      <c r="V338" s="80"/>
      <c r="W338" s="104"/>
      <c r="X338" s="104"/>
      <c r="Y338" s="104"/>
      <c r="Z338" s="104"/>
      <c r="AA338" s="104"/>
      <c r="AB338" s="104"/>
      <c r="AC338" s="80"/>
      <c r="AD338" s="80"/>
      <c r="AE338" s="697"/>
      <c r="AF338" s="697"/>
      <c r="AG338" s="697"/>
      <c r="AH338" s="697"/>
      <c r="AI338" s="697"/>
      <c r="AJ338" s="697"/>
      <c r="AK338" s="697"/>
      <c r="AL338" s="697"/>
    </row>
    <row r="339" spans="1:38" ht="38.25" customHeight="1">
      <c r="A339" s="697"/>
      <c r="B339" s="80"/>
      <c r="C339" s="490"/>
      <c r="D339" s="491"/>
      <c r="E339" s="80"/>
      <c r="F339" s="104"/>
      <c r="G339" s="104"/>
      <c r="H339" s="80"/>
      <c r="I339" s="486"/>
      <c r="M339" s="537"/>
      <c r="N339" s="537"/>
      <c r="O339" s="75"/>
      <c r="P339" s="589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</row>
    <row r="340" spans="1:38">
      <c r="A340" s="920" t="s">
        <v>2066</v>
      </c>
      <c r="B340" s="921"/>
      <c r="C340" s="921"/>
      <c r="D340" s="921"/>
      <c r="E340" s="929"/>
      <c r="F340" s="484"/>
      <c r="G340" s="484"/>
      <c r="H340" s="75" t="s">
        <v>1915</v>
      </c>
      <c r="I340" s="77" t="s">
        <v>368</v>
      </c>
      <c r="M340" s="93"/>
      <c r="N340" s="93"/>
      <c r="O340" s="77"/>
      <c r="P340" s="590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</row>
    <row r="341" spans="1:38" ht="45" customHeight="1">
      <c r="A341" s="77" t="s">
        <v>1917</v>
      </c>
      <c r="B341" s="668"/>
      <c r="C341" s="77" t="s">
        <v>3</v>
      </c>
      <c r="D341" s="77" t="s">
        <v>4</v>
      </c>
      <c r="E341" s="77" t="s">
        <v>1826</v>
      </c>
      <c r="F341" s="93" t="s">
        <v>3781</v>
      </c>
      <c r="G341" s="93" t="s">
        <v>3783</v>
      </c>
      <c r="H341" s="77" t="s">
        <v>367</v>
      </c>
      <c r="I341" s="26">
        <f t="shared" ref="I341:I352" si="109">ROUND(H342*E342,2)</f>
        <v>383.16</v>
      </c>
      <c r="J341" s="375">
        <v>383.16300000000001</v>
      </c>
      <c r="K341" s="2" t="e">
        <f>IF(A342&lt;&gt;0,VLOOKUP(A342,#REF!,2,FALSE),"")</f>
        <v>#REF!</v>
      </c>
      <c r="M341" s="26"/>
      <c r="N341" s="26"/>
      <c r="O341" s="26"/>
      <c r="P341" s="595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5"/>
      <c r="AF341" s="25"/>
      <c r="AG341" s="25"/>
      <c r="AH341" s="25"/>
      <c r="AI341" s="25"/>
      <c r="AJ341" s="25"/>
      <c r="AK341" s="25"/>
      <c r="AL341" s="25"/>
    </row>
    <row r="342" spans="1:38" ht="45">
      <c r="A342" s="24">
        <v>599</v>
      </c>
      <c r="B342" s="78" t="s">
        <v>439</v>
      </c>
      <c r="C342" s="25" t="s">
        <v>12</v>
      </c>
      <c r="D342" s="25" t="s">
        <v>26</v>
      </c>
      <c r="E342" s="26">
        <v>1</v>
      </c>
      <c r="F342" s="1011">
        <v>1325.365</v>
      </c>
      <c r="G342" s="1014">
        <f t="shared" ref="G342" si="110">ROUND(F342*E342,2)</f>
        <v>1325.37</v>
      </c>
      <c r="H342" s="26">
        <f t="shared" ref="H342:H353" si="111">J341</f>
        <v>383.16300000000001</v>
      </c>
      <c r="I342" s="26">
        <f t="shared" si="109"/>
        <v>4.54</v>
      </c>
      <c r="J342" s="375">
        <v>15.121499999999999</v>
      </c>
      <c r="K342" s="28" t="e">
        <f>IF(A343&lt;&gt;0,VLOOKUP(A343,#REF!,2,FALSE),"")</f>
        <v>#REF!</v>
      </c>
      <c r="M342" s="26"/>
      <c r="N342" s="158"/>
      <c r="O342" s="26"/>
      <c r="P342" s="595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5"/>
      <c r="AF342" s="25"/>
      <c r="AG342" s="25"/>
      <c r="AH342" s="25"/>
      <c r="AI342" s="25"/>
      <c r="AJ342" s="25"/>
      <c r="AK342" s="25"/>
      <c r="AL342" s="25"/>
    </row>
    <row r="343" spans="1:38">
      <c r="A343" s="503">
        <v>88309</v>
      </c>
      <c r="B343" s="628" t="s">
        <v>390</v>
      </c>
      <c r="C343" s="504" t="s">
        <v>12</v>
      </c>
      <c r="D343" s="504" t="s">
        <v>19</v>
      </c>
      <c r="E343" s="505">
        <v>0.3</v>
      </c>
      <c r="F343" s="1012"/>
      <c r="G343" s="1015"/>
      <c r="H343" s="26">
        <f t="shared" si="111"/>
        <v>15.121499999999999</v>
      </c>
      <c r="I343" s="26">
        <f t="shared" si="109"/>
        <v>12.04</v>
      </c>
      <c r="J343" s="375">
        <v>15.045</v>
      </c>
      <c r="K343" s="28" t="e">
        <f>IF(A344&lt;&gt;0,VLOOKUP(A344,#REF!,2,FALSE),"")</f>
        <v>#REF!</v>
      </c>
      <c r="M343" s="26"/>
      <c r="N343" s="158"/>
      <c r="O343" s="26"/>
      <c r="P343" s="595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5"/>
      <c r="AF343" s="25"/>
      <c r="AG343" s="25"/>
      <c r="AH343" s="25"/>
      <c r="AI343" s="25"/>
      <c r="AJ343" s="25"/>
      <c r="AK343" s="25"/>
      <c r="AL343" s="25"/>
    </row>
    <row r="344" spans="1:38" ht="30">
      <c r="A344" s="503">
        <v>88315</v>
      </c>
      <c r="B344" s="628" t="s">
        <v>420</v>
      </c>
      <c r="C344" s="504" t="s">
        <v>12</v>
      </c>
      <c r="D344" s="504" t="s">
        <v>19</v>
      </c>
      <c r="E344" s="505">
        <v>0.8</v>
      </c>
      <c r="F344" s="1012"/>
      <c r="G344" s="1015"/>
      <c r="H344" s="26">
        <f t="shared" si="111"/>
        <v>15.045</v>
      </c>
      <c r="I344" s="26">
        <f t="shared" si="109"/>
        <v>14.16</v>
      </c>
      <c r="J344" s="375">
        <v>11.798000000000002</v>
      </c>
      <c r="K344" s="28" t="e">
        <f>IF(A345&lt;&gt;0,VLOOKUP(A345,#REF!,2,FALSE),"")</f>
        <v>#REF!</v>
      </c>
      <c r="M344" s="26"/>
      <c r="N344" s="158"/>
      <c r="O344" s="26"/>
      <c r="P344" s="595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5"/>
      <c r="AF344" s="25"/>
      <c r="AG344" s="25"/>
      <c r="AH344" s="25"/>
      <c r="AI344" s="25"/>
      <c r="AJ344" s="25"/>
      <c r="AK344" s="25"/>
      <c r="AL344" s="25"/>
    </row>
    <row r="345" spans="1:38">
      <c r="A345" s="503">
        <v>88316</v>
      </c>
      <c r="B345" s="628" t="s">
        <v>377</v>
      </c>
      <c r="C345" s="504" t="s">
        <v>12</v>
      </c>
      <c r="D345" s="504" t="s">
        <v>19</v>
      </c>
      <c r="E345" s="505">
        <v>1.2</v>
      </c>
      <c r="F345" s="1012"/>
      <c r="G345" s="1015"/>
      <c r="H345" s="26">
        <f t="shared" si="111"/>
        <v>11.798000000000002</v>
      </c>
      <c r="I345" s="26">
        <f t="shared" si="109"/>
        <v>12.7</v>
      </c>
      <c r="J345" s="375">
        <v>12.699</v>
      </c>
      <c r="K345" s="28" t="e">
        <f>IF(A346&lt;&gt;0,VLOOKUP(A346,#REF!,2,FALSE),"")</f>
        <v>#REF!</v>
      </c>
      <c r="M345" s="26"/>
      <c r="N345" s="158"/>
      <c r="O345" s="26"/>
      <c r="P345" s="595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5"/>
      <c r="AF345" s="25"/>
      <c r="AG345" s="25"/>
      <c r="AH345" s="25"/>
      <c r="AI345" s="25"/>
      <c r="AJ345" s="25"/>
      <c r="AK345" s="25"/>
      <c r="AL345" s="25"/>
    </row>
    <row r="346" spans="1:38" ht="30">
      <c r="A346" s="503">
        <v>88325</v>
      </c>
      <c r="B346" s="628" t="s">
        <v>450</v>
      </c>
      <c r="C346" s="504" t="s">
        <v>12</v>
      </c>
      <c r="D346" s="504" t="s">
        <v>19</v>
      </c>
      <c r="E346" s="505">
        <v>1</v>
      </c>
      <c r="F346" s="1012"/>
      <c r="G346" s="1015"/>
      <c r="H346" s="26">
        <f t="shared" si="111"/>
        <v>12.699</v>
      </c>
      <c r="I346" s="26">
        <f t="shared" si="109"/>
        <v>2.4900000000000002</v>
      </c>
      <c r="J346" s="375">
        <v>414.29849999999999</v>
      </c>
      <c r="K346" s="28" t="e">
        <f>IF(A347&lt;&gt;0,VLOOKUP(A347,#REF!,2,FALSE),"")</f>
        <v>#REF!</v>
      </c>
      <c r="M346" s="26"/>
      <c r="N346" s="158"/>
      <c r="O346" s="26"/>
      <c r="P346" s="595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5"/>
      <c r="AF346" s="25"/>
      <c r="AG346" s="25"/>
      <c r="AH346" s="25"/>
      <c r="AI346" s="25"/>
      <c r="AJ346" s="25"/>
      <c r="AK346" s="25"/>
      <c r="AL346" s="25"/>
    </row>
    <row r="347" spans="1:38" s="34" customFormat="1" ht="45">
      <c r="A347" s="475" t="s">
        <v>4033</v>
      </c>
      <c r="B347" s="661" t="s">
        <v>1793</v>
      </c>
      <c r="C347" s="472" t="s">
        <v>12</v>
      </c>
      <c r="D347" s="472" t="s">
        <v>35</v>
      </c>
      <c r="E347" s="473">
        <v>6.0000000000000001E-3</v>
      </c>
      <c r="F347" s="1012"/>
      <c r="G347" s="1015"/>
      <c r="H347" s="473">
        <f t="shared" si="111"/>
        <v>414.29849999999999</v>
      </c>
      <c r="I347" s="473">
        <f>ROUND(H352*E352,2)</f>
        <v>20.59</v>
      </c>
      <c r="J347" s="378">
        <v>20.587</v>
      </c>
      <c r="K347" s="34" t="e">
        <f>IF(A352&lt;&gt;0,VLOOKUP(A352,#REF!,2,FALSE),"")</f>
        <v>#REF!</v>
      </c>
      <c r="L347" s="378"/>
      <c r="M347" s="473"/>
      <c r="N347" s="562"/>
      <c r="O347" s="473"/>
      <c r="P347" s="473"/>
      <c r="Q347" s="473"/>
      <c r="R347" s="473"/>
      <c r="S347" s="473"/>
      <c r="T347" s="473"/>
      <c r="U347" s="473"/>
      <c r="V347" s="473"/>
      <c r="W347" s="473"/>
      <c r="X347" s="473"/>
      <c r="Y347" s="473"/>
      <c r="Z347" s="473"/>
      <c r="AA347" s="473"/>
      <c r="AB347" s="473"/>
      <c r="AC347" s="473"/>
      <c r="AD347" s="473"/>
      <c r="AE347" s="472"/>
      <c r="AF347" s="472"/>
      <c r="AG347" s="472"/>
      <c r="AH347" s="472"/>
      <c r="AI347" s="472"/>
      <c r="AJ347" s="472"/>
      <c r="AK347" s="472"/>
      <c r="AL347" s="472"/>
    </row>
    <row r="348" spans="1:38" s="28" customFormat="1" ht="30">
      <c r="A348" s="25" t="s">
        <v>3813</v>
      </c>
      <c r="B348" s="25" t="s">
        <v>396</v>
      </c>
      <c r="C348" s="25" t="s">
        <v>12</v>
      </c>
      <c r="D348" s="25" t="s">
        <v>35</v>
      </c>
      <c r="E348" s="26" t="s">
        <v>4029</v>
      </c>
      <c r="F348" s="1012"/>
      <c r="G348" s="1015"/>
      <c r="H348" s="26"/>
      <c r="I348" s="26"/>
      <c r="J348" s="374"/>
      <c r="L348" s="374"/>
      <c r="M348" s="26"/>
      <c r="N348" s="158"/>
      <c r="O348" s="26"/>
      <c r="P348" s="595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5"/>
      <c r="AF348" s="25"/>
      <c r="AG348" s="25">
        <v>76</v>
      </c>
      <c r="AH348" s="25">
        <v>80</v>
      </c>
      <c r="AI348" s="25">
        <v>87.5</v>
      </c>
      <c r="AJ348" s="25"/>
      <c r="AK348" s="25"/>
      <c r="AL348" s="25"/>
    </row>
    <row r="349" spans="1:38" s="28" customFormat="1">
      <c r="A349" s="729" t="s">
        <v>4024</v>
      </c>
      <c r="B349" s="729" t="s">
        <v>535</v>
      </c>
      <c r="C349" s="729" t="s">
        <v>12</v>
      </c>
      <c r="D349" s="729" t="s">
        <v>45</v>
      </c>
      <c r="E349" s="731" t="s">
        <v>4030</v>
      </c>
      <c r="F349" s="1012"/>
      <c r="G349" s="1015"/>
      <c r="H349" s="26"/>
      <c r="I349" s="26"/>
      <c r="J349" s="374"/>
      <c r="L349" s="374"/>
      <c r="M349" s="26"/>
      <c r="N349" s="158"/>
      <c r="O349" s="26"/>
      <c r="P349" s="595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5"/>
      <c r="AF349" s="25"/>
      <c r="AG349" s="25"/>
      <c r="AH349" s="25"/>
      <c r="AI349" s="25"/>
      <c r="AJ349" s="25"/>
      <c r="AK349" s="25"/>
      <c r="AL349" s="25"/>
    </row>
    <row r="350" spans="1:38" s="28" customFormat="1">
      <c r="A350" s="25" t="s">
        <v>3814</v>
      </c>
      <c r="B350" s="25" t="s">
        <v>397</v>
      </c>
      <c r="C350" s="25" t="s">
        <v>12</v>
      </c>
      <c r="D350" s="25" t="s">
        <v>45</v>
      </c>
      <c r="E350" s="26" t="s">
        <v>4031</v>
      </c>
      <c r="F350" s="1012"/>
      <c r="G350" s="1015"/>
      <c r="H350" s="26"/>
      <c r="I350" s="26"/>
      <c r="J350" s="374"/>
      <c r="L350" s="374"/>
      <c r="M350" s="93">
        <v>0.98</v>
      </c>
      <c r="N350" s="158">
        <v>0.94</v>
      </c>
      <c r="O350" s="77"/>
      <c r="P350" s="590">
        <v>0.97899999999999998</v>
      </c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5"/>
      <c r="AF350" s="25"/>
      <c r="AG350" s="25"/>
      <c r="AH350" s="25"/>
      <c r="AI350" s="25"/>
      <c r="AJ350" s="25"/>
      <c r="AK350" s="25"/>
      <c r="AL350" s="25"/>
    </row>
    <row r="351" spans="1:38" s="27" customFormat="1">
      <c r="A351" s="504" t="s">
        <v>3816</v>
      </c>
      <c r="B351" s="504" t="s">
        <v>377</v>
      </c>
      <c r="C351" s="504" t="s">
        <v>12</v>
      </c>
      <c r="D351" s="504" t="s">
        <v>19</v>
      </c>
      <c r="E351" s="505" t="s">
        <v>4032</v>
      </c>
      <c r="F351" s="1012"/>
      <c r="G351" s="1015"/>
      <c r="H351" s="26"/>
      <c r="I351" s="26"/>
      <c r="J351" s="365"/>
      <c r="L351" s="365"/>
      <c r="M351" s="26"/>
      <c r="N351" s="158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5"/>
      <c r="AF351" s="25"/>
      <c r="AG351" s="25"/>
      <c r="AH351" s="25"/>
      <c r="AI351" s="25"/>
      <c r="AJ351" s="25"/>
      <c r="AK351" s="25"/>
      <c r="AL351" s="25"/>
    </row>
    <row r="352" spans="1:38">
      <c r="A352" s="727">
        <v>100716</v>
      </c>
      <c r="B352" s="728" t="s">
        <v>441</v>
      </c>
      <c r="C352" s="729" t="s">
        <v>12</v>
      </c>
      <c r="D352" s="729" t="s">
        <v>26</v>
      </c>
      <c r="E352" s="731">
        <v>1</v>
      </c>
      <c r="F352" s="1012"/>
      <c r="G352" s="1015"/>
      <c r="H352" s="26">
        <f>J347</f>
        <v>20.587</v>
      </c>
      <c r="I352" s="26">
        <f t="shared" si="109"/>
        <v>12.97</v>
      </c>
      <c r="J352" s="375">
        <v>8.6445000000000007</v>
      </c>
      <c r="K352" s="28" t="e">
        <f>IF(A353&lt;&gt;0,VLOOKUP(A353,#REF!,2,FALSE),"")</f>
        <v>#REF!</v>
      </c>
      <c r="M352" s="26"/>
      <c r="N352" s="158"/>
      <c r="O352" s="26"/>
      <c r="P352" s="595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5"/>
      <c r="AF352" s="25"/>
      <c r="AG352" s="25"/>
      <c r="AH352" s="25"/>
      <c r="AI352" s="25"/>
      <c r="AJ352" s="25"/>
      <c r="AK352" s="25"/>
      <c r="AL352" s="25"/>
    </row>
    <row r="353" spans="1:38" ht="15" customHeight="1">
      <c r="A353" s="727">
        <v>10498</v>
      </c>
      <c r="B353" s="728" t="s">
        <v>3921</v>
      </c>
      <c r="C353" s="729" t="s">
        <v>12</v>
      </c>
      <c r="D353" s="729" t="s">
        <v>45</v>
      </c>
      <c r="E353" s="731">
        <v>1.5</v>
      </c>
      <c r="F353" s="1013"/>
      <c r="G353" s="1016"/>
      <c r="H353" s="26">
        <f t="shared" si="111"/>
        <v>8.6445000000000007</v>
      </c>
      <c r="I353" s="79">
        <f>ROUND(SUM(I341:I352),2)</f>
        <v>462.65</v>
      </c>
      <c r="M353" s="375"/>
      <c r="N353" s="79"/>
      <c r="O353" s="535"/>
      <c r="P353" s="594"/>
      <c r="Q353" s="543"/>
      <c r="R353" s="543"/>
      <c r="S353" s="543"/>
      <c r="T353" s="569"/>
      <c r="U353" s="569"/>
      <c r="V353" s="653"/>
      <c r="W353" s="713"/>
      <c r="X353" s="704"/>
      <c r="Y353" s="713"/>
      <c r="Z353" s="713"/>
      <c r="AA353" s="704"/>
      <c r="AB353" s="704"/>
      <c r="AC353" s="653"/>
      <c r="AD353" s="674"/>
      <c r="AE353" s="713"/>
      <c r="AF353" s="713"/>
      <c r="AG353" s="713"/>
      <c r="AH353" s="713"/>
      <c r="AI353" s="713"/>
      <c r="AJ353" s="713"/>
      <c r="AK353" s="713"/>
      <c r="AL353" s="713"/>
    </row>
    <row r="354" spans="1:38" ht="24" customHeight="1">
      <c r="A354" s="917" t="s">
        <v>1894</v>
      </c>
      <c r="B354" s="918"/>
      <c r="C354" s="918"/>
      <c r="D354" s="918"/>
      <c r="E354" s="918"/>
      <c r="F354" s="926"/>
      <c r="G354" s="79">
        <f>ROUND(SUM(G342:G353),2)</f>
        <v>1325.37</v>
      </c>
      <c r="H354" s="485"/>
      <c r="I354" s="54"/>
      <c r="M354" s="53"/>
      <c r="N354" s="54"/>
      <c r="O354" s="53"/>
      <c r="P354" s="592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</row>
    <row r="355" spans="1:38" ht="51" customHeight="1">
      <c r="A355" s="53"/>
      <c r="B355" s="53"/>
      <c r="C355" s="53"/>
      <c r="D355" s="53"/>
      <c r="E355" s="53"/>
      <c r="F355" s="53"/>
      <c r="G355" s="54"/>
      <c r="H355" s="53"/>
      <c r="I355" s="531">
        <v>92580</v>
      </c>
      <c r="M355" s="537"/>
      <c r="N355" s="537"/>
      <c r="O355" s="75"/>
      <c r="P355" s="589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</row>
    <row r="356" spans="1:38">
      <c r="A356" s="920" t="s">
        <v>1565</v>
      </c>
      <c r="B356" s="921"/>
      <c r="C356" s="921"/>
      <c r="D356" s="921"/>
      <c r="E356" s="929"/>
      <c r="F356" s="517"/>
      <c r="G356" s="517"/>
      <c r="H356" s="75" t="s">
        <v>12</v>
      </c>
      <c r="I356" s="77" t="s">
        <v>368</v>
      </c>
      <c r="M356" s="93"/>
      <c r="N356" s="93"/>
      <c r="O356" s="77"/>
      <c r="P356" s="590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</row>
    <row r="357" spans="1:38" ht="45" customHeight="1">
      <c r="A357" s="77" t="s">
        <v>1917</v>
      </c>
      <c r="B357" s="668"/>
      <c r="C357" s="77" t="s">
        <v>3</v>
      </c>
      <c r="D357" s="77" t="s">
        <v>4</v>
      </c>
      <c r="E357" s="77" t="s">
        <v>1826</v>
      </c>
      <c r="F357" s="93" t="s">
        <v>3781</v>
      </c>
      <c r="G357" s="93" t="s">
        <v>3783</v>
      </c>
      <c r="H357" s="77" t="s">
        <v>367</v>
      </c>
      <c r="I357" s="26">
        <f t="shared" ref="I357:I362" si="112">ROUND(H358*E358,2)</f>
        <v>0</v>
      </c>
      <c r="M357" s="26"/>
      <c r="N357" s="26"/>
      <c r="O357" s="26"/>
      <c r="P357" s="595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5"/>
      <c r="AF357" s="25"/>
      <c r="AG357" s="25"/>
      <c r="AH357" s="25"/>
      <c r="AI357" s="25"/>
      <c r="AJ357" s="25"/>
      <c r="AK357" s="25"/>
      <c r="AL357" s="25"/>
    </row>
    <row r="358" spans="1:38" ht="45">
      <c r="A358" s="727" t="s">
        <v>3859</v>
      </c>
      <c r="B358" s="728" t="s">
        <v>3855</v>
      </c>
      <c r="C358" s="729" t="s">
        <v>12</v>
      </c>
      <c r="D358" s="729" t="s">
        <v>3832</v>
      </c>
      <c r="E358" s="733">
        <v>7.0000000000000001E-3</v>
      </c>
      <c r="F358" s="731">
        <v>172.21</v>
      </c>
      <c r="G358" s="691">
        <f t="shared" ref="G358:G361" si="113">ROUND(F358*E358,2)</f>
        <v>1.21</v>
      </c>
      <c r="H358" s="26">
        <f t="shared" ref="H358:H363" si="114">J357</f>
        <v>0</v>
      </c>
      <c r="I358" s="26">
        <f t="shared" si="112"/>
        <v>0</v>
      </c>
      <c r="M358" s="26"/>
      <c r="N358" s="158"/>
      <c r="O358" s="26"/>
      <c r="P358" s="595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5"/>
      <c r="AF358" s="25"/>
      <c r="AG358" s="25"/>
      <c r="AH358" s="25"/>
      <c r="AI358" s="25"/>
      <c r="AJ358" s="25"/>
      <c r="AK358" s="25"/>
      <c r="AL358" s="25"/>
    </row>
    <row r="359" spans="1:38" ht="45">
      <c r="A359" s="24" t="s">
        <v>3860</v>
      </c>
      <c r="B359" s="78" t="s">
        <v>3856</v>
      </c>
      <c r="C359" s="25" t="s">
        <v>12</v>
      </c>
      <c r="D359" s="25" t="s">
        <v>45</v>
      </c>
      <c r="E359" s="218">
        <v>4.3330000000000002</v>
      </c>
      <c r="F359" s="26">
        <f t="shared" ref="F359" si="115">AVERAGE(M359:AL359)</f>
        <v>9.41</v>
      </c>
      <c r="G359" s="158">
        <f t="shared" si="113"/>
        <v>40.770000000000003</v>
      </c>
      <c r="H359" s="26">
        <f t="shared" si="114"/>
        <v>0</v>
      </c>
      <c r="I359" s="26">
        <f t="shared" si="112"/>
        <v>0</v>
      </c>
      <c r="M359" s="26"/>
      <c r="N359" s="158"/>
      <c r="O359" s="26"/>
      <c r="P359" s="595"/>
      <c r="Q359" s="26"/>
      <c r="R359" s="26"/>
      <c r="S359" s="26"/>
      <c r="T359" s="26">
        <v>9.41</v>
      </c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5"/>
      <c r="AF359" s="25"/>
      <c r="AG359" s="25"/>
      <c r="AH359" s="25"/>
      <c r="AI359" s="25"/>
      <c r="AJ359" s="25"/>
      <c r="AK359" s="25"/>
      <c r="AL359" s="25"/>
    </row>
    <row r="360" spans="1:38" ht="30">
      <c r="A360" s="503" t="s">
        <v>3843</v>
      </c>
      <c r="B360" s="628" t="s">
        <v>3854</v>
      </c>
      <c r="C360" s="504" t="s">
        <v>12</v>
      </c>
      <c r="D360" s="504" t="s">
        <v>19</v>
      </c>
      <c r="E360" s="632">
        <v>0.21299999999999999</v>
      </c>
      <c r="F360" s="505">
        <f>18*0.85*'PLANILHA ORÇA - CORREGEDORIA'!$BH$19</f>
        <v>17.04432797890194</v>
      </c>
      <c r="G360" s="561">
        <f t="shared" si="113"/>
        <v>3.63</v>
      </c>
      <c r="H360" s="26">
        <f t="shared" si="114"/>
        <v>0</v>
      </c>
      <c r="I360" s="26">
        <f t="shared" si="112"/>
        <v>0</v>
      </c>
      <c r="M360" s="26"/>
      <c r="N360" s="158"/>
      <c r="O360" s="26"/>
      <c r="P360" s="595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5"/>
      <c r="AF360" s="25"/>
      <c r="AG360" s="25"/>
      <c r="AH360" s="25"/>
      <c r="AI360" s="25"/>
      <c r="AJ360" s="25"/>
      <c r="AK360" s="25"/>
      <c r="AL360" s="25"/>
    </row>
    <row r="361" spans="1:38">
      <c r="A361" s="503" t="s">
        <v>3816</v>
      </c>
      <c r="B361" s="628" t="s">
        <v>377</v>
      </c>
      <c r="C361" s="504" t="s">
        <v>12</v>
      </c>
      <c r="D361" s="504" t="s">
        <v>19</v>
      </c>
      <c r="E361" s="632">
        <v>0.106</v>
      </c>
      <c r="F361" s="505">
        <f>13.88*0.85*'PLANILHA ORÇA - CORREGEDORIA'!$BH$19</f>
        <v>13.143070685953276</v>
      </c>
      <c r="G361" s="561">
        <f t="shared" si="113"/>
        <v>1.39</v>
      </c>
      <c r="H361" s="26">
        <f t="shared" si="114"/>
        <v>0</v>
      </c>
      <c r="I361" s="26">
        <f t="shared" si="112"/>
        <v>0</v>
      </c>
      <c r="M361" s="26"/>
      <c r="N361" s="158"/>
      <c r="O361" s="26"/>
      <c r="P361" s="595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5"/>
      <c r="AF361" s="25"/>
      <c r="AG361" s="25"/>
      <c r="AH361" s="25"/>
      <c r="AI361" s="25"/>
      <c r="AJ361" s="25"/>
      <c r="AK361" s="25"/>
      <c r="AL361" s="25"/>
    </row>
    <row r="362" spans="1:38" ht="45">
      <c r="A362" s="727" t="s">
        <v>3861</v>
      </c>
      <c r="B362" s="728" t="s">
        <v>3857</v>
      </c>
      <c r="C362" s="729" t="s">
        <v>12</v>
      </c>
      <c r="D362" s="729" t="s">
        <v>388</v>
      </c>
      <c r="E362" s="733">
        <v>6.7999999999999996E-3</v>
      </c>
      <c r="F362" s="731">
        <v>22.66</v>
      </c>
      <c r="G362" s="691">
        <f>ROUND(F362*E362,2)</f>
        <v>0.15</v>
      </c>
      <c r="H362" s="26">
        <f t="shared" si="114"/>
        <v>0</v>
      </c>
      <c r="I362" s="26">
        <f t="shared" si="112"/>
        <v>0</v>
      </c>
      <c r="M362" s="26"/>
      <c r="N362" s="158"/>
      <c r="O362" s="26"/>
      <c r="P362" s="595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5"/>
      <c r="AF362" s="25"/>
      <c r="AG362" s="25"/>
      <c r="AH362" s="25"/>
      <c r="AI362" s="25"/>
      <c r="AJ362" s="25"/>
      <c r="AK362" s="25"/>
      <c r="AL362" s="25"/>
    </row>
    <row r="363" spans="1:38" ht="15" customHeight="1">
      <c r="A363" s="727" t="s">
        <v>3862</v>
      </c>
      <c r="B363" s="728" t="s">
        <v>3858</v>
      </c>
      <c r="C363" s="729" t="s">
        <v>12</v>
      </c>
      <c r="D363" s="729" t="s">
        <v>389</v>
      </c>
      <c r="E363" s="733">
        <v>9.4000000000000004E-3</v>
      </c>
      <c r="F363" s="731">
        <v>21.58</v>
      </c>
      <c r="G363" s="691">
        <f>ROUND(F363*E363,2)</f>
        <v>0.2</v>
      </c>
      <c r="H363" s="26">
        <f t="shared" si="114"/>
        <v>0</v>
      </c>
      <c r="I363" s="79">
        <f>ROUND(SUM(I357:I362),2)</f>
        <v>0</v>
      </c>
      <c r="M363" s="375"/>
      <c r="N363" s="79"/>
      <c r="O363" s="535"/>
      <c r="P363" s="594"/>
      <c r="Q363" s="543"/>
      <c r="R363" s="543"/>
      <c r="S363" s="543"/>
      <c r="T363" s="569"/>
      <c r="U363" s="569"/>
      <c r="V363" s="653"/>
      <c r="W363" s="713"/>
      <c r="X363" s="704"/>
      <c r="Y363" s="713"/>
      <c r="Z363" s="713"/>
      <c r="AA363" s="704"/>
      <c r="AB363" s="704"/>
      <c r="AC363" s="653"/>
      <c r="AD363" s="674"/>
      <c r="AE363" s="713"/>
      <c r="AF363" s="713"/>
      <c r="AG363" s="713"/>
      <c r="AH363" s="713"/>
      <c r="AI363" s="713"/>
      <c r="AJ363" s="713"/>
      <c r="AK363" s="713"/>
      <c r="AL363" s="713"/>
    </row>
    <row r="364" spans="1:38" ht="24.75" customHeight="1">
      <c r="A364" s="917" t="s">
        <v>1894</v>
      </c>
      <c r="B364" s="918"/>
      <c r="C364" s="918"/>
      <c r="D364" s="918"/>
      <c r="E364" s="918"/>
      <c r="F364" s="926"/>
      <c r="G364" s="79">
        <f>ROUND(SUM(G358:G363),2)</f>
        <v>47.35</v>
      </c>
      <c r="H364" s="518"/>
      <c r="I364" s="54"/>
      <c r="M364" s="53"/>
      <c r="N364" s="54"/>
      <c r="O364" s="53"/>
      <c r="P364" s="592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</row>
    <row r="365" spans="1:38" ht="39.75" customHeight="1">
      <c r="A365" s="53"/>
      <c r="B365" s="53"/>
      <c r="C365" s="53"/>
      <c r="D365" s="53"/>
      <c r="E365" s="53"/>
      <c r="F365" s="53"/>
      <c r="G365" s="54"/>
      <c r="H365" s="53"/>
      <c r="I365" s="531">
        <v>94216</v>
      </c>
      <c r="M365" s="537"/>
      <c r="N365" s="537"/>
      <c r="O365" s="75"/>
      <c r="P365" s="589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</row>
    <row r="366" spans="1:38">
      <c r="A366" s="920" t="s">
        <v>1566</v>
      </c>
      <c r="B366" s="921"/>
      <c r="C366" s="921"/>
      <c r="D366" s="921"/>
      <c r="E366" s="929"/>
      <c r="F366" s="517"/>
      <c r="G366" s="517"/>
      <c r="H366" s="75" t="s">
        <v>12</v>
      </c>
      <c r="I366" s="77" t="s">
        <v>368</v>
      </c>
      <c r="M366" s="93"/>
      <c r="N366" s="93"/>
      <c r="O366" s="77"/>
      <c r="P366" s="590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</row>
    <row r="367" spans="1:38" ht="45" customHeight="1">
      <c r="A367" s="77" t="s">
        <v>1917</v>
      </c>
      <c r="B367" s="668"/>
      <c r="C367" s="77" t="s">
        <v>3</v>
      </c>
      <c r="D367" s="77" t="s">
        <v>4</v>
      </c>
      <c r="E367" s="77" t="s">
        <v>1826</v>
      </c>
      <c r="F367" s="93" t="s">
        <v>3781</v>
      </c>
      <c r="G367" s="93" t="s">
        <v>3783</v>
      </c>
      <c r="H367" s="77" t="s">
        <v>367</v>
      </c>
      <c r="I367" s="26">
        <f t="shared" ref="I367:I372" si="116">ROUND(H368*E368,2)</f>
        <v>0</v>
      </c>
      <c r="M367" s="26"/>
      <c r="N367" s="26"/>
      <c r="O367" s="26"/>
      <c r="P367" s="595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5"/>
      <c r="AF367" s="25"/>
      <c r="AG367" s="25"/>
      <c r="AH367" s="25"/>
      <c r="AI367" s="25"/>
      <c r="AJ367" s="25"/>
      <c r="AK367" s="25"/>
      <c r="AL367" s="25"/>
    </row>
    <row r="368" spans="1:38" ht="60">
      <c r="A368" s="727" t="s">
        <v>3863</v>
      </c>
      <c r="B368" s="728" t="s">
        <v>3866</v>
      </c>
      <c r="C368" s="729" t="s">
        <v>12</v>
      </c>
      <c r="D368" s="729" t="s">
        <v>383</v>
      </c>
      <c r="E368" s="733">
        <v>4.1500000000000004</v>
      </c>
      <c r="F368" s="731">
        <v>2.37</v>
      </c>
      <c r="G368" s="691">
        <f t="shared" ref="G368:G371" si="117">ROUND(F368*E368,2)</f>
        <v>9.84</v>
      </c>
      <c r="H368" s="26">
        <f t="shared" ref="H368:H373" si="118">J367</f>
        <v>0</v>
      </c>
      <c r="I368" s="26">
        <f t="shared" si="116"/>
        <v>0</v>
      </c>
      <c r="M368" s="26"/>
      <c r="N368" s="158"/>
      <c r="O368" s="26"/>
      <c r="P368" s="595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5"/>
      <c r="AF368" s="25"/>
      <c r="AG368" s="25"/>
      <c r="AH368" s="25"/>
      <c r="AI368" s="25"/>
      <c r="AJ368" s="25"/>
      <c r="AK368" s="25"/>
      <c r="AL368" s="25"/>
    </row>
    <row r="369" spans="1:38" ht="15" customHeight="1">
      <c r="A369" s="24" t="s">
        <v>3864</v>
      </c>
      <c r="B369" s="78" t="s">
        <v>3867</v>
      </c>
      <c r="C369" s="25" t="s">
        <v>12</v>
      </c>
      <c r="D369" s="25" t="s">
        <v>26</v>
      </c>
      <c r="E369" s="218">
        <v>1.1459999999999999</v>
      </c>
      <c r="F369" s="26">
        <f t="shared" ref="F369" si="119">AVERAGE(M369:AL369)</f>
        <v>215</v>
      </c>
      <c r="G369" s="158">
        <f t="shared" si="117"/>
        <v>246.39</v>
      </c>
      <c r="H369" s="26">
        <f t="shared" si="118"/>
        <v>0</v>
      </c>
      <c r="I369" s="26">
        <f t="shared" si="116"/>
        <v>0</v>
      </c>
      <c r="M369" s="26"/>
      <c r="N369" s="158"/>
      <c r="O369" s="26"/>
      <c r="P369" s="595"/>
      <c r="Q369" s="26"/>
      <c r="R369" s="26"/>
      <c r="S369" s="26"/>
      <c r="T369" s="26">
        <v>215</v>
      </c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5"/>
      <c r="AF369" s="25"/>
      <c r="AG369" s="25"/>
      <c r="AH369" s="25"/>
      <c r="AI369" s="25"/>
      <c r="AJ369" s="25"/>
      <c r="AK369" s="25"/>
      <c r="AL369" s="25"/>
    </row>
    <row r="370" spans="1:38" ht="15" customHeight="1">
      <c r="A370" s="503" t="s">
        <v>3816</v>
      </c>
      <c r="B370" s="628" t="s">
        <v>377</v>
      </c>
      <c r="C370" s="504" t="s">
        <v>12</v>
      </c>
      <c r="D370" s="504" t="s">
        <v>19</v>
      </c>
      <c r="E370" s="632">
        <v>6.2E-2</v>
      </c>
      <c r="F370" s="505">
        <f>13.88*0.85*'PLANILHA ORÇA - CORREGEDORIA'!$BH$19</f>
        <v>13.143070685953276</v>
      </c>
      <c r="G370" s="561">
        <f t="shared" si="117"/>
        <v>0.81</v>
      </c>
      <c r="H370" s="26">
        <f t="shared" si="118"/>
        <v>0</v>
      </c>
      <c r="I370" s="26">
        <f t="shared" si="116"/>
        <v>0</v>
      </c>
      <c r="M370" s="26"/>
      <c r="N370" s="158"/>
      <c r="O370" s="26"/>
      <c r="P370" s="595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5"/>
      <c r="AF370" s="25"/>
      <c r="AG370" s="25"/>
      <c r="AH370" s="25"/>
      <c r="AI370" s="25"/>
      <c r="AJ370" s="25"/>
      <c r="AK370" s="25"/>
      <c r="AL370" s="25"/>
    </row>
    <row r="371" spans="1:38" ht="30">
      <c r="A371" s="503" t="s">
        <v>3865</v>
      </c>
      <c r="B371" s="628" t="s">
        <v>3868</v>
      </c>
      <c r="C371" s="504" t="s">
        <v>12</v>
      </c>
      <c r="D371" s="504" t="s">
        <v>19</v>
      </c>
      <c r="E371" s="632">
        <v>5.6000000000000001E-2</v>
      </c>
      <c r="F371" s="505">
        <f>20.12*0.85*'PLANILHA ORÇA - CORREGEDORIA'!$BH$19</f>
        <v>19.051771051972615</v>
      </c>
      <c r="G371" s="561">
        <f t="shared" si="117"/>
        <v>1.07</v>
      </c>
      <c r="H371" s="26">
        <f t="shared" si="118"/>
        <v>0</v>
      </c>
      <c r="I371" s="26">
        <f t="shared" si="116"/>
        <v>0</v>
      </c>
      <c r="M371" s="26"/>
      <c r="N371" s="158"/>
      <c r="O371" s="26"/>
      <c r="P371" s="595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5"/>
      <c r="AF371" s="25"/>
      <c r="AG371" s="25"/>
      <c r="AH371" s="25"/>
      <c r="AI371" s="25"/>
      <c r="AJ371" s="25"/>
      <c r="AK371" s="25"/>
      <c r="AL371" s="25"/>
    </row>
    <row r="372" spans="1:38" ht="45">
      <c r="A372" s="727" t="s">
        <v>3861</v>
      </c>
      <c r="B372" s="728" t="s">
        <v>3857</v>
      </c>
      <c r="C372" s="729" t="s">
        <v>12</v>
      </c>
      <c r="D372" s="729" t="s">
        <v>388</v>
      </c>
      <c r="E372" s="733">
        <v>8.9999999999999998E-4</v>
      </c>
      <c r="F372" s="731">
        <v>22.66</v>
      </c>
      <c r="G372" s="691">
        <f>ROUND(F372*E372,2)</f>
        <v>0.02</v>
      </c>
      <c r="H372" s="26">
        <f t="shared" si="118"/>
        <v>0</v>
      </c>
      <c r="I372" s="26">
        <f t="shared" si="116"/>
        <v>0</v>
      </c>
      <c r="M372" s="26"/>
      <c r="N372" s="158"/>
      <c r="O372" s="26"/>
      <c r="P372" s="595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5"/>
      <c r="AF372" s="25"/>
      <c r="AG372" s="25"/>
      <c r="AH372" s="25"/>
      <c r="AI372" s="25"/>
      <c r="AJ372" s="25"/>
      <c r="AK372" s="25"/>
      <c r="AL372" s="25"/>
    </row>
    <row r="373" spans="1:38" ht="15" customHeight="1">
      <c r="A373" s="727" t="s">
        <v>3862</v>
      </c>
      <c r="B373" s="728" t="s">
        <v>3858</v>
      </c>
      <c r="C373" s="729" t="s">
        <v>12</v>
      </c>
      <c r="D373" s="729" t="s">
        <v>389</v>
      </c>
      <c r="E373" s="733">
        <v>1.1999999999999999E-3</v>
      </c>
      <c r="F373" s="731">
        <v>21.58</v>
      </c>
      <c r="G373" s="691">
        <f>ROUND(F373*E373,2)</f>
        <v>0.03</v>
      </c>
      <c r="H373" s="26">
        <f t="shared" si="118"/>
        <v>0</v>
      </c>
      <c r="I373" s="79">
        <f>ROUND(SUM(I367:I372),2)</f>
        <v>0</v>
      </c>
      <c r="M373" s="375"/>
      <c r="N373" s="79"/>
      <c r="O373" s="535"/>
      <c r="P373" s="594"/>
      <c r="Q373" s="543"/>
      <c r="R373" s="543"/>
      <c r="S373" s="543"/>
      <c r="T373" s="569"/>
      <c r="U373" s="569"/>
      <c r="V373" s="653"/>
      <c r="W373" s="713"/>
      <c r="X373" s="704"/>
      <c r="Y373" s="713"/>
      <c r="Z373" s="713"/>
      <c r="AA373" s="704"/>
      <c r="AB373" s="704"/>
      <c r="AC373" s="653"/>
      <c r="AD373" s="674"/>
      <c r="AE373" s="713"/>
      <c r="AF373" s="713"/>
      <c r="AG373" s="713"/>
      <c r="AH373" s="713"/>
      <c r="AI373" s="713"/>
      <c r="AJ373" s="713"/>
      <c r="AK373" s="713"/>
      <c r="AL373" s="713"/>
    </row>
    <row r="374" spans="1:38" ht="32.25" customHeight="1">
      <c r="A374" s="917" t="s">
        <v>1894</v>
      </c>
      <c r="B374" s="918"/>
      <c r="C374" s="918"/>
      <c r="D374" s="918"/>
      <c r="E374" s="918"/>
      <c r="F374" s="926"/>
      <c r="G374" s="79">
        <f>ROUND(SUM(G368:G373),2)</f>
        <v>258.16000000000003</v>
      </c>
      <c r="H374" s="518"/>
      <c r="I374" s="54"/>
      <c r="M374" s="53"/>
      <c r="N374" s="54"/>
      <c r="O374" s="53"/>
      <c r="P374" s="592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</row>
    <row r="375" spans="1:38" ht="38.25" customHeight="1">
      <c r="A375" s="53"/>
      <c r="B375" s="53"/>
      <c r="C375" s="53"/>
      <c r="D375" s="53"/>
      <c r="E375" s="53"/>
      <c r="F375" s="53"/>
      <c r="G375" s="54"/>
      <c r="H375" s="53"/>
      <c r="I375" s="531">
        <v>96114</v>
      </c>
      <c r="M375" s="537"/>
      <c r="N375" s="537"/>
      <c r="O375" s="75"/>
      <c r="P375" s="589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</row>
    <row r="376" spans="1:38">
      <c r="A376" s="920" t="s">
        <v>2686</v>
      </c>
      <c r="B376" s="921"/>
      <c r="C376" s="921"/>
      <c r="D376" s="921"/>
      <c r="E376" s="929"/>
      <c r="F376" s="517"/>
      <c r="G376" s="517"/>
      <c r="H376" s="75" t="s">
        <v>12</v>
      </c>
      <c r="I376" s="77" t="s">
        <v>368</v>
      </c>
      <c r="M376" s="93"/>
      <c r="N376" s="93"/>
      <c r="O376" s="77"/>
      <c r="P376" s="590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</row>
    <row r="377" spans="1:38" ht="45" customHeight="1">
      <c r="A377" s="77" t="s">
        <v>1917</v>
      </c>
      <c r="B377" s="668"/>
      <c r="C377" s="77" t="s">
        <v>3</v>
      </c>
      <c r="D377" s="77" t="s">
        <v>4</v>
      </c>
      <c r="E377" s="77" t="s">
        <v>1826</v>
      </c>
      <c r="F377" s="93" t="s">
        <v>3781</v>
      </c>
      <c r="G377" s="93" t="s">
        <v>3783</v>
      </c>
      <c r="H377" s="77" t="s">
        <v>367</v>
      </c>
      <c r="I377" s="26"/>
      <c r="M377" s="26"/>
      <c r="N377" s="26"/>
      <c r="O377" s="26"/>
      <c r="P377" s="595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5"/>
      <c r="AF377" s="25"/>
      <c r="AG377" s="25"/>
      <c r="AH377" s="25"/>
      <c r="AI377" s="25"/>
      <c r="AJ377" s="25"/>
      <c r="AK377" s="25"/>
      <c r="AL377" s="25"/>
    </row>
    <row r="378" spans="1:38" ht="45">
      <c r="A378" s="24" t="s">
        <v>3834</v>
      </c>
      <c r="B378" s="78" t="s">
        <v>3845</v>
      </c>
      <c r="C378" s="25" t="s">
        <v>12</v>
      </c>
      <c r="D378" s="25" t="s">
        <v>26</v>
      </c>
      <c r="E378" s="218">
        <v>1.0966</v>
      </c>
      <c r="F378" s="26">
        <f t="shared" ref="F378:F386" si="120">AVERAGE(M378:AL378)</f>
        <v>20.03</v>
      </c>
      <c r="G378" s="158">
        <f t="shared" ref="G378:G388" si="121">ROUND(F378*E378,2)</f>
        <v>21.96</v>
      </c>
      <c r="H378" s="77"/>
      <c r="I378" s="77"/>
      <c r="M378" s="93"/>
      <c r="N378" s="158"/>
      <c r="O378" s="77"/>
      <c r="P378" s="590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17">
        <v>20.37</v>
      </c>
      <c r="AF378" s="717">
        <v>19.690000000000001</v>
      </c>
      <c r="AG378" s="717"/>
      <c r="AH378" s="717"/>
      <c r="AI378" s="717"/>
      <c r="AJ378" s="717"/>
      <c r="AK378" s="717"/>
      <c r="AL378" s="717"/>
    </row>
    <row r="379" spans="1:38" ht="45">
      <c r="A379" s="24" t="s">
        <v>3869</v>
      </c>
      <c r="B379" s="78" t="s">
        <v>3873</v>
      </c>
      <c r="C379" s="25" t="s">
        <v>12</v>
      </c>
      <c r="D379" s="25" t="s">
        <v>52</v>
      </c>
      <c r="E379" s="218">
        <v>3.851</v>
      </c>
      <c r="F379" s="26">
        <f t="shared" si="120"/>
        <v>6.6464999999999996</v>
      </c>
      <c r="G379" s="158">
        <f t="shared" si="121"/>
        <v>25.6</v>
      </c>
      <c r="H379" s="77"/>
      <c r="I379" s="77"/>
      <c r="M379" s="93"/>
      <c r="N379" s="158"/>
      <c r="O379" s="77"/>
      <c r="P379" s="590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>
        <v>6.6630000000000003</v>
      </c>
      <c r="AF379" s="77">
        <v>6.63</v>
      </c>
      <c r="AG379" s="77"/>
      <c r="AH379" s="77"/>
      <c r="AI379" s="77"/>
      <c r="AJ379" s="77"/>
      <c r="AK379" s="77"/>
      <c r="AL379" s="77"/>
    </row>
    <row r="380" spans="1:38" ht="60">
      <c r="A380" s="24" t="s">
        <v>3870</v>
      </c>
      <c r="B380" s="78" t="s">
        <v>3874</v>
      </c>
      <c r="C380" s="25" t="s">
        <v>12</v>
      </c>
      <c r="D380" s="25" t="s">
        <v>17</v>
      </c>
      <c r="E380" s="218">
        <v>1.3265</v>
      </c>
      <c r="F380" s="26">
        <f t="shared" si="120"/>
        <v>1.7450000000000001</v>
      </c>
      <c r="G380" s="158">
        <f t="shared" si="121"/>
        <v>2.31</v>
      </c>
      <c r="H380" s="77"/>
      <c r="I380" s="77"/>
      <c r="M380" s="93"/>
      <c r="N380" s="158"/>
      <c r="O380" s="77"/>
      <c r="P380" s="590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>
        <v>1.7</v>
      </c>
      <c r="AF380" s="77">
        <v>1.79</v>
      </c>
      <c r="AG380" s="77"/>
      <c r="AH380" s="77"/>
      <c r="AI380" s="77"/>
      <c r="AJ380" s="77"/>
      <c r="AK380" s="77"/>
      <c r="AL380" s="77"/>
    </row>
    <row r="381" spans="1:38" ht="45">
      <c r="A381" s="24" t="s">
        <v>3838</v>
      </c>
      <c r="B381" s="78" t="s">
        <v>3849</v>
      </c>
      <c r="C381" s="25" t="s">
        <v>12</v>
      </c>
      <c r="D381" s="25" t="s">
        <v>52</v>
      </c>
      <c r="E381" s="218">
        <v>1.4395</v>
      </c>
      <c r="F381" s="26">
        <f t="shared" si="120"/>
        <v>2.3845000000000001</v>
      </c>
      <c r="G381" s="158">
        <f t="shared" si="121"/>
        <v>3.43</v>
      </c>
      <c r="H381" s="77"/>
      <c r="I381" s="77"/>
      <c r="M381" s="93"/>
      <c r="N381" s="158"/>
      <c r="O381" s="77"/>
      <c r="P381" s="590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141">
        <v>2.67</v>
      </c>
      <c r="AF381" s="141">
        <v>2.0990000000000002</v>
      </c>
      <c r="AG381" s="141"/>
      <c r="AH381" s="141"/>
      <c r="AI381" s="141"/>
      <c r="AJ381" s="141"/>
      <c r="AK381" s="141"/>
      <c r="AL381" s="141"/>
    </row>
    <row r="382" spans="1:38" ht="60">
      <c r="A382" s="24" t="s">
        <v>3839</v>
      </c>
      <c r="B382" s="78" t="s">
        <v>3850</v>
      </c>
      <c r="C382" s="25" t="s">
        <v>12</v>
      </c>
      <c r="D382" s="25" t="s">
        <v>45</v>
      </c>
      <c r="E382" s="218">
        <v>0.5202</v>
      </c>
      <c r="F382" s="26">
        <f t="shared" si="120"/>
        <v>3.375</v>
      </c>
      <c r="G382" s="158">
        <f t="shared" si="121"/>
        <v>1.76</v>
      </c>
      <c r="H382" s="77"/>
      <c r="I382" s="77"/>
      <c r="M382" s="93"/>
      <c r="N382" s="158"/>
      <c r="O382" s="77"/>
      <c r="P382" s="590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141">
        <v>3.5</v>
      </c>
      <c r="AF382" s="141">
        <v>3.25</v>
      </c>
      <c r="AG382" s="141"/>
      <c r="AH382" s="141"/>
      <c r="AI382" s="141"/>
      <c r="AJ382" s="141"/>
      <c r="AK382" s="141"/>
      <c r="AL382" s="141"/>
    </row>
    <row r="383" spans="1:38" ht="45">
      <c r="A383" s="24" t="s">
        <v>3840</v>
      </c>
      <c r="B383" s="78" t="s">
        <v>3851</v>
      </c>
      <c r="C383" s="25" t="s">
        <v>12</v>
      </c>
      <c r="D383" s="25" t="s">
        <v>17</v>
      </c>
      <c r="E383" s="218">
        <v>7.9740000000000002</v>
      </c>
      <c r="F383" s="26">
        <f t="shared" si="120"/>
        <v>6.5000000000000002E-2</v>
      </c>
      <c r="G383" s="158">
        <f t="shared" si="121"/>
        <v>0.52</v>
      </c>
      <c r="H383" s="77"/>
      <c r="I383" s="26"/>
      <c r="M383" s="26"/>
      <c r="N383" s="158"/>
      <c r="O383" s="26"/>
      <c r="P383" s="595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141">
        <v>7.4999999999999997E-2</v>
      </c>
      <c r="AF383" s="141">
        <v>5.5E-2</v>
      </c>
      <c r="AG383" s="141"/>
      <c r="AH383" s="141"/>
      <c r="AI383" s="141"/>
      <c r="AJ383" s="141"/>
      <c r="AK383" s="141"/>
      <c r="AL383" s="141"/>
    </row>
    <row r="384" spans="1:38" ht="45">
      <c r="A384" s="24" t="s">
        <v>3842</v>
      </c>
      <c r="B384" s="78" t="s">
        <v>3853</v>
      </c>
      <c r="C384" s="25" t="s">
        <v>12</v>
      </c>
      <c r="D384" s="25" t="s">
        <v>17</v>
      </c>
      <c r="E384" s="218">
        <v>2.1911999999999998</v>
      </c>
      <c r="F384" s="26">
        <f t="shared" si="120"/>
        <v>0.1245</v>
      </c>
      <c r="G384" s="158">
        <f t="shared" si="121"/>
        <v>0.27</v>
      </c>
      <c r="H384" s="26"/>
      <c r="I384" s="26"/>
      <c r="M384" s="26"/>
      <c r="N384" s="158"/>
      <c r="O384" s="26"/>
      <c r="P384" s="595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141">
        <v>9.9000000000000005E-2</v>
      </c>
      <c r="AF384" s="141">
        <v>0.15</v>
      </c>
      <c r="AG384" s="141"/>
      <c r="AH384" s="141"/>
      <c r="AI384" s="141"/>
      <c r="AJ384" s="141"/>
      <c r="AK384" s="141"/>
      <c r="AL384" s="141"/>
    </row>
    <row r="385" spans="1:38" ht="30">
      <c r="A385" s="24" t="s">
        <v>3871</v>
      </c>
      <c r="B385" s="78" t="s">
        <v>3875</v>
      </c>
      <c r="C385" s="25" t="s">
        <v>12</v>
      </c>
      <c r="D385" s="25" t="s">
        <v>3832</v>
      </c>
      <c r="E385" s="218">
        <v>1.32E-2</v>
      </c>
      <c r="F385" s="26">
        <f t="shared" si="120"/>
        <v>4.41</v>
      </c>
      <c r="G385" s="158">
        <f t="shared" si="121"/>
        <v>0.06</v>
      </c>
      <c r="H385" s="26"/>
      <c r="I385" s="26"/>
      <c r="M385" s="26"/>
      <c r="N385" s="158"/>
      <c r="O385" s="26"/>
      <c r="P385" s="595"/>
      <c r="Q385" s="26"/>
      <c r="R385" s="26"/>
      <c r="S385" s="26"/>
      <c r="T385" s="26"/>
      <c r="U385" s="26"/>
      <c r="V385" s="26"/>
      <c r="W385" s="26">
        <v>4.41</v>
      </c>
      <c r="X385" s="26"/>
      <c r="Y385" s="26"/>
      <c r="Z385" s="26"/>
      <c r="AA385" s="26"/>
      <c r="AB385" s="26"/>
      <c r="AC385" s="26"/>
      <c r="AD385" s="26"/>
      <c r="AE385" s="25"/>
      <c r="AF385" s="25"/>
      <c r="AG385" s="25"/>
      <c r="AH385" s="25"/>
      <c r="AI385" s="25"/>
      <c r="AJ385" s="25"/>
      <c r="AK385" s="25"/>
      <c r="AL385" s="25"/>
    </row>
    <row r="386" spans="1:38" ht="45">
      <c r="A386" s="24" t="s">
        <v>3872</v>
      </c>
      <c r="B386" s="78" t="s">
        <v>3876</v>
      </c>
      <c r="C386" s="25" t="s">
        <v>12</v>
      </c>
      <c r="D386" s="25" t="s">
        <v>45</v>
      </c>
      <c r="E386" s="218">
        <v>4.2599999999999999E-2</v>
      </c>
      <c r="F386" s="26">
        <f t="shared" si="120"/>
        <v>18.399999999999999</v>
      </c>
      <c r="G386" s="158">
        <f t="shared" si="121"/>
        <v>0.78</v>
      </c>
      <c r="H386" s="26"/>
      <c r="I386" s="26"/>
      <c r="M386" s="26"/>
      <c r="N386" s="158"/>
      <c r="O386" s="26"/>
      <c r="P386" s="595"/>
      <c r="Q386" s="26"/>
      <c r="R386" s="26"/>
      <c r="S386" s="26"/>
      <c r="T386" s="26">
        <v>17.100000000000001</v>
      </c>
      <c r="U386" s="26">
        <v>19.7</v>
      </c>
      <c r="V386" s="26"/>
      <c r="W386" s="26"/>
      <c r="X386" s="26"/>
      <c r="Y386" s="26"/>
      <c r="Z386" s="26"/>
      <c r="AA386" s="26"/>
      <c r="AB386" s="26"/>
      <c r="AC386" s="26"/>
      <c r="AD386" s="26"/>
      <c r="AE386" s="25"/>
      <c r="AF386" s="25"/>
      <c r="AG386" s="25"/>
      <c r="AH386" s="25"/>
      <c r="AI386" s="25"/>
      <c r="AJ386" s="25"/>
      <c r="AK386" s="25"/>
      <c r="AL386" s="25"/>
    </row>
    <row r="387" spans="1:38" ht="30">
      <c r="A387" s="503" t="s">
        <v>3843</v>
      </c>
      <c r="B387" s="628" t="s">
        <v>3854</v>
      </c>
      <c r="C387" s="504" t="s">
        <v>12</v>
      </c>
      <c r="D387" s="504" t="s">
        <v>19</v>
      </c>
      <c r="E387" s="632">
        <v>0.36280000000000001</v>
      </c>
      <c r="F387" s="505">
        <f>18*0.85*'PLANILHA ORÇA - CORREGEDORIA'!$BH$19</f>
        <v>17.04432797890194</v>
      </c>
      <c r="G387" s="561">
        <f t="shared" si="121"/>
        <v>6.18</v>
      </c>
      <c r="H387" s="26"/>
      <c r="I387" s="26"/>
      <c r="M387" s="26"/>
      <c r="N387" s="158"/>
      <c r="O387" s="26"/>
      <c r="P387" s="595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5"/>
      <c r="AF387" s="25"/>
      <c r="AG387" s="25"/>
      <c r="AH387" s="25"/>
      <c r="AI387" s="25"/>
      <c r="AJ387" s="25"/>
      <c r="AK387" s="25"/>
      <c r="AL387" s="25"/>
    </row>
    <row r="388" spans="1:38" ht="15" customHeight="1">
      <c r="A388" s="503" t="s">
        <v>3816</v>
      </c>
      <c r="B388" s="628" t="s">
        <v>377</v>
      </c>
      <c r="C388" s="504" t="s">
        <v>12</v>
      </c>
      <c r="D388" s="504" t="s">
        <v>19</v>
      </c>
      <c r="E388" s="632">
        <v>0.36280000000000001</v>
      </c>
      <c r="F388" s="505">
        <f>13.88*0.85*'PLANILHA ORÇA - CORREGEDORIA'!$BH$19</f>
        <v>13.143070685953276</v>
      </c>
      <c r="G388" s="561">
        <f t="shared" si="121"/>
        <v>4.7699999999999996</v>
      </c>
      <c r="H388" s="26"/>
      <c r="I388" s="79">
        <f>ROUND(SUM(I383:I387),2)</f>
        <v>0</v>
      </c>
      <c r="M388" s="26"/>
      <c r="N388" s="79"/>
      <c r="O388" s="535"/>
      <c r="P388" s="594"/>
      <c r="Q388" s="543"/>
      <c r="R388" s="543"/>
      <c r="S388" s="543"/>
      <c r="T388" s="569"/>
      <c r="U388" s="569"/>
      <c r="V388" s="653"/>
      <c r="W388" s="713"/>
      <c r="X388" s="704"/>
      <c r="Y388" s="713"/>
      <c r="Z388" s="713"/>
      <c r="AA388" s="704"/>
      <c r="AB388" s="704"/>
      <c r="AC388" s="653"/>
      <c r="AD388" s="674"/>
      <c r="AE388" s="713"/>
      <c r="AF388" s="713"/>
      <c r="AG388" s="713"/>
      <c r="AH388" s="713"/>
      <c r="AI388" s="713"/>
      <c r="AJ388" s="713"/>
      <c r="AK388" s="713"/>
      <c r="AL388" s="713"/>
    </row>
    <row r="389" spans="1:38" ht="26.25" customHeight="1">
      <c r="A389" s="917" t="s">
        <v>1894</v>
      </c>
      <c r="B389" s="918"/>
      <c r="C389" s="918"/>
      <c r="D389" s="918"/>
      <c r="E389" s="918"/>
      <c r="F389" s="926"/>
      <c r="G389" s="79">
        <f>ROUND(SUM(G378:G388),2)</f>
        <v>67.64</v>
      </c>
      <c r="H389" s="518"/>
      <c r="I389" s="54"/>
      <c r="M389" s="53"/>
      <c r="N389" s="54"/>
      <c r="O389" s="53"/>
      <c r="P389" s="592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</row>
    <row r="390" spans="1:38" ht="69" customHeight="1">
      <c r="A390" s="53"/>
      <c r="B390" s="53"/>
      <c r="C390" s="53"/>
      <c r="D390" s="53"/>
      <c r="E390" s="53"/>
      <c r="F390" s="53"/>
      <c r="G390" s="54"/>
      <c r="H390" s="53"/>
      <c r="I390" s="531">
        <v>87535</v>
      </c>
      <c r="M390" s="537"/>
      <c r="N390" s="537"/>
      <c r="O390" s="75"/>
      <c r="P390" s="589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</row>
    <row r="391" spans="1:38">
      <c r="A391" s="920" t="s">
        <v>1568</v>
      </c>
      <c r="B391" s="921"/>
      <c r="C391" s="921"/>
      <c r="D391" s="921"/>
      <c r="E391" s="929"/>
      <c r="F391" s="517"/>
      <c r="G391" s="517"/>
      <c r="H391" s="75" t="s">
        <v>12</v>
      </c>
      <c r="I391" s="77" t="s">
        <v>368</v>
      </c>
      <c r="M391" s="93"/>
      <c r="N391" s="93"/>
      <c r="O391" s="77"/>
      <c r="P391" s="590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</row>
    <row r="392" spans="1:38" ht="45" customHeight="1">
      <c r="A392" s="77" t="s">
        <v>1917</v>
      </c>
      <c r="B392" s="668"/>
      <c r="C392" s="77" t="s">
        <v>3</v>
      </c>
      <c r="D392" s="77" t="s">
        <v>4</v>
      </c>
      <c r="E392" s="77" t="s">
        <v>1826</v>
      </c>
      <c r="F392" s="93" t="s">
        <v>3781</v>
      </c>
      <c r="G392" s="93" t="s">
        <v>3783</v>
      </c>
      <c r="H392" s="77" t="s">
        <v>367</v>
      </c>
      <c r="I392" s="26"/>
      <c r="M392" s="26"/>
      <c r="N392" s="26"/>
      <c r="O392" s="26"/>
      <c r="P392" s="595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5"/>
      <c r="AF392" s="25"/>
      <c r="AG392" s="25"/>
      <c r="AH392" s="25"/>
      <c r="AI392" s="25"/>
      <c r="AJ392" s="25"/>
      <c r="AK392" s="25"/>
      <c r="AL392" s="25"/>
    </row>
    <row r="393" spans="1:38" s="34" customFormat="1" ht="75">
      <c r="A393" s="475" t="s">
        <v>4039</v>
      </c>
      <c r="B393" s="661" t="s">
        <v>3877</v>
      </c>
      <c r="C393" s="472" t="s">
        <v>12</v>
      </c>
      <c r="D393" s="472" t="s">
        <v>35</v>
      </c>
      <c r="E393" s="686">
        <v>3.7600000000000001E-2</v>
      </c>
      <c r="F393" s="473"/>
      <c r="G393" s="562">
        <f>ROUND(F393*E393,2)</f>
        <v>0</v>
      </c>
      <c r="H393" s="659"/>
      <c r="I393" s="659"/>
      <c r="J393" s="378"/>
      <c r="L393" s="378"/>
      <c r="M393" s="660"/>
      <c r="N393" s="562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  <c r="AE393" s="659"/>
      <c r="AF393" s="659"/>
      <c r="AG393" s="659"/>
      <c r="AH393" s="659"/>
      <c r="AI393" s="659"/>
      <c r="AJ393" s="659"/>
      <c r="AK393" s="659"/>
      <c r="AL393" s="659"/>
    </row>
    <row r="394" spans="1:38" ht="30">
      <c r="A394" s="25" t="s">
        <v>3813</v>
      </c>
      <c r="B394" s="25" t="s">
        <v>396</v>
      </c>
      <c r="C394" s="25" t="s">
        <v>12</v>
      </c>
      <c r="D394" s="25" t="s">
        <v>35</v>
      </c>
      <c r="E394" s="218" t="s">
        <v>4034</v>
      </c>
      <c r="F394" s="26">
        <f t="shared" ref="F394" si="122">AVERAGE(M394:AL394)</f>
        <v>81.166666666666671</v>
      </c>
      <c r="G394" s="158">
        <f t="shared" ref="G394:G399" si="123">ROUND(F394*E394*$E$393,2)</f>
        <v>3.54</v>
      </c>
      <c r="H394" s="77"/>
      <c r="I394" s="77"/>
      <c r="M394" s="93"/>
      <c r="N394" s="158"/>
      <c r="O394" s="77"/>
      <c r="P394" s="590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>
        <v>76</v>
      </c>
      <c r="AH394" s="77">
        <v>80</v>
      </c>
      <c r="AI394" s="77">
        <v>87.5</v>
      </c>
      <c r="AJ394" s="77"/>
      <c r="AK394" s="77"/>
      <c r="AL394" s="77"/>
    </row>
    <row r="395" spans="1:38">
      <c r="A395" s="729" t="s">
        <v>4024</v>
      </c>
      <c r="B395" s="729" t="s">
        <v>535</v>
      </c>
      <c r="C395" s="729" t="s">
        <v>12</v>
      </c>
      <c r="D395" s="729" t="s">
        <v>45</v>
      </c>
      <c r="E395" s="733" t="s">
        <v>4035</v>
      </c>
      <c r="F395" s="731">
        <v>0.91</v>
      </c>
      <c r="G395" s="691">
        <f t="shared" si="123"/>
        <v>5.96</v>
      </c>
      <c r="H395" s="77"/>
      <c r="I395" s="77"/>
      <c r="M395" s="93"/>
      <c r="N395" s="158"/>
      <c r="O395" s="77"/>
      <c r="P395" s="590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</row>
    <row r="396" spans="1:38">
      <c r="A396" s="25" t="s">
        <v>3814</v>
      </c>
      <c r="B396" s="25" t="s">
        <v>397</v>
      </c>
      <c r="C396" s="25" t="s">
        <v>12</v>
      </c>
      <c r="D396" s="25" t="s">
        <v>45</v>
      </c>
      <c r="E396" s="218" t="s">
        <v>4036</v>
      </c>
      <c r="F396" s="26">
        <f t="shared" ref="F396" si="124">AVERAGE(M396:AL396)</f>
        <v>0.96633333333333338</v>
      </c>
      <c r="G396" s="158">
        <f t="shared" si="123"/>
        <v>7.12</v>
      </c>
      <c r="H396" s="77"/>
      <c r="I396" s="77"/>
      <c r="M396" s="93">
        <v>0.98</v>
      </c>
      <c r="N396" s="158">
        <v>0.94</v>
      </c>
      <c r="O396" s="77"/>
      <c r="P396" s="590">
        <v>0.97899999999999998</v>
      </c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</row>
    <row r="397" spans="1:38" s="283" customFormat="1" ht="45">
      <c r="A397" s="504" t="s">
        <v>3817</v>
      </c>
      <c r="B397" s="504" t="s">
        <v>3821</v>
      </c>
      <c r="C397" s="504" t="s">
        <v>12</v>
      </c>
      <c r="D397" s="504" t="s">
        <v>19</v>
      </c>
      <c r="E397" s="632" t="s">
        <v>4037</v>
      </c>
      <c r="F397" s="505">
        <f>17.21*0.85*'PLANILHA ORÇA - CORREGEDORIA'!$BH$19</f>
        <v>16.296271362050135</v>
      </c>
      <c r="G397" s="561">
        <f t="shared" si="123"/>
        <v>2.76</v>
      </c>
      <c r="H397" s="77"/>
      <c r="I397" s="77"/>
      <c r="J397" s="365"/>
      <c r="L397" s="363"/>
      <c r="M397" s="700"/>
      <c r="N397" s="691"/>
      <c r="O397" s="699"/>
      <c r="P397" s="699"/>
      <c r="Q397" s="699"/>
      <c r="R397" s="699"/>
      <c r="S397" s="699"/>
      <c r="T397" s="699"/>
      <c r="U397" s="699"/>
      <c r="V397" s="699"/>
      <c r="W397" s="699"/>
      <c r="X397" s="699"/>
      <c r="Y397" s="699"/>
      <c r="Z397" s="699"/>
      <c r="AA397" s="699"/>
      <c r="AB397" s="699"/>
      <c r="AC397" s="699"/>
      <c r="AD397" s="699"/>
      <c r="AE397" s="699"/>
      <c r="AF397" s="699"/>
      <c r="AG397" s="699"/>
      <c r="AH397" s="699"/>
      <c r="AI397" s="699"/>
      <c r="AJ397" s="699"/>
      <c r="AK397" s="699"/>
      <c r="AL397" s="699"/>
    </row>
    <row r="398" spans="1:38" ht="60">
      <c r="A398" s="729" t="s">
        <v>3818</v>
      </c>
      <c r="B398" s="729" t="s">
        <v>3822</v>
      </c>
      <c r="C398" s="729" t="s">
        <v>12</v>
      </c>
      <c r="D398" s="729" t="s">
        <v>388</v>
      </c>
      <c r="E398" s="733" t="s">
        <v>4008</v>
      </c>
      <c r="F398" s="731">
        <v>2.1</v>
      </c>
      <c r="G398" s="691">
        <f t="shared" si="123"/>
        <v>0.08</v>
      </c>
      <c r="H398" s="77"/>
      <c r="I398" s="77"/>
      <c r="M398" s="93"/>
      <c r="N398" s="158"/>
      <c r="O398" s="77"/>
      <c r="P398" s="590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</row>
    <row r="399" spans="1:38" ht="60">
      <c r="A399" s="729" t="s">
        <v>3819</v>
      </c>
      <c r="B399" s="729" t="s">
        <v>3823</v>
      </c>
      <c r="C399" s="729" t="s">
        <v>12</v>
      </c>
      <c r="D399" s="729" t="s">
        <v>389</v>
      </c>
      <c r="E399" s="733" t="s">
        <v>4038</v>
      </c>
      <c r="F399" s="731">
        <v>0.42</v>
      </c>
      <c r="G399" s="691">
        <f t="shared" si="123"/>
        <v>0.05</v>
      </c>
      <c r="H399" s="77"/>
      <c r="I399" s="77"/>
      <c r="M399" s="93"/>
      <c r="N399" s="158"/>
      <c r="O399" s="77"/>
      <c r="P399" s="590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</row>
    <row r="400" spans="1:38">
      <c r="A400" s="503" t="s">
        <v>3827</v>
      </c>
      <c r="B400" s="628" t="s">
        <v>390</v>
      </c>
      <c r="C400" s="504" t="s">
        <v>12</v>
      </c>
      <c r="D400" s="504" t="s">
        <v>19</v>
      </c>
      <c r="E400" s="632">
        <v>0.32</v>
      </c>
      <c r="F400" s="505">
        <f>17.79*0.85*'PLANILHA ORÇA - CORREGEDORIA'!$BH$19</f>
        <v>16.845477485814751</v>
      </c>
      <c r="G400" s="561">
        <f>ROUND(F400*E400,2)</f>
        <v>5.39</v>
      </c>
      <c r="H400" s="77"/>
      <c r="I400" s="77"/>
      <c r="M400" s="93"/>
      <c r="N400" s="158"/>
      <c r="O400" s="77"/>
      <c r="P400" s="590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</row>
    <row r="401" spans="1:38" ht="15" customHeight="1">
      <c r="A401" s="503" t="s">
        <v>3816</v>
      </c>
      <c r="B401" s="628" t="s">
        <v>377</v>
      </c>
      <c r="C401" s="504" t="s">
        <v>12</v>
      </c>
      <c r="D401" s="504" t="s">
        <v>19</v>
      </c>
      <c r="E401" s="632">
        <v>0.11799999999999999</v>
      </c>
      <c r="F401" s="505">
        <f>13.88*0.85*'PLANILHA ORÇA - CORREGEDORIA'!$BH$19</f>
        <v>13.143070685953276</v>
      </c>
      <c r="G401" s="561">
        <f t="shared" ref="G401" si="125">ROUND(F401*E401,2)</f>
        <v>1.55</v>
      </c>
      <c r="H401" s="77"/>
      <c r="I401" s="79" t="e">
        <f>ROUND(SUM(#REF!),2)</f>
        <v>#REF!</v>
      </c>
      <c r="M401" s="93"/>
      <c r="N401" s="79"/>
      <c r="O401" s="535"/>
      <c r="P401" s="594"/>
      <c r="Q401" s="543"/>
      <c r="R401" s="543"/>
      <c r="S401" s="543"/>
      <c r="T401" s="569"/>
      <c r="U401" s="569"/>
      <c r="V401" s="653"/>
      <c r="W401" s="713"/>
      <c r="X401" s="704"/>
      <c r="Y401" s="713"/>
      <c r="Z401" s="713"/>
      <c r="AA401" s="704"/>
      <c r="AB401" s="704"/>
      <c r="AC401" s="653"/>
      <c r="AD401" s="674"/>
      <c r="AE401" s="713"/>
      <c r="AF401" s="713"/>
      <c r="AG401" s="713"/>
      <c r="AH401" s="713"/>
      <c r="AI401" s="713"/>
      <c r="AJ401" s="713"/>
      <c r="AK401" s="713"/>
      <c r="AL401" s="713"/>
    </row>
    <row r="402" spans="1:38" ht="28.5" customHeight="1">
      <c r="A402" s="917" t="s">
        <v>1894</v>
      </c>
      <c r="B402" s="918"/>
      <c r="C402" s="918"/>
      <c r="D402" s="918"/>
      <c r="E402" s="918"/>
      <c r="F402" s="926"/>
      <c r="G402" s="79">
        <f>ROUND(SUM(G393:G401),2)</f>
        <v>26.45</v>
      </c>
      <c r="H402" s="518"/>
      <c r="I402" s="54"/>
      <c r="M402" s="53"/>
      <c r="N402" s="54"/>
      <c r="O402" s="53"/>
      <c r="P402" s="592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</row>
    <row r="403" spans="1:38" ht="57.75" customHeight="1">
      <c r="A403" s="53"/>
      <c r="B403" s="53"/>
      <c r="C403" s="53"/>
      <c r="D403" s="53"/>
      <c r="E403" s="53"/>
      <c r="F403" s="53"/>
      <c r="G403" s="54"/>
      <c r="H403" s="53"/>
      <c r="I403" s="531">
        <v>87273</v>
      </c>
      <c r="M403" s="537"/>
      <c r="N403" s="537"/>
      <c r="O403" s="75"/>
      <c r="P403" s="589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</row>
    <row r="404" spans="1:38">
      <c r="A404" s="920" t="s">
        <v>100</v>
      </c>
      <c r="B404" s="921"/>
      <c r="C404" s="921"/>
      <c r="D404" s="921"/>
      <c r="E404" s="929"/>
      <c r="F404" s="517"/>
      <c r="G404" s="517"/>
      <c r="H404" s="75" t="s">
        <v>12</v>
      </c>
      <c r="I404" s="525" t="s">
        <v>368</v>
      </c>
      <c r="M404" s="526"/>
      <c r="N404" s="526"/>
      <c r="O404" s="525"/>
      <c r="P404" s="597"/>
      <c r="Q404" s="525"/>
      <c r="R404" s="525"/>
      <c r="S404" s="525"/>
      <c r="T404" s="525"/>
      <c r="U404" s="525"/>
      <c r="V404" s="525"/>
      <c r="W404" s="525"/>
      <c r="X404" s="525"/>
      <c r="Y404" s="525"/>
      <c r="Z404" s="525"/>
      <c r="AA404" s="525"/>
      <c r="AB404" s="525"/>
      <c r="AC404" s="525"/>
      <c r="AD404" s="525"/>
      <c r="AE404" s="525"/>
      <c r="AF404" s="525"/>
      <c r="AG404" s="525"/>
      <c r="AH404" s="525"/>
      <c r="AI404" s="525"/>
      <c r="AJ404" s="525"/>
      <c r="AK404" s="525"/>
      <c r="AL404" s="525"/>
    </row>
    <row r="405" spans="1:38" ht="45" customHeight="1">
      <c r="A405" s="77" t="s">
        <v>1917</v>
      </c>
      <c r="B405" s="668"/>
      <c r="C405" s="77" t="s">
        <v>3</v>
      </c>
      <c r="D405" s="77" t="s">
        <v>4</v>
      </c>
      <c r="E405" s="77" t="s">
        <v>1826</v>
      </c>
      <c r="F405" s="93" t="s">
        <v>3781</v>
      </c>
      <c r="G405" s="93" t="s">
        <v>3783</v>
      </c>
      <c r="H405" s="77" t="s">
        <v>367</v>
      </c>
      <c r="I405" s="26"/>
      <c r="M405" s="26"/>
      <c r="N405" s="26"/>
      <c r="O405" s="26"/>
      <c r="P405" s="595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5"/>
      <c r="AF405" s="25"/>
      <c r="AG405" s="25"/>
      <c r="AH405" s="25"/>
      <c r="AI405" s="25"/>
      <c r="AJ405" s="25"/>
      <c r="AK405" s="25"/>
      <c r="AL405" s="25"/>
    </row>
    <row r="406" spans="1:38" ht="15" customHeight="1">
      <c r="A406" s="734" t="s">
        <v>3878</v>
      </c>
      <c r="B406" s="735" t="s">
        <v>3879</v>
      </c>
      <c r="C406" s="736" t="s">
        <v>12</v>
      </c>
      <c r="D406" s="736" t="s">
        <v>26</v>
      </c>
      <c r="E406" s="737">
        <v>1.08</v>
      </c>
      <c r="F406" s="731">
        <v>41.39</v>
      </c>
      <c r="G406" s="691">
        <f t="shared" ref="G406:G410" si="126">ROUND(F406*E406,2)</f>
        <v>44.7</v>
      </c>
      <c r="H406" s="517"/>
      <c r="I406" s="517"/>
      <c r="M406" s="570"/>
      <c r="N406" s="158"/>
      <c r="O406" s="570"/>
      <c r="P406" s="593"/>
      <c r="Q406" s="570"/>
      <c r="R406" s="544"/>
      <c r="S406" s="544"/>
      <c r="T406" s="570"/>
      <c r="U406" s="570"/>
      <c r="V406" s="654"/>
      <c r="W406" s="717"/>
      <c r="X406" s="705"/>
      <c r="Y406" s="717"/>
      <c r="Z406" s="717"/>
      <c r="AA406" s="705"/>
      <c r="AB406" s="705"/>
      <c r="AC406" s="654"/>
      <c r="AD406" s="675"/>
      <c r="AE406" s="717"/>
      <c r="AF406" s="717"/>
      <c r="AG406" s="717"/>
      <c r="AH406" s="717"/>
      <c r="AI406" s="717"/>
      <c r="AJ406" s="717"/>
      <c r="AK406" s="717"/>
      <c r="AL406" s="717"/>
    </row>
    <row r="407" spans="1:38" ht="15" customHeight="1">
      <c r="A407" s="148" t="s">
        <v>3880</v>
      </c>
      <c r="B407" s="529" t="s">
        <v>3881</v>
      </c>
      <c r="C407" s="141" t="s">
        <v>12</v>
      </c>
      <c r="D407" s="141" t="s">
        <v>45</v>
      </c>
      <c r="E407" s="530">
        <v>6.14</v>
      </c>
      <c r="F407" s="26">
        <f t="shared" ref="F407:F408" si="127">AVERAGE(M407:AL407)</f>
        <v>0.68599999999999994</v>
      </c>
      <c r="G407" s="158">
        <f t="shared" si="126"/>
        <v>4.21</v>
      </c>
      <c r="H407" s="517"/>
      <c r="I407" s="517"/>
      <c r="M407" s="537">
        <v>0.874</v>
      </c>
      <c r="N407" s="158">
        <v>0.64400000000000002</v>
      </c>
      <c r="O407" s="537">
        <v>0.54</v>
      </c>
      <c r="P407" s="593"/>
      <c r="Q407" s="544"/>
      <c r="R407" s="544"/>
      <c r="S407" s="544"/>
      <c r="T407" s="570"/>
      <c r="U407" s="570"/>
      <c r="V407" s="654"/>
      <c r="W407" s="717"/>
      <c r="X407" s="705"/>
      <c r="Y407" s="717"/>
      <c r="Z407" s="717"/>
      <c r="AA407" s="705"/>
      <c r="AB407" s="705"/>
      <c r="AC407" s="654"/>
      <c r="AD407" s="675"/>
      <c r="AE407" s="717"/>
      <c r="AF407" s="717"/>
      <c r="AG407" s="717"/>
      <c r="AH407" s="717"/>
      <c r="AI407" s="717"/>
      <c r="AJ407" s="717"/>
      <c r="AK407" s="717"/>
      <c r="AL407" s="717"/>
    </row>
    <row r="408" spans="1:38" ht="15" customHeight="1">
      <c r="A408" s="148" t="s">
        <v>3882</v>
      </c>
      <c r="B408" s="529" t="s">
        <v>3883</v>
      </c>
      <c r="C408" s="141" t="s">
        <v>12</v>
      </c>
      <c r="D408" s="141" t="s">
        <v>45</v>
      </c>
      <c r="E408" s="530">
        <v>0.22</v>
      </c>
      <c r="F408" s="26">
        <f t="shared" si="127"/>
        <v>5.0503333333333336</v>
      </c>
      <c r="G408" s="158">
        <f t="shared" si="126"/>
        <v>1.1100000000000001</v>
      </c>
      <c r="H408" s="517"/>
      <c r="I408" s="517"/>
      <c r="M408" s="537">
        <v>7.09</v>
      </c>
      <c r="N408" s="158">
        <v>4.0910000000000002</v>
      </c>
      <c r="O408" s="537">
        <v>3.97</v>
      </c>
      <c r="P408" s="593"/>
      <c r="Q408" s="544"/>
      <c r="R408" s="544"/>
      <c r="S408" s="544"/>
      <c r="T408" s="570"/>
      <c r="U408" s="570"/>
      <c r="V408" s="654"/>
      <c r="W408" s="717"/>
      <c r="X408" s="705"/>
      <c r="Y408" s="717"/>
      <c r="Z408" s="717"/>
      <c r="AA408" s="705"/>
      <c r="AB408" s="705"/>
      <c r="AC408" s="654"/>
      <c r="AD408" s="675"/>
      <c r="AE408" s="717"/>
      <c r="AF408" s="717"/>
      <c r="AG408" s="717"/>
      <c r="AH408" s="717"/>
      <c r="AI408" s="717"/>
      <c r="AJ408" s="717"/>
      <c r="AK408" s="717"/>
      <c r="AL408" s="717"/>
    </row>
    <row r="409" spans="1:38" ht="15" customHeight="1">
      <c r="A409" s="513" t="s">
        <v>3884</v>
      </c>
      <c r="B409" s="634" t="s">
        <v>455</v>
      </c>
      <c r="C409" s="635" t="s">
        <v>12</v>
      </c>
      <c r="D409" s="635" t="s">
        <v>19</v>
      </c>
      <c r="E409" s="636">
        <v>0.66</v>
      </c>
      <c r="F409" s="505">
        <f>20.73*0.85*'PLANILHA ORÇA - CORREGEDORIA'!$BH$19</f>
        <v>19.629384389035405</v>
      </c>
      <c r="G409" s="561">
        <f t="shared" si="126"/>
        <v>12.96</v>
      </c>
      <c r="H409" s="517"/>
      <c r="I409" s="517"/>
      <c r="M409" s="537"/>
      <c r="N409" s="158"/>
      <c r="O409" s="537"/>
      <c r="P409" s="593"/>
      <c r="Q409" s="544"/>
      <c r="R409" s="544"/>
      <c r="S409" s="544"/>
      <c r="T409" s="570"/>
      <c r="U409" s="570"/>
      <c r="V409" s="654"/>
      <c r="W409" s="717"/>
      <c r="X409" s="705"/>
      <c r="Y409" s="717"/>
      <c r="Z409" s="717"/>
      <c r="AA409" s="705"/>
      <c r="AB409" s="705"/>
      <c r="AC409" s="654"/>
      <c r="AD409" s="675"/>
      <c r="AE409" s="717"/>
      <c r="AF409" s="717"/>
      <c r="AG409" s="717"/>
      <c r="AH409" s="717"/>
      <c r="AI409" s="717"/>
      <c r="AJ409" s="717"/>
      <c r="AK409" s="717"/>
      <c r="AL409" s="717"/>
    </row>
    <row r="410" spans="1:38" ht="15" customHeight="1">
      <c r="A410" s="513" t="s">
        <v>3816</v>
      </c>
      <c r="B410" s="634" t="s">
        <v>377</v>
      </c>
      <c r="C410" s="635" t="s">
        <v>12</v>
      </c>
      <c r="D410" s="635" t="s">
        <v>19</v>
      </c>
      <c r="E410" s="636">
        <v>0.36</v>
      </c>
      <c r="F410" s="505">
        <f>13.88*0.85*'PLANILHA ORÇA - CORREGEDORIA'!$BH$19</f>
        <v>13.143070685953276</v>
      </c>
      <c r="G410" s="561">
        <f t="shared" si="126"/>
        <v>4.7300000000000004</v>
      </c>
      <c r="H410" s="517"/>
      <c r="I410" s="527" t="e">
        <f>ROUND(SUM(#REF!),2)</f>
        <v>#REF!</v>
      </c>
      <c r="M410" s="570"/>
      <c r="N410" s="527"/>
      <c r="O410" s="528"/>
      <c r="P410" s="599"/>
      <c r="Q410" s="528"/>
      <c r="R410" s="528"/>
      <c r="S410" s="528"/>
      <c r="T410" s="528"/>
      <c r="U410" s="528"/>
      <c r="V410" s="528"/>
      <c r="W410" s="528"/>
      <c r="X410" s="528"/>
      <c r="Y410" s="528"/>
      <c r="Z410" s="528"/>
      <c r="AA410" s="528"/>
      <c r="AB410" s="528"/>
      <c r="AC410" s="528"/>
      <c r="AD410" s="528"/>
      <c r="AE410" s="528"/>
      <c r="AF410" s="528"/>
      <c r="AG410" s="528"/>
      <c r="AH410" s="528"/>
      <c r="AI410" s="528"/>
      <c r="AJ410" s="528"/>
      <c r="AK410" s="528"/>
      <c r="AL410" s="528"/>
    </row>
    <row r="411" spans="1:38" ht="27" customHeight="1">
      <c r="A411" s="967" t="s">
        <v>1894</v>
      </c>
      <c r="B411" s="968"/>
      <c r="C411" s="968"/>
      <c r="D411" s="968"/>
      <c r="E411" s="968"/>
      <c r="F411" s="969"/>
      <c r="G411" s="527">
        <f>ROUND(SUM(G406:G410),2)</f>
        <v>67.709999999999994</v>
      </c>
      <c r="H411" s="528"/>
      <c r="I411" s="54"/>
      <c r="M411" s="53"/>
      <c r="N411" s="54"/>
      <c r="O411" s="53"/>
      <c r="P411" s="592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</row>
    <row r="412" spans="1:38" ht="69" customHeight="1">
      <c r="A412" s="53"/>
      <c r="B412" s="53"/>
      <c r="C412" s="53"/>
      <c r="D412" s="53"/>
      <c r="E412" s="53"/>
      <c r="F412" s="53"/>
      <c r="G412" s="54"/>
      <c r="H412" s="53"/>
      <c r="I412" s="531">
        <v>87530</v>
      </c>
      <c r="M412" s="537"/>
      <c r="N412" s="537"/>
      <c r="O412" s="75"/>
      <c r="P412" s="589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</row>
    <row r="413" spans="1:38">
      <c r="A413" s="920" t="s">
        <v>1569</v>
      </c>
      <c r="B413" s="921"/>
      <c r="C413" s="921"/>
      <c r="D413" s="921"/>
      <c r="E413" s="929"/>
      <c r="F413" s="517"/>
      <c r="G413" s="517"/>
      <c r="H413" s="75" t="s">
        <v>12</v>
      </c>
      <c r="I413" s="77" t="s">
        <v>368</v>
      </c>
      <c r="M413" s="93"/>
      <c r="N413" s="93"/>
      <c r="O413" s="77"/>
      <c r="P413" s="590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</row>
    <row r="414" spans="1:38" ht="45" customHeight="1">
      <c r="A414" s="77" t="s">
        <v>1917</v>
      </c>
      <c r="B414" s="668"/>
      <c r="C414" s="77" t="s">
        <v>3</v>
      </c>
      <c r="D414" s="77" t="s">
        <v>4</v>
      </c>
      <c r="E414" s="77" t="s">
        <v>1826</v>
      </c>
      <c r="F414" s="93" t="s">
        <v>3781</v>
      </c>
      <c r="G414" s="93" t="s">
        <v>3783</v>
      </c>
      <c r="H414" s="77" t="s">
        <v>367</v>
      </c>
      <c r="I414" s="26"/>
      <c r="M414" s="26"/>
      <c r="N414" s="26"/>
      <c r="O414" s="26"/>
      <c r="P414" s="595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5"/>
      <c r="AF414" s="25"/>
      <c r="AG414" s="25"/>
      <c r="AH414" s="25"/>
      <c r="AI414" s="25"/>
      <c r="AJ414" s="25"/>
      <c r="AK414" s="25"/>
      <c r="AL414" s="25"/>
    </row>
    <row r="415" spans="1:38" s="34" customFormat="1" ht="75">
      <c r="A415" s="475" t="s">
        <v>4028</v>
      </c>
      <c r="B415" s="661" t="s">
        <v>3831</v>
      </c>
      <c r="C415" s="472" t="s">
        <v>12</v>
      </c>
      <c r="D415" s="472" t="s">
        <v>35</v>
      </c>
      <c r="E415" s="686">
        <v>3.7600000000000001E-2</v>
      </c>
      <c r="F415" s="473"/>
      <c r="G415" s="562">
        <f t="shared" ref="G415:G421" si="128">ROUND(F415*E415,2)</f>
        <v>0</v>
      </c>
      <c r="H415" s="659"/>
      <c r="I415" s="659"/>
      <c r="J415" s="378"/>
      <c r="L415" s="378"/>
      <c r="M415" s="660"/>
      <c r="N415" s="562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  <c r="AE415" s="659"/>
      <c r="AF415" s="659"/>
      <c r="AG415" s="659"/>
      <c r="AH415" s="659"/>
      <c r="AI415" s="659"/>
      <c r="AJ415" s="659"/>
      <c r="AK415" s="659"/>
      <c r="AL415" s="659"/>
    </row>
    <row r="416" spans="1:38" ht="30">
      <c r="A416" s="25" t="s">
        <v>3813</v>
      </c>
      <c r="B416" s="25" t="s">
        <v>396</v>
      </c>
      <c r="C416" s="25" t="s">
        <v>12</v>
      </c>
      <c r="D416" s="25" t="s">
        <v>35</v>
      </c>
      <c r="E416" s="218" t="s">
        <v>3967</v>
      </c>
      <c r="F416" s="26">
        <f t="shared" ref="F416" si="129">AVERAGE(M416:AL416)</f>
        <v>81.166666666666671</v>
      </c>
      <c r="G416" s="158">
        <f>ROUND(F416*E416*$E$415,2)</f>
        <v>3.48</v>
      </c>
      <c r="H416" s="77"/>
      <c r="I416" s="77"/>
      <c r="M416" s="93"/>
      <c r="N416" s="158"/>
      <c r="O416" s="77"/>
      <c r="P416" s="590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>
        <v>76</v>
      </c>
      <c r="AH416" s="77">
        <v>80</v>
      </c>
      <c r="AI416" s="77">
        <v>87.5</v>
      </c>
      <c r="AJ416" s="77"/>
      <c r="AK416" s="77"/>
      <c r="AL416" s="77"/>
    </row>
    <row r="417" spans="1:38">
      <c r="A417" s="729" t="s">
        <v>4024</v>
      </c>
      <c r="B417" s="729" t="s">
        <v>535</v>
      </c>
      <c r="C417" s="729" t="s">
        <v>12</v>
      </c>
      <c r="D417" s="729" t="s">
        <v>45</v>
      </c>
      <c r="E417" s="733" t="s">
        <v>4025</v>
      </c>
      <c r="F417" s="731">
        <v>0.91</v>
      </c>
      <c r="G417" s="691">
        <f>ROUND(F417*E417*$E$415,2)</f>
        <v>5.86</v>
      </c>
      <c r="H417" s="77"/>
      <c r="I417" s="77"/>
      <c r="M417" s="93"/>
      <c r="N417" s="158"/>
      <c r="O417" s="77"/>
      <c r="P417" s="590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</row>
    <row r="418" spans="1:38">
      <c r="A418" s="25" t="s">
        <v>3814</v>
      </c>
      <c r="B418" s="25" t="s">
        <v>397</v>
      </c>
      <c r="C418" s="25" t="s">
        <v>12</v>
      </c>
      <c r="D418" s="25" t="s">
        <v>45</v>
      </c>
      <c r="E418" s="218" t="s">
        <v>4026</v>
      </c>
      <c r="F418" s="26">
        <f t="shared" ref="F418" si="130">AVERAGE(M418:AL418)</f>
        <v>0.96633333333333338</v>
      </c>
      <c r="G418" s="158">
        <f>ROUND(F418*E418*$E$415,2)</f>
        <v>7</v>
      </c>
      <c r="H418" s="77"/>
      <c r="I418" s="77"/>
      <c r="M418" s="93">
        <v>0.98</v>
      </c>
      <c r="N418" s="158">
        <v>0.94</v>
      </c>
      <c r="O418" s="77"/>
      <c r="P418" s="590">
        <v>0.97899999999999998</v>
      </c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</row>
    <row r="419" spans="1:38" s="283" customFormat="1">
      <c r="A419" s="504" t="s">
        <v>3816</v>
      </c>
      <c r="B419" s="504" t="s">
        <v>377</v>
      </c>
      <c r="C419" s="504" t="s">
        <v>12</v>
      </c>
      <c r="D419" s="504" t="s">
        <v>19</v>
      </c>
      <c r="E419" s="632" t="s">
        <v>4027</v>
      </c>
      <c r="F419" s="505">
        <f>13.88*0.85*'PLANILHA ORÇA - CORREGEDORIA'!$BH$19</f>
        <v>13.143070685953276</v>
      </c>
      <c r="G419" s="561">
        <f>ROUND(F419*E419*$E$415,2)</f>
        <v>5.49</v>
      </c>
      <c r="H419" s="77"/>
      <c r="I419" s="77"/>
      <c r="J419" s="365"/>
      <c r="L419" s="363"/>
      <c r="M419" s="700"/>
      <c r="N419" s="691"/>
      <c r="O419" s="699"/>
      <c r="P419" s="699"/>
      <c r="Q419" s="699"/>
      <c r="R419" s="699"/>
      <c r="S419" s="699"/>
      <c r="T419" s="699"/>
      <c r="U419" s="699"/>
      <c r="V419" s="699"/>
      <c r="W419" s="699"/>
      <c r="X419" s="699"/>
      <c r="Y419" s="699"/>
      <c r="Z419" s="699"/>
      <c r="AA419" s="699"/>
      <c r="AB419" s="699"/>
      <c r="AC419" s="699"/>
      <c r="AD419" s="699"/>
      <c r="AE419" s="699"/>
      <c r="AF419" s="699"/>
      <c r="AG419" s="699"/>
      <c r="AH419" s="699"/>
      <c r="AI419" s="699"/>
      <c r="AJ419" s="699"/>
      <c r="AK419" s="699"/>
      <c r="AL419" s="699"/>
    </row>
    <row r="420" spans="1:38">
      <c r="A420" s="503" t="s">
        <v>3827</v>
      </c>
      <c r="B420" s="628" t="s">
        <v>390</v>
      </c>
      <c r="C420" s="504" t="s">
        <v>12</v>
      </c>
      <c r="D420" s="504" t="s">
        <v>19</v>
      </c>
      <c r="E420" s="632">
        <v>0.47</v>
      </c>
      <c r="F420" s="505">
        <f>17.79*0.85*'PLANILHA ORÇA - CORREGEDORIA'!$BH$19</f>
        <v>16.845477485814751</v>
      </c>
      <c r="G420" s="561">
        <f t="shared" si="128"/>
        <v>7.92</v>
      </c>
      <c r="H420" s="77"/>
      <c r="I420" s="77"/>
      <c r="M420" s="93"/>
      <c r="N420" s="158"/>
      <c r="O420" s="77"/>
      <c r="P420" s="590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</row>
    <row r="421" spans="1:38" ht="15" customHeight="1">
      <c r="A421" s="503" t="s">
        <v>3816</v>
      </c>
      <c r="B421" s="628" t="s">
        <v>377</v>
      </c>
      <c r="C421" s="504" t="s">
        <v>12</v>
      </c>
      <c r="D421" s="504" t="s">
        <v>19</v>
      </c>
      <c r="E421" s="632">
        <v>0.17100000000000001</v>
      </c>
      <c r="F421" s="505">
        <f>13.88*0.85*'PLANILHA ORÇA - CORREGEDORIA'!$BH$19</f>
        <v>13.143070685953276</v>
      </c>
      <c r="G421" s="561">
        <f t="shared" si="128"/>
        <v>2.25</v>
      </c>
      <c r="H421" s="77"/>
      <c r="I421" s="79" t="e">
        <f>ROUND(SUM(#REF!),2)</f>
        <v>#REF!</v>
      </c>
      <c r="M421" s="93"/>
      <c r="N421" s="79"/>
      <c r="O421" s="535"/>
      <c r="P421" s="594"/>
      <c r="Q421" s="543"/>
      <c r="R421" s="543"/>
      <c r="S421" s="543"/>
      <c r="T421" s="569"/>
      <c r="U421" s="569"/>
      <c r="V421" s="653"/>
      <c r="W421" s="713"/>
      <c r="X421" s="704"/>
      <c r="Y421" s="713"/>
      <c r="Z421" s="713"/>
      <c r="AA421" s="704"/>
      <c r="AB421" s="704"/>
      <c r="AC421" s="653"/>
      <c r="AD421" s="674"/>
      <c r="AE421" s="713"/>
      <c r="AF421" s="713"/>
      <c r="AG421" s="713"/>
      <c r="AH421" s="713"/>
      <c r="AI421" s="713"/>
      <c r="AJ421" s="713"/>
      <c r="AK421" s="713"/>
      <c r="AL421" s="713"/>
    </row>
    <row r="422" spans="1:38" ht="29.25" customHeight="1">
      <c r="A422" s="917" t="s">
        <v>1894</v>
      </c>
      <c r="B422" s="918"/>
      <c r="C422" s="918"/>
      <c r="D422" s="918"/>
      <c r="E422" s="918"/>
      <c r="F422" s="926"/>
      <c r="G422" s="79">
        <f>ROUND(SUM(G415:G421),2)</f>
        <v>32</v>
      </c>
      <c r="H422" s="518"/>
      <c r="I422" s="54"/>
      <c r="M422" s="53"/>
      <c r="N422" s="54"/>
      <c r="O422" s="53"/>
      <c r="P422" s="592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</row>
    <row r="423" spans="1:38" ht="49.5" customHeight="1">
      <c r="A423" s="53"/>
      <c r="B423" s="53"/>
      <c r="C423" s="53"/>
      <c r="D423" s="53"/>
      <c r="E423" s="53"/>
      <c r="F423" s="53"/>
      <c r="G423" s="54"/>
      <c r="H423" s="53"/>
      <c r="I423" s="531">
        <v>87622</v>
      </c>
      <c r="M423" s="537"/>
      <c r="N423" s="537"/>
      <c r="O423" s="75"/>
      <c r="P423" s="589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</row>
    <row r="424" spans="1:38">
      <c r="A424" s="920" t="s">
        <v>109</v>
      </c>
      <c r="B424" s="921"/>
      <c r="C424" s="921"/>
      <c r="D424" s="921"/>
      <c r="E424" s="929"/>
      <c r="F424" s="517"/>
      <c r="G424" s="517"/>
      <c r="H424" s="75" t="s">
        <v>12</v>
      </c>
      <c r="I424" s="77" t="s">
        <v>368</v>
      </c>
      <c r="M424" s="93"/>
      <c r="N424" s="93"/>
      <c r="O424" s="77"/>
      <c r="P424" s="590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</row>
    <row r="425" spans="1:38" ht="45" customHeight="1">
      <c r="A425" s="77" t="s">
        <v>1917</v>
      </c>
      <c r="B425" s="668"/>
      <c r="C425" s="77" t="s">
        <v>3</v>
      </c>
      <c r="D425" s="77" t="s">
        <v>4</v>
      </c>
      <c r="E425" s="77" t="s">
        <v>1826</v>
      </c>
      <c r="F425" s="93" t="s">
        <v>3781</v>
      </c>
      <c r="G425" s="93" t="s">
        <v>3783</v>
      </c>
      <c r="H425" s="77" t="s">
        <v>367</v>
      </c>
      <c r="I425" s="26"/>
      <c r="M425" s="26"/>
      <c r="N425" s="26"/>
      <c r="O425" s="26"/>
      <c r="P425" s="595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5"/>
      <c r="AF425" s="25"/>
      <c r="AG425" s="25"/>
      <c r="AH425" s="25"/>
      <c r="AI425" s="25"/>
      <c r="AJ425" s="25"/>
      <c r="AK425" s="25"/>
      <c r="AL425" s="25"/>
    </row>
    <row r="426" spans="1:38" ht="15" customHeight="1">
      <c r="A426" s="24" t="s">
        <v>3814</v>
      </c>
      <c r="B426" s="78" t="s">
        <v>397</v>
      </c>
      <c r="C426" s="25" t="s">
        <v>12</v>
      </c>
      <c r="D426" s="25" t="s">
        <v>45</v>
      </c>
      <c r="E426" s="218">
        <v>0.5</v>
      </c>
      <c r="F426" s="26">
        <f t="shared" ref="F426:F427" si="131">AVERAGE(M426:AL426)</f>
        <v>0.96633333333333338</v>
      </c>
      <c r="G426" s="158">
        <f t="shared" ref="G426:G433" si="132">ROUND(F426*E426,2)</f>
        <v>0.48</v>
      </c>
      <c r="H426" s="77"/>
      <c r="I426" s="77"/>
      <c r="M426" s="93">
        <v>0.98</v>
      </c>
      <c r="N426" s="158">
        <v>0.94</v>
      </c>
      <c r="O426" s="77"/>
      <c r="P426" s="590">
        <v>0.97899999999999998</v>
      </c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</row>
    <row r="427" spans="1:38" ht="15" customHeight="1">
      <c r="A427" s="24" t="s">
        <v>3885</v>
      </c>
      <c r="B427" s="78" t="s">
        <v>448</v>
      </c>
      <c r="C427" s="25" t="s">
        <v>12</v>
      </c>
      <c r="D427" s="25" t="s">
        <v>381</v>
      </c>
      <c r="E427" s="218">
        <v>0.435</v>
      </c>
      <c r="F427" s="26">
        <f t="shared" si="131"/>
        <v>15.096500000000001</v>
      </c>
      <c r="G427" s="158">
        <f t="shared" si="132"/>
        <v>6.57</v>
      </c>
      <c r="H427" s="77"/>
      <c r="I427" s="77"/>
      <c r="M427" s="93"/>
      <c r="N427" s="158"/>
      <c r="O427" s="77">
        <v>18.21</v>
      </c>
      <c r="P427" s="590">
        <v>11.983000000000001</v>
      </c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</row>
    <row r="428" spans="1:38" s="34" customFormat="1" ht="15" customHeight="1">
      <c r="A428" s="475" t="s">
        <v>4043</v>
      </c>
      <c r="B428" s="661" t="s">
        <v>3886</v>
      </c>
      <c r="C428" s="472" t="s">
        <v>12</v>
      </c>
      <c r="D428" s="472" t="s">
        <v>35</v>
      </c>
      <c r="E428" s="686">
        <v>3.1E-2</v>
      </c>
      <c r="F428" s="473"/>
      <c r="G428" s="562">
        <f t="shared" si="132"/>
        <v>0</v>
      </c>
      <c r="H428" s="659"/>
      <c r="I428" s="659"/>
      <c r="J428" s="378"/>
      <c r="L428" s="378"/>
      <c r="M428" s="660"/>
      <c r="N428" s="562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  <c r="AE428" s="659"/>
      <c r="AF428" s="659"/>
      <c r="AG428" s="659"/>
      <c r="AH428" s="659"/>
      <c r="AI428" s="659"/>
      <c r="AJ428" s="659"/>
      <c r="AK428" s="659"/>
      <c r="AL428" s="659"/>
    </row>
    <row r="429" spans="1:38" ht="15" customHeight="1">
      <c r="A429" s="25" t="s">
        <v>3813</v>
      </c>
      <c r="B429" s="25" t="s">
        <v>396</v>
      </c>
      <c r="C429" s="25" t="s">
        <v>12</v>
      </c>
      <c r="D429" s="25" t="s">
        <v>35</v>
      </c>
      <c r="E429" s="218" t="s">
        <v>4040</v>
      </c>
      <c r="F429" s="26">
        <f t="shared" ref="F429:F430" si="133">AVERAGE(M429:AL429)</f>
        <v>81.166666666666671</v>
      </c>
      <c r="G429" s="158">
        <f>ROUND(F429*E429*$E$428,2)</f>
        <v>3.4</v>
      </c>
      <c r="H429" s="77"/>
      <c r="I429" s="77"/>
      <c r="M429" s="93"/>
      <c r="N429" s="158"/>
      <c r="O429" s="77"/>
      <c r="P429" s="590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>
        <v>76</v>
      </c>
      <c r="AH429" s="77">
        <v>80</v>
      </c>
      <c r="AI429" s="77">
        <v>87.5</v>
      </c>
      <c r="AJ429" s="77"/>
      <c r="AK429" s="77"/>
      <c r="AL429" s="77"/>
    </row>
    <row r="430" spans="1:38" ht="15" customHeight="1">
      <c r="A430" s="25" t="s">
        <v>3814</v>
      </c>
      <c r="B430" s="25" t="s">
        <v>397</v>
      </c>
      <c r="C430" s="25" t="s">
        <v>12</v>
      </c>
      <c r="D430" s="25" t="s">
        <v>45</v>
      </c>
      <c r="E430" s="218" t="s">
        <v>4041</v>
      </c>
      <c r="F430" s="26">
        <f t="shared" si="133"/>
        <v>0.96633333333333338</v>
      </c>
      <c r="G430" s="158">
        <f>ROUND(F430*E430*$E$428,2)</f>
        <v>13.62</v>
      </c>
      <c r="H430" s="77"/>
      <c r="I430" s="77"/>
      <c r="M430" s="93">
        <v>0.98</v>
      </c>
      <c r="N430" s="158">
        <v>0.94</v>
      </c>
      <c r="O430" s="77"/>
      <c r="P430" s="590">
        <v>0.97899999999999998</v>
      </c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</row>
    <row r="431" spans="1:38" s="283" customFormat="1" ht="15" customHeight="1">
      <c r="A431" s="504" t="s">
        <v>3816</v>
      </c>
      <c r="B431" s="504" t="s">
        <v>377</v>
      </c>
      <c r="C431" s="504" t="s">
        <v>12</v>
      </c>
      <c r="D431" s="504" t="s">
        <v>19</v>
      </c>
      <c r="E431" s="632" t="s">
        <v>4042</v>
      </c>
      <c r="F431" s="505">
        <f>13.88*0.85*'PLANILHA ORÇA - CORREGEDORIA'!$BH$19</f>
        <v>13.143070685953276</v>
      </c>
      <c r="G431" s="561">
        <f>ROUND(F431*E431*$E$428,2)</f>
        <v>4.49</v>
      </c>
      <c r="H431" s="77"/>
      <c r="I431" s="77"/>
      <c r="J431" s="365"/>
      <c r="L431" s="363"/>
      <c r="M431" s="700"/>
      <c r="N431" s="691"/>
      <c r="O431" s="699"/>
      <c r="P431" s="699"/>
      <c r="Q431" s="699"/>
      <c r="R431" s="699"/>
      <c r="S431" s="699"/>
      <c r="T431" s="699"/>
      <c r="U431" s="699"/>
      <c r="V431" s="699"/>
      <c r="W431" s="699"/>
      <c r="X431" s="699"/>
      <c r="Y431" s="699"/>
      <c r="Z431" s="699"/>
      <c r="AA431" s="699"/>
      <c r="AB431" s="699"/>
      <c r="AC431" s="699"/>
      <c r="AD431" s="699"/>
      <c r="AE431" s="699"/>
      <c r="AF431" s="699"/>
      <c r="AG431" s="699"/>
      <c r="AH431" s="699"/>
      <c r="AI431" s="699"/>
      <c r="AJ431" s="699"/>
      <c r="AK431" s="699"/>
      <c r="AL431" s="699"/>
    </row>
    <row r="432" spans="1:38" ht="15" customHeight="1">
      <c r="A432" s="503" t="s">
        <v>3827</v>
      </c>
      <c r="B432" s="628" t="s">
        <v>390</v>
      </c>
      <c r="C432" s="504" t="s">
        <v>12</v>
      </c>
      <c r="D432" s="504" t="s">
        <v>19</v>
      </c>
      <c r="E432" s="632">
        <v>0.28999999999999998</v>
      </c>
      <c r="F432" s="505">
        <f>17.79*0.85*'PLANILHA ORÇA - CORREGEDORIA'!$BH$19</f>
        <v>16.845477485814751</v>
      </c>
      <c r="G432" s="561">
        <f t="shared" si="132"/>
        <v>4.8899999999999997</v>
      </c>
      <c r="H432" s="77"/>
      <c r="I432" s="77"/>
      <c r="M432" s="93"/>
      <c r="N432" s="158"/>
      <c r="O432" s="77"/>
      <c r="P432" s="590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</row>
    <row r="433" spans="1:38" ht="15" customHeight="1">
      <c r="A433" s="503" t="s">
        <v>3816</v>
      </c>
      <c r="B433" s="628" t="s">
        <v>377</v>
      </c>
      <c r="C433" s="504" t="s">
        <v>12</v>
      </c>
      <c r="D433" s="504" t="s">
        <v>19</v>
      </c>
      <c r="E433" s="632">
        <v>0.14499999999999999</v>
      </c>
      <c r="F433" s="505">
        <f>13.88*0.85*'PLANILHA ORÇA - CORREGEDORIA'!$BH$19</f>
        <v>13.143070685953276</v>
      </c>
      <c r="G433" s="561">
        <f t="shared" si="132"/>
        <v>1.91</v>
      </c>
      <c r="H433" s="77"/>
      <c r="I433" s="79"/>
      <c r="M433" s="93"/>
      <c r="N433" s="79"/>
      <c r="O433" s="535"/>
      <c r="P433" s="594"/>
      <c r="Q433" s="543"/>
      <c r="R433" s="543"/>
      <c r="S433" s="543"/>
      <c r="T433" s="569"/>
      <c r="U433" s="569"/>
      <c r="V433" s="653"/>
      <c r="W433" s="713"/>
      <c r="X433" s="704"/>
      <c r="Y433" s="713"/>
      <c r="Z433" s="713"/>
      <c r="AA433" s="704"/>
      <c r="AB433" s="704"/>
      <c r="AC433" s="653"/>
      <c r="AD433" s="674"/>
      <c r="AE433" s="713"/>
      <c r="AF433" s="713"/>
      <c r="AG433" s="713"/>
      <c r="AH433" s="713"/>
      <c r="AI433" s="713"/>
      <c r="AJ433" s="713"/>
      <c r="AK433" s="713"/>
      <c r="AL433" s="713"/>
    </row>
    <row r="434" spans="1:38" ht="25.5" customHeight="1">
      <c r="A434" s="917" t="s">
        <v>1894</v>
      </c>
      <c r="B434" s="918"/>
      <c r="C434" s="918"/>
      <c r="D434" s="918"/>
      <c r="E434" s="918"/>
      <c r="F434" s="926"/>
      <c r="G434" s="79">
        <f>ROUND(SUM(G426:G433),2)</f>
        <v>35.36</v>
      </c>
      <c r="H434" s="518"/>
      <c r="I434" s="54"/>
      <c r="M434" s="53"/>
      <c r="N434" s="54"/>
      <c r="O434" s="53"/>
      <c r="P434" s="592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</row>
    <row r="435" spans="1:38" ht="35.25" customHeight="1">
      <c r="A435" s="53"/>
      <c r="B435" s="53"/>
      <c r="C435" s="53"/>
      <c r="D435" s="53"/>
      <c r="E435" s="53"/>
      <c r="F435" s="53"/>
      <c r="G435" s="54"/>
      <c r="H435" s="53"/>
      <c r="I435" s="531">
        <v>87263</v>
      </c>
      <c r="M435" s="537"/>
      <c r="N435" s="537"/>
      <c r="O435" s="75"/>
      <c r="P435" s="589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</row>
    <row r="436" spans="1:38">
      <c r="A436" s="920" t="s">
        <v>2639</v>
      </c>
      <c r="B436" s="921"/>
      <c r="C436" s="921"/>
      <c r="D436" s="921"/>
      <c r="E436" s="929"/>
      <c r="F436" s="517"/>
      <c r="G436" s="517"/>
      <c r="H436" s="75" t="s">
        <v>12</v>
      </c>
      <c r="I436" s="77" t="s">
        <v>368</v>
      </c>
      <c r="M436" s="93"/>
      <c r="N436" s="93"/>
      <c r="O436" s="77"/>
      <c r="P436" s="590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</row>
    <row r="437" spans="1:38" ht="45" customHeight="1">
      <c r="A437" s="77" t="s">
        <v>1917</v>
      </c>
      <c r="B437" s="668"/>
      <c r="C437" s="77" t="s">
        <v>3</v>
      </c>
      <c r="D437" s="77" t="s">
        <v>4</v>
      </c>
      <c r="E437" s="77" t="s">
        <v>1826</v>
      </c>
      <c r="F437" s="93" t="s">
        <v>3781</v>
      </c>
      <c r="G437" s="93" t="s">
        <v>3783</v>
      </c>
      <c r="H437" s="77" t="s">
        <v>367</v>
      </c>
      <c r="I437" s="26"/>
      <c r="M437" s="26"/>
      <c r="N437" s="26"/>
      <c r="O437" s="26"/>
      <c r="P437" s="595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5"/>
      <c r="AF437" s="25"/>
      <c r="AG437" s="25"/>
      <c r="AH437" s="25"/>
      <c r="AI437" s="25"/>
      <c r="AJ437" s="25"/>
      <c r="AK437" s="25"/>
      <c r="AL437" s="25"/>
    </row>
    <row r="438" spans="1:38" ht="15" customHeight="1">
      <c r="A438" s="24" t="s">
        <v>3882</v>
      </c>
      <c r="B438" s="78" t="s">
        <v>3883</v>
      </c>
      <c r="C438" s="25" t="s">
        <v>12</v>
      </c>
      <c r="D438" s="25" t="s">
        <v>45</v>
      </c>
      <c r="E438" s="218">
        <v>0.14000000000000001</v>
      </c>
      <c r="F438" s="26">
        <f t="shared" ref="F438:F440" si="134">AVERAGE(M438:AL438)</f>
        <v>5.3226666666666675</v>
      </c>
      <c r="G438" s="158">
        <f>ROUND(F438*E438,2)</f>
        <v>0.75</v>
      </c>
      <c r="H438" s="77"/>
      <c r="I438" s="77"/>
      <c r="M438" s="93">
        <v>7.9279999999999999</v>
      </c>
      <c r="N438" s="158">
        <v>4.07</v>
      </c>
      <c r="O438" s="77">
        <v>3.97</v>
      </c>
      <c r="P438" s="590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</row>
    <row r="439" spans="1:38" ht="15" customHeight="1">
      <c r="A439" s="24" t="s">
        <v>3887</v>
      </c>
      <c r="B439" s="78" t="s">
        <v>3888</v>
      </c>
      <c r="C439" s="25" t="s">
        <v>12</v>
      </c>
      <c r="D439" s="25" t="s">
        <v>45</v>
      </c>
      <c r="E439" s="218">
        <v>8.6199999999999992</v>
      </c>
      <c r="F439" s="26">
        <f t="shared" si="134"/>
        <v>1.5137500000000002</v>
      </c>
      <c r="G439" s="158">
        <f t="shared" ref="G439:G442" si="135">ROUND(F439*E439,2)</f>
        <v>13.05</v>
      </c>
      <c r="H439" s="77"/>
      <c r="I439" s="77"/>
      <c r="M439" s="93">
        <v>1.35</v>
      </c>
      <c r="N439" s="158">
        <v>1.5549999999999999</v>
      </c>
      <c r="O439" s="77">
        <v>1.37</v>
      </c>
      <c r="P439" s="590">
        <v>1.78</v>
      </c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</row>
    <row r="440" spans="1:38" ht="15" customHeight="1">
      <c r="A440" s="24" t="s">
        <v>3889</v>
      </c>
      <c r="B440" s="78" t="s">
        <v>3890</v>
      </c>
      <c r="C440" s="25" t="s">
        <v>12</v>
      </c>
      <c r="D440" s="25" t="s">
        <v>26</v>
      </c>
      <c r="E440" s="218">
        <v>1.07</v>
      </c>
      <c r="F440" s="26">
        <f t="shared" si="134"/>
        <v>132.22499999999999</v>
      </c>
      <c r="G440" s="158">
        <f t="shared" si="135"/>
        <v>141.47999999999999</v>
      </c>
      <c r="H440" s="77"/>
      <c r="I440" s="77"/>
      <c r="M440" s="93">
        <v>132.22499999999999</v>
      </c>
      <c r="N440" s="158"/>
      <c r="O440" s="77"/>
      <c r="P440" s="590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</row>
    <row r="441" spans="1:38" ht="15" customHeight="1">
      <c r="A441" s="503" t="s">
        <v>3884</v>
      </c>
      <c r="B441" s="628" t="s">
        <v>455</v>
      </c>
      <c r="C441" s="504" t="s">
        <v>12</v>
      </c>
      <c r="D441" s="504" t="s">
        <v>19</v>
      </c>
      <c r="E441" s="632">
        <v>0.44</v>
      </c>
      <c r="F441" s="505">
        <f>20.73*0.85*'PLANILHA ORÇA - CORREGEDORIA'!$BH$19</f>
        <v>19.629384389035405</v>
      </c>
      <c r="G441" s="561">
        <f t="shared" si="135"/>
        <v>8.64</v>
      </c>
      <c r="H441" s="77"/>
      <c r="I441" s="77"/>
      <c r="M441" s="93"/>
      <c r="N441" s="158"/>
      <c r="O441" s="77"/>
      <c r="P441" s="590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</row>
    <row r="442" spans="1:38" ht="15" customHeight="1">
      <c r="A442" s="503" t="s">
        <v>3816</v>
      </c>
      <c r="B442" s="628" t="s">
        <v>377</v>
      </c>
      <c r="C442" s="504" t="s">
        <v>12</v>
      </c>
      <c r="D442" s="504" t="s">
        <v>19</v>
      </c>
      <c r="E442" s="632">
        <v>0.2</v>
      </c>
      <c r="F442" s="505">
        <f>13.88*0.85*'PLANILHA ORÇA - CORREGEDORIA'!$BH$19</f>
        <v>13.143070685953276</v>
      </c>
      <c r="G442" s="561">
        <f t="shared" si="135"/>
        <v>2.63</v>
      </c>
      <c r="H442" s="77"/>
      <c r="I442" s="79"/>
      <c r="M442" s="375"/>
      <c r="N442" s="79"/>
      <c r="O442" s="535"/>
      <c r="P442" s="594"/>
      <c r="Q442" s="543"/>
      <c r="R442" s="543"/>
      <c r="S442" s="543"/>
      <c r="T442" s="569"/>
      <c r="U442" s="569"/>
      <c r="V442" s="653"/>
      <c r="W442" s="713"/>
      <c r="X442" s="704"/>
      <c r="Y442" s="713"/>
      <c r="Z442" s="713"/>
      <c r="AA442" s="704"/>
      <c r="AB442" s="704"/>
      <c r="AC442" s="653"/>
      <c r="AD442" s="674"/>
      <c r="AE442" s="713"/>
      <c r="AF442" s="713"/>
      <c r="AG442" s="713"/>
      <c r="AH442" s="713"/>
      <c r="AI442" s="713"/>
      <c r="AJ442" s="713"/>
      <c r="AK442" s="713"/>
      <c r="AL442" s="713"/>
    </row>
    <row r="443" spans="1:38" ht="28.5" customHeight="1">
      <c r="A443" s="917" t="s">
        <v>1894</v>
      </c>
      <c r="B443" s="918"/>
      <c r="C443" s="918"/>
      <c r="D443" s="918"/>
      <c r="E443" s="918"/>
      <c r="F443" s="926"/>
      <c r="G443" s="79">
        <f>ROUND(SUM(G438:G442),2)</f>
        <v>166.55</v>
      </c>
      <c r="H443" s="518"/>
      <c r="I443" s="54"/>
      <c r="M443" s="53"/>
      <c r="N443" s="54"/>
      <c r="O443" s="53"/>
      <c r="P443" s="592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</row>
    <row r="444" spans="1:38" s="28" customFormat="1" ht="32.25" customHeight="1">
      <c r="A444" s="53"/>
      <c r="B444" s="53"/>
      <c r="C444" s="53"/>
      <c r="D444" s="53"/>
      <c r="E444" s="53"/>
      <c r="F444" s="53"/>
      <c r="G444" s="54"/>
      <c r="H444" s="53"/>
      <c r="I444" s="82">
        <v>11347</v>
      </c>
      <c r="J444" s="374"/>
      <c r="L444" s="374"/>
      <c r="M444" s="537"/>
      <c r="N444" s="537"/>
      <c r="O444" s="75"/>
      <c r="P444" s="589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</row>
    <row r="445" spans="1:38">
      <c r="A445" s="920" t="s">
        <v>3417</v>
      </c>
      <c r="B445" s="921"/>
      <c r="C445" s="921"/>
      <c r="D445" s="921"/>
      <c r="E445" s="929"/>
      <c r="F445" s="484"/>
      <c r="G445" s="484"/>
      <c r="H445" s="75" t="s">
        <v>44</v>
      </c>
      <c r="I445" s="77" t="s">
        <v>368</v>
      </c>
      <c r="M445" s="93"/>
      <c r="N445" s="93"/>
      <c r="O445" s="77"/>
      <c r="P445" s="590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</row>
    <row r="446" spans="1:38" ht="45" customHeight="1">
      <c r="A446" s="77" t="s">
        <v>1917</v>
      </c>
      <c r="B446" s="668"/>
      <c r="C446" s="77" t="s">
        <v>3</v>
      </c>
      <c r="D446" s="77" t="s">
        <v>4</v>
      </c>
      <c r="E446" s="77" t="s">
        <v>1826</v>
      </c>
      <c r="F446" s="93" t="s">
        <v>3781</v>
      </c>
      <c r="G446" s="93" t="s">
        <v>3783</v>
      </c>
      <c r="H446" s="77" t="s">
        <v>367</v>
      </c>
      <c r="I446" s="26">
        <f>ROUND(H447*E447,2)</f>
        <v>1062.5</v>
      </c>
      <c r="J446" s="375">
        <v>1062.5</v>
      </c>
      <c r="K446" s="2" t="e">
        <f>IF(A447&lt;&gt;0,VLOOKUP(A447,#REF!,2,FALSE),"")</f>
        <v>#REF!</v>
      </c>
      <c r="M446" s="26"/>
      <c r="N446" s="26"/>
      <c r="O446" s="26"/>
      <c r="P446" s="595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5"/>
      <c r="AF446" s="25"/>
      <c r="AG446" s="25"/>
      <c r="AH446" s="25"/>
      <c r="AI446" s="25"/>
      <c r="AJ446" s="25"/>
      <c r="AK446" s="25"/>
      <c r="AL446" s="25"/>
    </row>
    <row r="447" spans="1:38" ht="15" customHeight="1">
      <c r="A447" s="24">
        <v>12207</v>
      </c>
      <c r="B447" s="78" t="s">
        <v>3082</v>
      </c>
      <c r="C447" s="25" t="s">
        <v>44</v>
      </c>
      <c r="D447" s="25" t="s">
        <v>26</v>
      </c>
      <c r="E447" s="26">
        <v>1</v>
      </c>
      <c r="F447" s="26">
        <v>2222.9203424586531</v>
      </c>
      <c r="G447" s="158">
        <f t="shared" ref="G447" si="136">ROUND(F447*E447,2)</f>
        <v>2222.92</v>
      </c>
      <c r="H447" s="26">
        <f t="shared" ref="H447" si="137">J446</f>
        <v>1062.5</v>
      </c>
      <c r="I447" s="79">
        <f>ROUND(SUM(I446:I446),2)</f>
        <v>1062.5</v>
      </c>
      <c r="M447" s="26"/>
      <c r="N447" s="79"/>
      <c r="O447" s="497"/>
      <c r="P447" s="601"/>
      <c r="Q447" s="497"/>
      <c r="R447" s="497"/>
      <c r="S447" s="497"/>
      <c r="T447" s="497"/>
      <c r="U447" s="497"/>
      <c r="V447" s="497"/>
      <c r="W447" s="497"/>
      <c r="X447" s="497"/>
      <c r="Y447" s="497"/>
      <c r="Z447" s="497"/>
      <c r="AA447" s="497"/>
      <c r="AB447" s="497"/>
      <c r="AC447" s="497"/>
      <c r="AD447" s="497"/>
      <c r="AE447" s="710"/>
      <c r="AF447" s="710"/>
      <c r="AG447" s="710"/>
      <c r="AH447" s="710"/>
      <c r="AI447" s="710"/>
      <c r="AJ447" s="710"/>
      <c r="AK447" s="710"/>
      <c r="AL447" s="710"/>
    </row>
    <row r="448" spans="1:38">
      <c r="A448" s="917" t="s">
        <v>1894</v>
      </c>
      <c r="B448" s="918"/>
      <c r="C448" s="918"/>
      <c r="D448" s="918"/>
      <c r="E448" s="918"/>
      <c r="F448" s="926"/>
      <c r="G448" s="79">
        <f>ROUND(SUM(G447:G447),2)</f>
        <v>2222.92</v>
      </c>
      <c r="H448" s="497"/>
      <c r="I448" s="80"/>
      <c r="M448" s="104"/>
      <c r="N448" s="104"/>
      <c r="O448" s="80"/>
      <c r="P448" s="426"/>
      <c r="Q448" s="80"/>
      <c r="R448" s="80"/>
      <c r="S448" s="80"/>
      <c r="T448" s="80"/>
      <c r="U448" s="80"/>
      <c r="V448" s="80"/>
      <c r="W448" s="104"/>
      <c r="X448" s="104"/>
      <c r="Y448" s="104"/>
      <c r="Z448" s="104"/>
      <c r="AA448" s="104"/>
      <c r="AB448" s="104"/>
      <c r="AC448" s="80"/>
      <c r="AD448" s="80"/>
      <c r="AE448" s="697"/>
      <c r="AF448" s="697"/>
      <c r="AG448" s="697"/>
      <c r="AH448" s="697"/>
      <c r="AI448" s="697"/>
      <c r="AJ448" s="697"/>
      <c r="AK448" s="697"/>
      <c r="AL448" s="697"/>
    </row>
    <row r="449" spans="1:38" ht="50.25" customHeight="1">
      <c r="A449" s="697"/>
      <c r="B449" s="80"/>
      <c r="C449" s="490"/>
      <c r="D449" s="491"/>
      <c r="E449" s="80"/>
      <c r="F449" s="104"/>
      <c r="G449" s="104"/>
      <c r="H449" s="80"/>
      <c r="I449" s="486"/>
      <c r="M449" s="537"/>
      <c r="N449" s="537"/>
      <c r="O449" s="87"/>
      <c r="P449" s="602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</row>
    <row r="450" spans="1:38">
      <c r="A450" s="920" t="s">
        <v>2078</v>
      </c>
      <c r="B450" s="921"/>
      <c r="C450" s="921"/>
      <c r="D450" s="921"/>
      <c r="E450" s="922"/>
      <c r="F450" s="484"/>
      <c r="G450" s="484"/>
      <c r="H450" s="87" t="s">
        <v>44</v>
      </c>
      <c r="I450" s="77" t="s">
        <v>368</v>
      </c>
      <c r="M450" s="93"/>
      <c r="N450" s="93"/>
      <c r="O450" s="77"/>
      <c r="P450" s="590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</row>
    <row r="451" spans="1:38" ht="45" customHeight="1">
      <c r="A451" s="77" t="s">
        <v>1917</v>
      </c>
      <c r="B451" s="668"/>
      <c r="C451" s="77" t="s">
        <v>3</v>
      </c>
      <c r="D451" s="77" t="s">
        <v>4</v>
      </c>
      <c r="E451" s="77" t="s">
        <v>1826</v>
      </c>
      <c r="F451" s="93" t="s">
        <v>3781</v>
      </c>
      <c r="G451" s="93" t="s">
        <v>3783</v>
      </c>
      <c r="H451" s="77" t="s">
        <v>367</v>
      </c>
      <c r="I451" s="26">
        <f>ROUND(H452*E452,2)</f>
        <v>567.36</v>
      </c>
      <c r="J451" s="375">
        <v>567.35800000000006</v>
      </c>
      <c r="K451" s="2" t="e">
        <f>IF(A452&lt;&gt;0,VLOOKUP(A452,#REF!,2,FALSE),"")</f>
        <v>#REF!</v>
      </c>
      <c r="M451" s="26"/>
      <c r="N451" s="26"/>
      <c r="O451" s="26"/>
      <c r="P451" s="595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5"/>
      <c r="AF451" s="25"/>
      <c r="AG451" s="25"/>
      <c r="AH451" s="25"/>
      <c r="AI451" s="25"/>
      <c r="AJ451" s="25"/>
      <c r="AK451" s="25"/>
      <c r="AL451" s="25"/>
    </row>
    <row r="452" spans="1:38" ht="15" customHeight="1">
      <c r="A452" s="24">
        <v>10768</v>
      </c>
      <c r="B452" s="78" t="s">
        <v>102</v>
      </c>
      <c r="C452" s="25" t="s">
        <v>44</v>
      </c>
      <c r="D452" s="25" t="s">
        <v>26</v>
      </c>
      <c r="E452" s="26">
        <v>1</v>
      </c>
      <c r="F452" s="26" t="e">
        <f t="shared" ref="F452" si="138">AVERAGE(M452:AL452)</f>
        <v>#DIV/0!</v>
      </c>
      <c r="G452" s="158" t="e">
        <f t="shared" ref="G452" si="139">ROUND(F452*E452,2)</f>
        <v>#DIV/0!</v>
      </c>
      <c r="H452" s="26">
        <f t="shared" ref="H452" si="140">J451</f>
        <v>567.35800000000006</v>
      </c>
      <c r="I452" s="79">
        <f>ROUND(SUM(I451),2)</f>
        <v>567.36</v>
      </c>
      <c r="M452" s="26"/>
      <c r="N452" s="79"/>
      <c r="O452" s="497"/>
      <c r="P452" s="601"/>
      <c r="Q452" s="497"/>
      <c r="R452" s="497"/>
      <c r="S452" s="497"/>
      <c r="T452" s="497"/>
      <c r="U452" s="497"/>
      <c r="V452" s="497"/>
      <c r="W452" s="497"/>
      <c r="X452" s="497"/>
      <c r="Y452" s="497"/>
      <c r="Z452" s="497"/>
      <c r="AA452" s="497"/>
      <c r="AB452" s="497"/>
      <c r="AC452" s="497"/>
      <c r="AD452" s="497"/>
      <c r="AE452" s="710"/>
      <c r="AF452" s="710"/>
      <c r="AG452" s="710"/>
      <c r="AH452" s="710"/>
      <c r="AI452" s="710"/>
      <c r="AJ452" s="710"/>
      <c r="AK452" s="710"/>
      <c r="AL452" s="710"/>
    </row>
    <row r="453" spans="1:38" ht="23.25" customHeight="1">
      <c r="A453" s="917" t="s">
        <v>1894</v>
      </c>
      <c r="B453" s="918"/>
      <c r="C453" s="918"/>
      <c r="D453" s="918"/>
      <c r="E453" s="918"/>
      <c r="F453" s="926"/>
      <c r="G453" s="79" t="e">
        <f>ROUND(SUM(G452),2)</f>
        <v>#DIV/0!</v>
      </c>
      <c r="H453" s="497"/>
      <c r="I453" s="80"/>
      <c r="M453" s="104"/>
      <c r="N453" s="104"/>
      <c r="O453" s="80"/>
      <c r="P453" s="426"/>
      <c r="Q453" s="80"/>
      <c r="R453" s="80"/>
      <c r="S453" s="80"/>
      <c r="T453" s="80"/>
      <c r="U453" s="80"/>
      <c r="V453" s="80"/>
      <c r="W453" s="104"/>
      <c r="X453" s="104"/>
      <c r="Y453" s="104"/>
      <c r="Z453" s="104"/>
      <c r="AA453" s="104"/>
      <c r="AB453" s="104"/>
      <c r="AC453" s="80"/>
      <c r="AD453" s="80"/>
      <c r="AE453" s="697"/>
      <c r="AF453" s="697"/>
      <c r="AG453" s="697"/>
      <c r="AH453" s="697"/>
      <c r="AI453" s="697"/>
      <c r="AJ453" s="697"/>
      <c r="AK453" s="697"/>
      <c r="AL453" s="697"/>
    </row>
    <row r="454" spans="1:38" ht="37.5" customHeight="1">
      <c r="A454" s="697"/>
      <c r="B454" s="80"/>
      <c r="C454" s="490"/>
      <c r="D454" s="491"/>
      <c r="E454" s="80"/>
      <c r="F454" s="104"/>
      <c r="G454" s="104"/>
      <c r="H454" s="80"/>
      <c r="I454" s="486"/>
      <c r="M454" s="537"/>
      <c r="N454" s="537"/>
      <c r="O454" s="75"/>
      <c r="P454" s="589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</row>
    <row r="455" spans="1:38">
      <c r="A455" s="920" t="s">
        <v>2083</v>
      </c>
      <c r="B455" s="921"/>
      <c r="C455" s="921"/>
      <c r="D455" s="921"/>
      <c r="E455" s="929"/>
      <c r="F455" s="484"/>
      <c r="G455" s="484"/>
      <c r="H455" s="75" t="s">
        <v>44</v>
      </c>
      <c r="I455" s="77" t="s">
        <v>368</v>
      </c>
      <c r="M455" s="93"/>
      <c r="N455" s="93"/>
      <c r="O455" s="77"/>
      <c r="P455" s="590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</row>
    <row r="456" spans="1:38" ht="45" customHeight="1">
      <c r="A456" s="77" t="s">
        <v>1917</v>
      </c>
      <c r="B456" s="668"/>
      <c r="C456" s="77" t="s">
        <v>3</v>
      </c>
      <c r="D456" s="77" t="s">
        <v>4</v>
      </c>
      <c r="E456" s="77" t="s">
        <v>1826</v>
      </c>
      <c r="F456" s="93" t="s">
        <v>3781</v>
      </c>
      <c r="G456" s="93" t="s">
        <v>3783</v>
      </c>
      <c r="H456" s="77" t="s">
        <v>367</v>
      </c>
      <c r="I456" s="26">
        <f t="shared" ref="I456:I462" si="141">ROUND(H457*E457,2)</f>
        <v>1.1200000000000001</v>
      </c>
      <c r="J456" s="375">
        <v>0.28050000000000003</v>
      </c>
      <c r="K456" s="2" t="e">
        <f>IF(A457&lt;&gt;0,VLOOKUP(A457,#REF!,2,FALSE),"")</f>
        <v>#REF!</v>
      </c>
      <c r="M456" s="26"/>
      <c r="N456" s="26"/>
      <c r="O456" s="26"/>
      <c r="P456" s="595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5"/>
      <c r="AF456" s="25"/>
      <c r="AG456" s="25"/>
      <c r="AH456" s="25"/>
      <c r="AI456" s="25"/>
      <c r="AJ456" s="25"/>
      <c r="AK456" s="25"/>
      <c r="AL456" s="25"/>
    </row>
    <row r="457" spans="1:38" ht="30">
      <c r="A457" s="739">
        <v>3649</v>
      </c>
      <c r="B457" s="740" t="s">
        <v>461</v>
      </c>
      <c r="C457" s="741" t="s">
        <v>44</v>
      </c>
      <c r="D457" s="741" t="s">
        <v>52</v>
      </c>
      <c r="E457" s="742">
        <v>4</v>
      </c>
      <c r="F457" s="731">
        <v>0.34</v>
      </c>
      <c r="G457" s="742">
        <f>ROUND(F457*E457,2)</f>
        <v>1.36</v>
      </c>
      <c r="H457" s="26">
        <f t="shared" ref="H457:H463" si="142">J456</f>
        <v>0.28050000000000003</v>
      </c>
      <c r="I457" s="26">
        <f t="shared" si="141"/>
        <v>17.420000000000002</v>
      </c>
      <c r="J457" s="375">
        <v>17.416499999999999</v>
      </c>
      <c r="K457" s="28" t="e">
        <f>IF(A458&lt;&gt;0,VLOOKUP(A458,#REF!,2,FALSE),"")</f>
        <v>#REF!</v>
      </c>
      <c r="M457" s="81"/>
      <c r="N457" s="81"/>
      <c r="O457" s="26"/>
      <c r="P457" s="595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5"/>
      <c r="AF457" s="25"/>
      <c r="AG457" s="25"/>
      <c r="AH457" s="25"/>
      <c r="AI457" s="25"/>
      <c r="AJ457" s="25"/>
      <c r="AK457" s="25"/>
      <c r="AL457" s="25"/>
    </row>
    <row r="458" spans="1:38">
      <c r="A458" s="84">
        <v>34676</v>
      </c>
      <c r="B458" s="85" t="s">
        <v>462</v>
      </c>
      <c r="C458" s="86" t="s">
        <v>12</v>
      </c>
      <c r="D458" s="86" t="s">
        <v>26</v>
      </c>
      <c r="E458" s="81">
        <v>1</v>
      </c>
      <c r="F458" s="26">
        <f t="shared" ref="F458:F459" si="143">AVERAGE(M458:AL458)</f>
        <v>26.57</v>
      </c>
      <c r="G458" s="81">
        <f t="shared" ref="G458:G463" si="144">ROUND(F458*E458,2)</f>
        <v>26.57</v>
      </c>
      <c r="H458" s="26">
        <f t="shared" si="142"/>
        <v>17.416499999999999</v>
      </c>
      <c r="I458" s="26">
        <f t="shared" si="141"/>
        <v>6.13</v>
      </c>
      <c r="J458" s="375">
        <v>30.667999999999999</v>
      </c>
      <c r="K458" s="28" t="e">
        <f>IF(A459&lt;&gt;0,VLOOKUP(A459,#REF!,2,FALSE),"")</f>
        <v>#REF!</v>
      </c>
      <c r="M458" s="81"/>
      <c r="N458" s="81"/>
      <c r="O458" s="26"/>
      <c r="P458" s="595"/>
      <c r="Q458" s="26"/>
      <c r="R458" s="26"/>
      <c r="S458" s="26"/>
      <c r="T458" s="26"/>
      <c r="U458" s="26"/>
      <c r="V458" s="26"/>
      <c r="W458" s="26">
        <v>26.57</v>
      </c>
      <c r="X458" s="26"/>
      <c r="Y458" s="26"/>
      <c r="Z458" s="26"/>
      <c r="AA458" s="26"/>
      <c r="AB458" s="26"/>
      <c r="AC458" s="26"/>
      <c r="AD458" s="26"/>
      <c r="AE458" s="25"/>
      <c r="AF458" s="25"/>
      <c r="AG458" s="25"/>
      <c r="AH458" s="25"/>
      <c r="AI458" s="25"/>
      <c r="AJ458" s="25"/>
      <c r="AK458" s="25"/>
      <c r="AL458" s="25"/>
    </row>
    <row r="459" spans="1:38" ht="30">
      <c r="A459" s="84">
        <v>1339</v>
      </c>
      <c r="B459" s="85" t="s">
        <v>463</v>
      </c>
      <c r="C459" s="86" t="s">
        <v>12</v>
      </c>
      <c r="D459" s="86" t="s">
        <v>45</v>
      </c>
      <c r="E459" s="81">
        <v>0.2</v>
      </c>
      <c r="F459" s="26">
        <f t="shared" si="143"/>
        <v>42</v>
      </c>
      <c r="G459" s="81">
        <f t="shared" si="144"/>
        <v>8.4</v>
      </c>
      <c r="H459" s="26">
        <f t="shared" si="142"/>
        <v>30.667999999999999</v>
      </c>
      <c r="I459" s="26">
        <f t="shared" si="141"/>
        <v>35.369999999999997</v>
      </c>
      <c r="J459" s="375">
        <v>35.368499999999997</v>
      </c>
      <c r="K459" s="28" t="e">
        <f>IF(A460&lt;&gt;0,VLOOKUP(A460,#REF!,2,FALSE),"")</f>
        <v>#REF!</v>
      </c>
      <c r="M459" s="81"/>
      <c r="N459" s="81"/>
      <c r="O459" s="26"/>
      <c r="P459" s="595"/>
      <c r="Q459" s="26"/>
      <c r="R459" s="26"/>
      <c r="S459" s="26"/>
      <c r="T459" s="26"/>
      <c r="U459" s="26"/>
      <c r="V459" s="26"/>
      <c r="W459" s="26">
        <v>42</v>
      </c>
      <c r="X459" s="26"/>
      <c r="Y459" s="26"/>
      <c r="Z459" s="26"/>
      <c r="AA459" s="26"/>
      <c r="AB459" s="26"/>
      <c r="AC459" s="26"/>
      <c r="AD459" s="26"/>
      <c r="AE459" s="25"/>
      <c r="AF459" s="25"/>
      <c r="AG459" s="25"/>
      <c r="AH459" s="25"/>
      <c r="AI459" s="25"/>
      <c r="AJ459" s="25"/>
      <c r="AK459" s="25"/>
      <c r="AL459" s="25"/>
    </row>
    <row r="460" spans="1:38" ht="30">
      <c r="A460" s="739">
        <v>1340</v>
      </c>
      <c r="B460" s="740" t="s">
        <v>464</v>
      </c>
      <c r="C460" s="741" t="s">
        <v>12</v>
      </c>
      <c r="D460" s="741" t="s">
        <v>26</v>
      </c>
      <c r="E460" s="742">
        <v>1</v>
      </c>
      <c r="F460" s="731">
        <v>66.36</v>
      </c>
      <c r="G460" s="742">
        <f t="shared" si="144"/>
        <v>66.36</v>
      </c>
      <c r="H460" s="26">
        <f t="shared" si="142"/>
        <v>35.368499999999997</v>
      </c>
      <c r="I460" s="26">
        <f t="shared" si="141"/>
        <v>14.96</v>
      </c>
      <c r="J460" s="375">
        <v>14.96</v>
      </c>
      <c r="K460" s="28" t="e">
        <f>IF(A461&lt;&gt;0,VLOOKUP(A461,#REF!,2,FALSE),"")</f>
        <v>#REF!</v>
      </c>
      <c r="M460" s="81"/>
      <c r="N460" s="81"/>
      <c r="O460" s="26"/>
      <c r="P460" s="595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5"/>
      <c r="AF460" s="25"/>
      <c r="AG460" s="25"/>
      <c r="AH460" s="25"/>
      <c r="AI460" s="25"/>
      <c r="AJ460" s="25"/>
      <c r="AK460" s="25"/>
      <c r="AL460" s="25"/>
    </row>
    <row r="461" spans="1:38" ht="30">
      <c r="A461" s="637">
        <v>88262</v>
      </c>
      <c r="B461" s="638" t="s">
        <v>376</v>
      </c>
      <c r="C461" s="639" t="s">
        <v>12</v>
      </c>
      <c r="D461" s="639" t="s">
        <v>19</v>
      </c>
      <c r="E461" s="640">
        <v>1</v>
      </c>
      <c r="F461" s="505">
        <f>17.6*0.85*'PLANILHA ORÇA - CORREGEDORIA'!$BH$19</f>
        <v>16.665565134926347</v>
      </c>
      <c r="G461" s="640">
        <f t="shared" si="144"/>
        <v>16.670000000000002</v>
      </c>
      <c r="H461" s="26">
        <f t="shared" si="142"/>
        <v>14.96</v>
      </c>
      <c r="I461" s="26">
        <f t="shared" si="141"/>
        <v>4.54</v>
      </c>
      <c r="J461" s="375">
        <v>15.121499999999999</v>
      </c>
      <c r="K461" s="28" t="e">
        <f>IF(A462&lt;&gt;0,VLOOKUP(A462,#REF!,2,FALSE),"")</f>
        <v>#REF!</v>
      </c>
      <c r="M461" s="81"/>
      <c r="N461" s="81"/>
      <c r="O461" s="26"/>
      <c r="P461" s="595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5"/>
      <c r="AF461" s="25"/>
      <c r="AG461" s="25"/>
      <c r="AH461" s="25"/>
      <c r="AI461" s="25"/>
      <c r="AJ461" s="25"/>
      <c r="AK461" s="25"/>
      <c r="AL461" s="25"/>
    </row>
    <row r="462" spans="1:38">
      <c r="A462" s="637">
        <v>88309</v>
      </c>
      <c r="B462" s="638" t="s">
        <v>390</v>
      </c>
      <c r="C462" s="639" t="s">
        <v>12</v>
      </c>
      <c r="D462" s="639" t="s">
        <v>19</v>
      </c>
      <c r="E462" s="640">
        <v>0.3</v>
      </c>
      <c r="F462" s="505">
        <f>17.79*0.85*'PLANILHA ORÇA - CORREGEDORIA'!$BH$19</f>
        <v>16.845477485814751</v>
      </c>
      <c r="G462" s="640">
        <f t="shared" si="144"/>
        <v>5.05</v>
      </c>
      <c r="H462" s="26">
        <f t="shared" si="142"/>
        <v>15.121499999999999</v>
      </c>
      <c r="I462" s="26">
        <f t="shared" si="141"/>
        <v>3.54</v>
      </c>
      <c r="J462" s="375">
        <v>11.798000000000002</v>
      </c>
      <c r="K462" s="28" t="e">
        <f>IF(A463&lt;&gt;0,VLOOKUP(A463,#REF!,2,FALSE),"")</f>
        <v>#REF!</v>
      </c>
      <c r="M462" s="81"/>
      <c r="N462" s="81"/>
      <c r="O462" s="26"/>
      <c r="P462" s="595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5"/>
      <c r="AF462" s="25"/>
      <c r="AG462" s="25"/>
      <c r="AH462" s="25"/>
      <c r="AI462" s="25"/>
      <c r="AJ462" s="25"/>
      <c r="AK462" s="25"/>
      <c r="AL462" s="25"/>
    </row>
    <row r="463" spans="1:38" ht="15" customHeight="1">
      <c r="A463" s="637">
        <v>88316</v>
      </c>
      <c r="B463" s="638" t="s">
        <v>377</v>
      </c>
      <c r="C463" s="639" t="s">
        <v>12</v>
      </c>
      <c r="D463" s="639" t="s">
        <v>19</v>
      </c>
      <c r="E463" s="640">
        <v>0.3</v>
      </c>
      <c r="F463" s="505">
        <f>13.88*0.85*'PLANILHA ORÇA - CORREGEDORIA'!$BH$19</f>
        <v>13.143070685953276</v>
      </c>
      <c r="G463" s="640">
        <f t="shared" si="144"/>
        <v>3.94</v>
      </c>
      <c r="H463" s="26">
        <f t="shared" si="142"/>
        <v>11.798000000000002</v>
      </c>
      <c r="I463" s="79">
        <f>ROUND(SUM(I456:I462),2)</f>
        <v>83.08</v>
      </c>
      <c r="M463" s="81"/>
      <c r="N463" s="79"/>
      <c r="O463" s="497"/>
      <c r="P463" s="601"/>
      <c r="Q463" s="497"/>
      <c r="R463" s="497"/>
      <c r="S463" s="497"/>
      <c r="T463" s="497"/>
      <c r="U463" s="497"/>
      <c r="V463" s="497"/>
      <c r="W463" s="497"/>
      <c r="X463" s="497"/>
      <c r="Y463" s="497"/>
      <c r="Z463" s="497"/>
      <c r="AA463" s="497"/>
      <c r="AB463" s="497"/>
      <c r="AC463" s="497"/>
      <c r="AD463" s="497"/>
      <c r="AE463" s="710"/>
      <c r="AF463" s="710"/>
      <c r="AG463" s="710"/>
      <c r="AH463" s="710"/>
      <c r="AI463" s="710"/>
      <c r="AJ463" s="710"/>
      <c r="AK463" s="710"/>
      <c r="AL463" s="710"/>
    </row>
    <row r="464" spans="1:38">
      <c r="A464" s="917" t="s">
        <v>1894</v>
      </c>
      <c r="B464" s="918"/>
      <c r="C464" s="918"/>
      <c r="D464" s="918"/>
      <c r="E464" s="918"/>
      <c r="F464" s="926"/>
      <c r="G464" s="79">
        <f>ROUND(SUM(G457:G463),2)</f>
        <v>128.35</v>
      </c>
      <c r="H464" s="497"/>
      <c r="I464" s="80"/>
      <c r="M464" s="104"/>
      <c r="N464" s="104"/>
      <c r="O464" s="80"/>
      <c r="P464" s="426"/>
      <c r="Q464" s="80"/>
      <c r="R464" s="80"/>
      <c r="S464" s="80"/>
      <c r="T464" s="80"/>
      <c r="U464" s="80"/>
      <c r="V464" s="80"/>
      <c r="W464" s="104"/>
      <c r="X464" s="104"/>
      <c r="Y464" s="104"/>
      <c r="Z464" s="104"/>
      <c r="AA464" s="104"/>
      <c r="AB464" s="104"/>
      <c r="AC464" s="80"/>
      <c r="AD464" s="80"/>
      <c r="AE464" s="697"/>
      <c r="AF464" s="697"/>
      <c r="AG464" s="697"/>
      <c r="AH464" s="697"/>
      <c r="AI464" s="697"/>
      <c r="AJ464" s="697"/>
      <c r="AK464" s="697"/>
      <c r="AL464" s="697"/>
    </row>
    <row r="465" spans="1:38">
      <c r="A465" s="697"/>
      <c r="B465" s="80"/>
      <c r="C465" s="490"/>
      <c r="D465" s="491"/>
      <c r="E465" s="80"/>
      <c r="F465" s="104"/>
      <c r="G465" s="104"/>
      <c r="H465" s="80"/>
      <c r="I465" s="80"/>
      <c r="M465" s="104"/>
      <c r="N465" s="104"/>
      <c r="O465" s="80"/>
      <c r="P465" s="426"/>
      <c r="Q465" s="80"/>
      <c r="R465" s="80"/>
      <c r="S465" s="80"/>
      <c r="T465" s="80"/>
      <c r="U465" s="80"/>
      <c r="V465" s="80"/>
      <c r="W465" s="104"/>
      <c r="X465" s="104"/>
      <c r="Y465" s="104"/>
      <c r="Z465" s="104"/>
      <c r="AA465" s="104"/>
      <c r="AB465" s="104"/>
      <c r="AC465" s="80"/>
      <c r="AD465" s="80"/>
      <c r="AE465" s="697"/>
      <c r="AF465" s="697"/>
      <c r="AG465" s="697"/>
      <c r="AH465" s="697"/>
      <c r="AI465" s="697"/>
      <c r="AJ465" s="697"/>
      <c r="AK465" s="697"/>
      <c r="AL465" s="697"/>
    </row>
    <row r="466" spans="1:38" ht="46.5" customHeight="1">
      <c r="A466" s="697"/>
      <c r="B466" s="80"/>
      <c r="C466" s="965"/>
      <c r="D466" s="966"/>
      <c r="E466" s="80"/>
      <c r="F466" s="104"/>
      <c r="G466" s="104"/>
      <c r="H466" s="80"/>
      <c r="I466" s="88"/>
      <c r="M466" s="537"/>
      <c r="N466" s="537"/>
      <c r="O466" s="75"/>
      <c r="P466" s="589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</row>
    <row r="467" spans="1:38">
      <c r="A467" s="920" t="s">
        <v>2085</v>
      </c>
      <c r="B467" s="921"/>
      <c r="C467" s="921"/>
      <c r="D467" s="921"/>
      <c r="E467" s="921"/>
      <c r="F467" s="484"/>
      <c r="G467" s="484"/>
      <c r="H467" s="75" t="s">
        <v>1915</v>
      </c>
      <c r="I467" s="77" t="s">
        <v>368</v>
      </c>
      <c r="M467" s="93"/>
      <c r="N467" s="93"/>
      <c r="O467" s="77"/>
      <c r="P467" s="590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</row>
    <row r="468" spans="1:38" ht="45" customHeight="1">
      <c r="A468" s="77" t="s">
        <v>1917</v>
      </c>
      <c r="B468" s="668"/>
      <c r="C468" s="77" t="s">
        <v>3</v>
      </c>
      <c r="D468" s="77" t="s">
        <v>4</v>
      </c>
      <c r="E468" s="77" t="s">
        <v>1826</v>
      </c>
      <c r="F468" s="93" t="s">
        <v>3781</v>
      </c>
      <c r="G468" s="93" t="s">
        <v>3783</v>
      </c>
      <c r="H468" s="77" t="s">
        <v>367</v>
      </c>
      <c r="I468" s="26">
        <f>ROUND(H469*E469,2)</f>
        <v>12.1</v>
      </c>
      <c r="J468" s="375">
        <v>15.121499999999999</v>
      </c>
      <c r="K468" s="2" t="e">
        <f>IF(A469&lt;&gt;0,VLOOKUP(A469,#REF!,2,FALSE),"")</f>
        <v>#REF!</v>
      </c>
      <c r="M468" s="26"/>
      <c r="N468" s="26"/>
      <c r="O468" s="26"/>
      <c r="P468" s="595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5"/>
      <c r="AF468" s="25"/>
      <c r="AG468" s="25"/>
      <c r="AH468" s="25"/>
      <c r="AI468" s="25"/>
      <c r="AJ468" s="25"/>
      <c r="AK468" s="25"/>
      <c r="AL468" s="25"/>
    </row>
    <row r="469" spans="1:38">
      <c r="A469" s="503">
        <v>88309</v>
      </c>
      <c r="B469" s="628" t="s">
        <v>390</v>
      </c>
      <c r="C469" s="504" t="s">
        <v>12</v>
      </c>
      <c r="D469" s="504" t="s">
        <v>19</v>
      </c>
      <c r="E469" s="505">
        <v>0.8</v>
      </c>
      <c r="F469" s="505">
        <f>17.79*0.85*'PLANILHA ORÇA - CORREGEDORIA'!$BH$19</f>
        <v>16.845477485814751</v>
      </c>
      <c r="G469" s="505">
        <f>ROUND(F469*E469,2)</f>
        <v>13.48</v>
      </c>
      <c r="H469" s="26">
        <f t="shared" ref="H469:H471" si="145">J468</f>
        <v>15.121499999999999</v>
      </c>
      <c r="I469" s="26">
        <f>ROUND(H470*E470,2)</f>
        <v>9.4700000000000006</v>
      </c>
      <c r="J469" s="375">
        <v>11.798000000000002</v>
      </c>
      <c r="K469" s="28" t="e">
        <f>IF(A470&lt;&gt;0,VLOOKUP(A470,#REF!,2,FALSE),"")</f>
        <v>#REF!</v>
      </c>
      <c r="M469" s="26"/>
      <c r="N469" s="26"/>
      <c r="O469" s="26"/>
      <c r="P469" s="595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5"/>
      <c r="AF469" s="25"/>
      <c r="AG469" s="25"/>
      <c r="AH469" s="25"/>
      <c r="AI469" s="25"/>
      <c r="AJ469" s="25"/>
      <c r="AK469" s="25"/>
      <c r="AL469" s="25"/>
    </row>
    <row r="470" spans="1:38">
      <c r="A470" s="503">
        <v>88316</v>
      </c>
      <c r="B470" s="628" t="s">
        <v>377</v>
      </c>
      <c r="C470" s="504" t="s">
        <v>12</v>
      </c>
      <c r="D470" s="504" t="s">
        <v>19</v>
      </c>
      <c r="E470" s="505">
        <v>0.80300000000000005</v>
      </c>
      <c r="F470" s="505">
        <f>13.88*0.85*'PLANILHA ORÇA - CORREGEDORIA'!$BH$19</f>
        <v>13.143070685953276</v>
      </c>
      <c r="G470" s="505">
        <f>ROUND(F470*E470,2)</f>
        <v>10.55</v>
      </c>
      <c r="H470" s="26">
        <f t="shared" si="145"/>
        <v>11.798000000000002</v>
      </c>
      <c r="I470" s="26">
        <f>ROUND(H471*E471,2)</f>
        <v>5.84</v>
      </c>
      <c r="J470" s="375">
        <v>389.36799999999999</v>
      </c>
      <c r="K470" s="28" t="e">
        <f>IF(A471&lt;&gt;0,VLOOKUP(A471,#REF!,2,FALSE),"")</f>
        <v>#REF!</v>
      </c>
      <c r="M470" s="26"/>
      <c r="N470" s="26"/>
      <c r="O470" s="26"/>
      <c r="P470" s="595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5"/>
      <c r="AF470" s="25"/>
      <c r="AG470" s="25"/>
      <c r="AH470" s="25"/>
      <c r="AI470" s="25"/>
      <c r="AJ470" s="25"/>
      <c r="AK470" s="25"/>
      <c r="AL470" s="25"/>
    </row>
    <row r="471" spans="1:38" s="34" customFormat="1" ht="15" customHeight="1">
      <c r="A471" s="475" t="s">
        <v>4048</v>
      </c>
      <c r="B471" s="661" t="s">
        <v>1804</v>
      </c>
      <c r="C471" s="472" t="s">
        <v>12</v>
      </c>
      <c r="D471" s="472" t="s">
        <v>35</v>
      </c>
      <c r="E471" s="473">
        <v>1.4999999999999999E-2</v>
      </c>
      <c r="F471" s="473"/>
      <c r="G471" s="473">
        <f>ROUND(F471*E471,2)</f>
        <v>0</v>
      </c>
      <c r="H471" s="473">
        <f t="shared" si="145"/>
        <v>389.36799999999999</v>
      </c>
      <c r="I471" s="662">
        <f>ROUND(SUM(I468:I470),2)</f>
        <v>27.41</v>
      </c>
      <c r="J471" s="378"/>
      <c r="L471" s="378"/>
      <c r="M471" s="26"/>
      <c r="N471" s="662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12"/>
      <c r="AF471" s="712"/>
      <c r="AG471" s="712"/>
      <c r="AH471" s="712"/>
      <c r="AI471" s="712"/>
      <c r="AJ471" s="712"/>
      <c r="AK471" s="712"/>
      <c r="AL471" s="712"/>
    </row>
    <row r="472" spans="1:38" ht="15" customHeight="1">
      <c r="A472" s="25" t="s">
        <v>3813</v>
      </c>
      <c r="B472" s="25" t="s">
        <v>396</v>
      </c>
      <c r="C472" s="25" t="s">
        <v>12</v>
      </c>
      <c r="D472" s="25" t="s">
        <v>35</v>
      </c>
      <c r="E472" s="26" t="s">
        <v>3956</v>
      </c>
      <c r="F472" s="26">
        <f t="shared" ref="F472:F473" si="146">AVERAGE(M472:AL472)</f>
        <v>81.166666666666671</v>
      </c>
      <c r="G472" s="158">
        <f>ROUND(F472*E472*$E$471,2)</f>
        <v>1.3</v>
      </c>
      <c r="H472" s="26"/>
      <c r="I472" s="79"/>
      <c r="M472" s="26"/>
      <c r="N472" s="79"/>
      <c r="O472" s="497"/>
      <c r="P472" s="601"/>
      <c r="Q472" s="497"/>
      <c r="R472" s="497"/>
      <c r="S472" s="497"/>
      <c r="T472" s="497"/>
      <c r="U472" s="497"/>
      <c r="V472" s="497"/>
      <c r="W472" s="497"/>
      <c r="X472" s="497"/>
      <c r="Y472" s="497"/>
      <c r="Z472" s="497"/>
      <c r="AA472" s="497"/>
      <c r="AB472" s="497"/>
      <c r="AC472" s="497"/>
      <c r="AD472" s="497"/>
      <c r="AE472" s="710"/>
      <c r="AF472" s="710"/>
      <c r="AG472" s="710">
        <v>76</v>
      </c>
      <c r="AH472" s="710">
        <v>80</v>
      </c>
      <c r="AI472" s="710">
        <v>87.5</v>
      </c>
      <c r="AJ472" s="710"/>
      <c r="AK472" s="710"/>
      <c r="AL472" s="710"/>
    </row>
    <row r="473" spans="1:38" ht="15" customHeight="1">
      <c r="A473" s="25" t="s">
        <v>3814</v>
      </c>
      <c r="B473" s="25" t="s">
        <v>397</v>
      </c>
      <c r="C473" s="25" t="s">
        <v>12</v>
      </c>
      <c r="D473" s="25" t="s">
        <v>45</v>
      </c>
      <c r="E473" s="26" t="s">
        <v>4044</v>
      </c>
      <c r="F473" s="26">
        <f t="shared" si="146"/>
        <v>0.96633333333333338</v>
      </c>
      <c r="G473" s="158">
        <f>ROUND(F473*E473*$E$471,2)</f>
        <v>7.01</v>
      </c>
      <c r="H473" s="26"/>
      <c r="I473" s="79"/>
      <c r="M473" s="93">
        <v>0.98</v>
      </c>
      <c r="N473" s="158">
        <v>0.94</v>
      </c>
      <c r="O473" s="77"/>
      <c r="P473" s="590">
        <v>0.97899999999999998</v>
      </c>
      <c r="Q473" s="497"/>
      <c r="R473" s="497"/>
      <c r="S473" s="497"/>
      <c r="T473" s="497"/>
      <c r="U473" s="497"/>
      <c r="V473" s="497"/>
      <c r="W473" s="497"/>
      <c r="X473" s="497"/>
      <c r="Y473" s="497"/>
      <c r="Z473" s="497"/>
      <c r="AA473" s="497"/>
      <c r="AB473" s="497"/>
      <c r="AC473" s="497"/>
      <c r="AD473" s="497"/>
      <c r="AE473" s="710"/>
      <c r="AF473" s="710"/>
      <c r="AG473" s="710"/>
      <c r="AH473" s="710"/>
      <c r="AI473" s="710"/>
      <c r="AJ473" s="710"/>
      <c r="AK473" s="710"/>
      <c r="AL473" s="710"/>
    </row>
    <row r="474" spans="1:38" s="27" customFormat="1" ht="15" customHeight="1">
      <c r="A474" s="504" t="s">
        <v>3817</v>
      </c>
      <c r="B474" s="504" t="s">
        <v>3821</v>
      </c>
      <c r="C474" s="504" t="s">
        <v>12</v>
      </c>
      <c r="D474" s="504" t="s">
        <v>19</v>
      </c>
      <c r="E474" s="505" t="s">
        <v>4045</v>
      </c>
      <c r="F474" s="505">
        <f>17.21*0.85*'PLANILHA ORÇA - CORREGEDORIA'!$BH$19</f>
        <v>16.296271362050135</v>
      </c>
      <c r="G474" s="561">
        <f>ROUND(F474*E474*$E$471,2)</f>
        <v>0.84</v>
      </c>
      <c r="H474" s="26"/>
      <c r="I474" s="79"/>
      <c r="J474" s="365"/>
      <c r="L474" s="365"/>
      <c r="M474" s="26"/>
      <c r="N474" s="79"/>
      <c r="O474" s="497"/>
      <c r="P474" s="497"/>
      <c r="Q474" s="497"/>
      <c r="R474" s="497"/>
      <c r="S474" s="497"/>
      <c r="T474" s="497"/>
      <c r="U474" s="497"/>
      <c r="V474" s="497"/>
      <c r="W474" s="497"/>
      <c r="X474" s="497"/>
      <c r="Y474" s="497"/>
      <c r="Z474" s="497"/>
      <c r="AA474" s="497"/>
      <c r="AB474" s="497"/>
      <c r="AC474" s="497"/>
      <c r="AD474" s="497"/>
      <c r="AE474" s="710"/>
      <c r="AF474" s="710"/>
      <c r="AG474" s="710"/>
      <c r="AH474" s="710"/>
      <c r="AI474" s="710"/>
      <c r="AJ474" s="710"/>
      <c r="AK474" s="710"/>
      <c r="AL474" s="710"/>
    </row>
    <row r="475" spans="1:38" ht="15" customHeight="1">
      <c r="A475" s="729" t="s">
        <v>3818</v>
      </c>
      <c r="B475" s="729" t="s">
        <v>3822</v>
      </c>
      <c r="C475" s="729" t="s">
        <v>12</v>
      </c>
      <c r="D475" s="729" t="s">
        <v>388</v>
      </c>
      <c r="E475" s="731" t="s">
        <v>4046</v>
      </c>
      <c r="F475" s="731">
        <v>2.1</v>
      </c>
      <c r="G475" s="691">
        <f>ROUND(F475*E475*$E$471,2)</f>
        <v>0.03</v>
      </c>
      <c r="H475" s="26"/>
      <c r="I475" s="79"/>
      <c r="M475" s="26"/>
      <c r="N475" s="79"/>
      <c r="O475" s="497"/>
      <c r="P475" s="601"/>
      <c r="Q475" s="497"/>
      <c r="R475" s="497"/>
      <c r="S475" s="497"/>
      <c r="T475" s="497"/>
      <c r="U475" s="497"/>
      <c r="V475" s="497"/>
      <c r="W475" s="497"/>
      <c r="X475" s="497"/>
      <c r="Y475" s="497"/>
      <c r="Z475" s="497"/>
      <c r="AA475" s="497"/>
      <c r="AB475" s="497"/>
      <c r="AC475" s="497"/>
      <c r="AD475" s="497"/>
      <c r="AE475" s="710"/>
      <c r="AF475" s="710"/>
      <c r="AG475" s="710"/>
      <c r="AH475" s="710"/>
      <c r="AI475" s="710"/>
      <c r="AJ475" s="710"/>
      <c r="AK475" s="710"/>
      <c r="AL475" s="710"/>
    </row>
    <row r="476" spans="1:38" ht="15" customHeight="1">
      <c r="A476" s="729" t="s">
        <v>3819</v>
      </c>
      <c r="B476" s="729" t="s">
        <v>3823</v>
      </c>
      <c r="C476" s="729" t="s">
        <v>12</v>
      </c>
      <c r="D476" s="729" t="s">
        <v>389</v>
      </c>
      <c r="E476" s="731" t="s">
        <v>4047</v>
      </c>
      <c r="F476" s="731">
        <v>0.42</v>
      </c>
      <c r="G476" s="691">
        <f>ROUND(F476*E476*$E$471,2)</f>
        <v>0.02</v>
      </c>
      <c r="H476" s="26"/>
      <c r="I476" s="79"/>
      <c r="M476" s="26"/>
      <c r="N476" s="79"/>
      <c r="O476" s="497"/>
      <c r="P476" s="601"/>
      <c r="Q476" s="497"/>
      <c r="R476" s="497"/>
      <c r="S476" s="497"/>
      <c r="T476" s="497"/>
      <c r="U476" s="497"/>
      <c r="V476" s="497"/>
      <c r="W476" s="497"/>
      <c r="X476" s="497"/>
      <c r="Y476" s="497"/>
      <c r="Z476" s="497"/>
      <c r="AA476" s="497"/>
      <c r="AB476" s="497"/>
      <c r="AC476" s="497"/>
      <c r="AD476" s="497"/>
      <c r="AE476" s="710"/>
      <c r="AF476" s="710"/>
      <c r="AG476" s="710"/>
      <c r="AH476" s="710"/>
      <c r="AI476" s="710"/>
      <c r="AJ476" s="710"/>
      <c r="AK476" s="710"/>
      <c r="AL476" s="710"/>
    </row>
    <row r="477" spans="1:38" ht="25.5" customHeight="1">
      <c r="A477" s="917" t="s">
        <v>1894</v>
      </c>
      <c r="B477" s="918"/>
      <c r="C477" s="918"/>
      <c r="D477" s="918"/>
      <c r="E477" s="918"/>
      <c r="F477" s="926"/>
      <c r="G477" s="79">
        <f>ROUND(SUM(G469:G476),2)</f>
        <v>33.229999999999997</v>
      </c>
      <c r="H477" s="497"/>
      <c r="I477" s="80"/>
      <c r="M477" s="104"/>
      <c r="N477" s="104"/>
      <c r="O477" s="80"/>
      <c r="P477" s="426"/>
      <c r="Q477" s="80"/>
      <c r="R477" s="80"/>
      <c r="S477" s="80"/>
      <c r="T477" s="80"/>
      <c r="U477" s="80"/>
      <c r="V477" s="80"/>
      <c r="W477" s="104"/>
      <c r="X477" s="104"/>
      <c r="Y477" s="104"/>
      <c r="Z477" s="104"/>
      <c r="AA477" s="104"/>
      <c r="AB477" s="104"/>
      <c r="AC477" s="80"/>
      <c r="AD477" s="80"/>
      <c r="AE477" s="697"/>
      <c r="AF477" s="697"/>
      <c r="AG477" s="697"/>
      <c r="AH477" s="697"/>
      <c r="AI477" s="697"/>
      <c r="AJ477" s="697"/>
      <c r="AK477" s="697"/>
      <c r="AL477" s="697"/>
    </row>
    <row r="478" spans="1:38" ht="54.75" customHeight="1">
      <c r="A478" s="697"/>
      <c r="B478" s="80"/>
      <c r="C478" s="965"/>
      <c r="D478" s="966"/>
      <c r="E478" s="80"/>
      <c r="F478" s="104"/>
      <c r="G478" s="104"/>
      <c r="H478" s="80"/>
      <c r="I478" s="88"/>
      <c r="M478" s="537"/>
      <c r="N478" s="537"/>
      <c r="O478" s="75"/>
      <c r="P478" s="589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</row>
    <row r="479" spans="1:38">
      <c r="A479" s="920" t="s">
        <v>2086</v>
      </c>
      <c r="B479" s="921"/>
      <c r="C479" s="921"/>
      <c r="D479" s="921"/>
      <c r="E479" s="921"/>
      <c r="F479" s="484"/>
      <c r="G479" s="484"/>
      <c r="H479" s="75" t="s">
        <v>70</v>
      </c>
      <c r="I479" s="77" t="s">
        <v>368</v>
      </c>
      <c r="M479" s="93"/>
      <c r="N479" s="93"/>
      <c r="O479" s="77"/>
      <c r="P479" s="590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</row>
    <row r="480" spans="1:38" ht="45" customHeight="1">
      <c r="A480" s="77" t="s">
        <v>1917</v>
      </c>
      <c r="B480" s="668"/>
      <c r="C480" s="77" t="s">
        <v>3</v>
      </c>
      <c r="D480" s="77" t="s">
        <v>4</v>
      </c>
      <c r="E480" s="77" t="s">
        <v>1826</v>
      </c>
      <c r="F480" s="93" t="s">
        <v>3781</v>
      </c>
      <c r="G480" s="93" t="s">
        <v>3783</v>
      </c>
      <c r="H480" s="77" t="s">
        <v>367</v>
      </c>
      <c r="I480" s="26">
        <f t="shared" ref="I480:I486" si="147">ROUND(H481*E481,2)</f>
        <v>235.96</v>
      </c>
      <c r="J480" s="375">
        <v>11.798000000000002</v>
      </c>
      <c r="K480" s="2" t="e">
        <f>IF(A481&lt;&gt;0,VLOOKUP(A481,#REF!,2,FALSE),"")</f>
        <v>#REF!</v>
      </c>
      <c r="M480" s="26"/>
      <c r="N480" s="26"/>
      <c r="O480" s="26"/>
      <c r="P480" s="595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5"/>
      <c r="AF480" s="25"/>
      <c r="AG480" s="25"/>
      <c r="AH480" s="25"/>
      <c r="AI480" s="25"/>
      <c r="AJ480" s="25"/>
      <c r="AK480" s="25"/>
      <c r="AL480" s="25"/>
    </row>
    <row r="481" spans="1:38">
      <c r="A481" s="503">
        <v>88316</v>
      </c>
      <c r="B481" s="628" t="s">
        <v>377</v>
      </c>
      <c r="C481" s="504" t="s">
        <v>12</v>
      </c>
      <c r="D481" s="504" t="s">
        <v>19</v>
      </c>
      <c r="E481" s="505">
        <v>20</v>
      </c>
      <c r="F481" s="505">
        <f>13.88*0.85*'PLANILHA ORÇA - CORREGEDORIA'!$BH$19</f>
        <v>13.143070685953276</v>
      </c>
      <c r="G481" s="505">
        <f>ROUND(F481*E481,2)</f>
        <v>262.86</v>
      </c>
      <c r="H481" s="26">
        <f t="shared" ref="H481:H487" si="148">J480</f>
        <v>11.798000000000002</v>
      </c>
      <c r="I481" s="26">
        <f t="shared" si="147"/>
        <v>18.149999999999999</v>
      </c>
      <c r="J481" s="375">
        <v>15.121499999999999</v>
      </c>
      <c r="K481" s="28" t="e">
        <f>IF(A482&lt;&gt;0,VLOOKUP(A482,#REF!,2,FALSE),"")</f>
        <v>#REF!</v>
      </c>
      <c r="M481" s="26"/>
      <c r="N481" s="26"/>
      <c r="O481" s="26"/>
      <c r="P481" s="595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5"/>
      <c r="AF481" s="25"/>
      <c r="AG481" s="25"/>
      <c r="AH481" s="25"/>
      <c r="AI481" s="25"/>
      <c r="AJ481" s="25"/>
      <c r="AK481" s="25"/>
      <c r="AL481" s="25"/>
    </row>
    <row r="482" spans="1:38">
      <c r="A482" s="503">
        <v>88309</v>
      </c>
      <c r="B482" s="628" t="s">
        <v>390</v>
      </c>
      <c r="C482" s="504" t="s">
        <v>12</v>
      </c>
      <c r="D482" s="504" t="s">
        <v>19</v>
      </c>
      <c r="E482" s="505">
        <v>1.2</v>
      </c>
      <c r="F482" s="505">
        <f>17.79*0.85*'PLANILHA ORÇA - CORREGEDORIA'!$BH$19</f>
        <v>16.845477485814751</v>
      </c>
      <c r="G482" s="505">
        <f t="shared" ref="G482:G487" si="149">ROUND(F482*E482,2)</f>
        <v>20.21</v>
      </c>
      <c r="H482" s="26">
        <f t="shared" si="148"/>
        <v>15.121499999999999</v>
      </c>
      <c r="I482" s="26">
        <f t="shared" si="147"/>
        <v>2.13</v>
      </c>
      <c r="J482" s="375">
        <v>42.5</v>
      </c>
      <c r="K482" s="28" t="e">
        <f>IF(A483&lt;&gt;0,VLOOKUP(A483,#REF!,2,FALSE),"")</f>
        <v>#REF!</v>
      </c>
      <c r="M482" s="26"/>
      <c r="N482" s="26"/>
      <c r="O482" s="26"/>
      <c r="P482" s="595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5"/>
      <c r="AF482" s="25"/>
      <c r="AG482" s="25"/>
      <c r="AH482" s="25"/>
      <c r="AI482" s="25"/>
      <c r="AJ482" s="25"/>
      <c r="AK482" s="25"/>
      <c r="AL482" s="25"/>
    </row>
    <row r="483" spans="1:38" ht="30">
      <c r="A483" s="24">
        <v>370</v>
      </c>
      <c r="B483" s="78" t="s">
        <v>396</v>
      </c>
      <c r="C483" s="25" t="s">
        <v>12</v>
      </c>
      <c r="D483" s="25" t="s">
        <v>35</v>
      </c>
      <c r="E483" s="26">
        <v>0.05</v>
      </c>
      <c r="F483" s="26">
        <f t="shared" ref="F483" si="150">AVERAGE(M483:AL483)</f>
        <v>81.166666666666671</v>
      </c>
      <c r="G483" s="26">
        <f t="shared" si="149"/>
        <v>4.0599999999999996</v>
      </c>
      <c r="H483" s="26">
        <f t="shared" si="148"/>
        <v>42.5</v>
      </c>
      <c r="I483" s="26">
        <f t="shared" si="147"/>
        <v>4.6100000000000003</v>
      </c>
      <c r="J483" s="375">
        <v>78.8035</v>
      </c>
      <c r="K483" s="28" t="e">
        <f>IF(A484&lt;&gt;0,VLOOKUP(A484,#REF!,2,FALSE),"")</f>
        <v>#REF!</v>
      </c>
      <c r="M483" s="26"/>
      <c r="N483" s="26"/>
      <c r="O483" s="26"/>
      <c r="P483" s="595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5"/>
      <c r="AF483" s="25"/>
      <c r="AG483" s="25">
        <v>76</v>
      </c>
      <c r="AH483" s="25">
        <v>80</v>
      </c>
      <c r="AI483" s="25">
        <v>87.5</v>
      </c>
      <c r="AJ483" s="25"/>
      <c r="AK483" s="25"/>
      <c r="AL483" s="25"/>
    </row>
    <row r="484" spans="1:38" ht="30">
      <c r="A484" s="727">
        <v>4729</v>
      </c>
      <c r="B484" s="728" t="s">
        <v>467</v>
      </c>
      <c r="C484" s="729" t="s">
        <v>12</v>
      </c>
      <c r="D484" s="729" t="s">
        <v>35</v>
      </c>
      <c r="E484" s="731">
        <v>5.8500000000000003E-2</v>
      </c>
      <c r="F484" s="731">
        <v>218.5</v>
      </c>
      <c r="G484" s="731">
        <f t="shared" si="149"/>
        <v>12.78</v>
      </c>
      <c r="H484" s="26">
        <f t="shared" si="148"/>
        <v>78.8035</v>
      </c>
      <c r="I484" s="26">
        <f t="shared" si="147"/>
        <v>12.07</v>
      </c>
      <c r="J484" s="375">
        <v>0.60349999999999993</v>
      </c>
      <c r="K484" s="28" t="e">
        <f>IF(A485&lt;&gt;0,VLOOKUP(A485,#REF!,2,FALSE),"")</f>
        <v>#REF!</v>
      </c>
      <c r="M484" s="26"/>
      <c r="N484" s="26"/>
      <c r="O484" s="26"/>
      <c r="P484" s="595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5"/>
      <c r="AF484" s="25"/>
      <c r="AG484" s="25"/>
      <c r="AH484" s="25"/>
      <c r="AI484" s="25"/>
      <c r="AJ484" s="25"/>
      <c r="AK484" s="25"/>
      <c r="AL484" s="25"/>
    </row>
    <row r="485" spans="1:38">
      <c r="A485" s="24">
        <v>1379</v>
      </c>
      <c r="B485" s="78" t="s">
        <v>397</v>
      </c>
      <c r="C485" s="25" t="s">
        <v>12</v>
      </c>
      <c r="D485" s="25" t="s">
        <v>45</v>
      </c>
      <c r="E485" s="26">
        <v>20</v>
      </c>
      <c r="F485" s="26">
        <f t="shared" ref="F485:F486" si="151">AVERAGE(M485:AL485)</f>
        <v>0.96499999999999997</v>
      </c>
      <c r="G485" s="26">
        <f t="shared" si="149"/>
        <v>19.3</v>
      </c>
      <c r="H485" s="26">
        <f t="shared" si="148"/>
        <v>0.60349999999999993</v>
      </c>
      <c r="I485" s="26">
        <f t="shared" si="147"/>
        <v>32.299999999999997</v>
      </c>
      <c r="J485" s="375">
        <v>1.615</v>
      </c>
      <c r="K485" s="28" t="e">
        <f>IF(A486&lt;&gt;0,VLOOKUP(A486,#REF!,2,FALSE),"")</f>
        <v>#REF!</v>
      </c>
      <c r="M485" s="26">
        <v>0.98099999999999998</v>
      </c>
      <c r="N485" s="26">
        <v>0.93500000000000005</v>
      </c>
      <c r="O485" s="26"/>
      <c r="P485" s="595">
        <v>0.97899999999999998</v>
      </c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5"/>
      <c r="AF485" s="25"/>
      <c r="AG485" s="25"/>
      <c r="AH485" s="25"/>
      <c r="AI485" s="25"/>
      <c r="AJ485" s="25"/>
      <c r="AK485" s="25"/>
      <c r="AL485" s="25"/>
    </row>
    <row r="486" spans="1:38" ht="45">
      <c r="A486" s="24">
        <v>4408</v>
      </c>
      <c r="B486" s="78" t="s">
        <v>468</v>
      </c>
      <c r="C486" s="25" t="s">
        <v>12</v>
      </c>
      <c r="D486" s="25" t="s">
        <v>52</v>
      </c>
      <c r="E486" s="26">
        <v>20</v>
      </c>
      <c r="F486" s="26">
        <f t="shared" si="151"/>
        <v>2.09</v>
      </c>
      <c r="G486" s="26">
        <f t="shared" si="149"/>
        <v>41.8</v>
      </c>
      <c r="H486" s="26">
        <f t="shared" si="148"/>
        <v>1.615</v>
      </c>
      <c r="I486" s="26">
        <f t="shared" si="147"/>
        <v>6.54</v>
      </c>
      <c r="J486" s="375">
        <v>4.0374999999999996</v>
      </c>
      <c r="K486" s="28" t="e">
        <f>IF(A487&lt;&gt;0,VLOOKUP(A487,#REF!,2,FALSE),"")</f>
        <v>#REF!</v>
      </c>
      <c r="M486" s="26"/>
      <c r="N486" s="26"/>
      <c r="O486" s="26"/>
      <c r="P486" s="595"/>
      <c r="Q486" s="26"/>
      <c r="R486" s="26"/>
      <c r="S486" s="26"/>
      <c r="T486" s="26"/>
      <c r="U486" s="26"/>
      <c r="V486" s="26">
        <v>2.09</v>
      </c>
      <c r="W486" s="26"/>
      <c r="X486" s="26"/>
      <c r="Y486" s="26"/>
      <c r="Z486" s="26"/>
      <c r="AA486" s="26"/>
      <c r="AB486" s="26"/>
      <c r="AC486" s="26"/>
      <c r="AD486" s="26"/>
      <c r="AE486" s="25"/>
      <c r="AF486" s="25"/>
      <c r="AG486" s="25"/>
      <c r="AH486" s="25"/>
      <c r="AI486" s="25"/>
      <c r="AJ486" s="25"/>
      <c r="AK486" s="25"/>
      <c r="AL486" s="25"/>
    </row>
    <row r="487" spans="1:38" ht="15" customHeight="1">
      <c r="A487" s="727">
        <v>89225</v>
      </c>
      <c r="B487" s="728" t="s">
        <v>1805</v>
      </c>
      <c r="C487" s="729" t="s">
        <v>12</v>
      </c>
      <c r="D487" s="729" t="s">
        <v>388</v>
      </c>
      <c r="E487" s="731">
        <v>1.62</v>
      </c>
      <c r="F487" s="731">
        <v>5.96</v>
      </c>
      <c r="G487" s="731">
        <f t="shared" si="149"/>
        <v>9.66</v>
      </c>
      <c r="H487" s="731">
        <f t="shared" si="148"/>
        <v>4.0374999999999996</v>
      </c>
      <c r="I487" s="79">
        <f>ROUND(SUM(I480:I486),2)</f>
        <v>311.76</v>
      </c>
      <c r="M487" s="26"/>
      <c r="N487" s="79"/>
      <c r="O487" s="497"/>
      <c r="P487" s="601"/>
      <c r="Q487" s="497"/>
      <c r="R487" s="497"/>
      <c r="S487" s="497"/>
      <c r="T487" s="497"/>
      <c r="U487" s="497"/>
      <c r="V487" s="497"/>
      <c r="W487" s="497"/>
      <c r="X487" s="497"/>
      <c r="Y487" s="497"/>
      <c r="Z487" s="497"/>
      <c r="AA487" s="497"/>
      <c r="AB487" s="497"/>
      <c r="AC487" s="497"/>
      <c r="AD487" s="497"/>
      <c r="AE487" s="710"/>
      <c r="AF487" s="710"/>
      <c r="AG487" s="710"/>
      <c r="AH487" s="710"/>
      <c r="AI487" s="710"/>
      <c r="AJ487" s="710"/>
      <c r="AK487" s="710"/>
      <c r="AL487" s="710"/>
    </row>
    <row r="488" spans="1:38" ht="27.75" customHeight="1">
      <c r="A488" s="917" t="s">
        <v>1894</v>
      </c>
      <c r="B488" s="918"/>
      <c r="C488" s="918"/>
      <c r="D488" s="918"/>
      <c r="E488" s="918"/>
      <c r="F488" s="926"/>
      <c r="G488" s="79">
        <f>ROUND(SUM(G481:G487),2)</f>
        <v>370.67</v>
      </c>
      <c r="H488" s="497"/>
      <c r="I488" s="80"/>
      <c r="M488" s="104"/>
      <c r="N488" s="104"/>
      <c r="O488" s="80"/>
      <c r="P488" s="426"/>
      <c r="Q488" s="80"/>
      <c r="R488" s="80"/>
      <c r="S488" s="80"/>
      <c r="T488" s="80"/>
      <c r="U488" s="80"/>
      <c r="V488" s="80"/>
      <c r="W488" s="104"/>
      <c r="X488" s="104"/>
      <c r="Y488" s="104"/>
      <c r="Z488" s="104"/>
      <c r="AA488" s="104"/>
      <c r="AB488" s="104"/>
      <c r="AC488" s="80"/>
      <c r="AD488" s="80"/>
      <c r="AE488" s="697"/>
      <c r="AF488" s="697"/>
      <c r="AG488" s="697"/>
      <c r="AH488" s="697"/>
      <c r="AI488" s="697"/>
      <c r="AJ488" s="697"/>
      <c r="AK488" s="697"/>
      <c r="AL488" s="697"/>
    </row>
    <row r="489" spans="1:38" ht="51.75" customHeight="1">
      <c r="A489" s="697"/>
      <c r="B489" s="80"/>
      <c r="C489" s="965"/>
      <c r="D489" s="966"/>
      <c r="E489" s="80"/>
      <c r="F489" s="104"/>
      <c r="G489" s="104"/>
      <c r="H489" s="80"/>
      <c r="I489" s="88"/>
      <c r="M489" s="537"/>
      <c r="N489" s="537"/>
      <c r="O489" s="75"/>
      <c r="P489" s="589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</row>
    <row r="490" spans="1:38">
      <c r="A490" s="920" t="s">
        <v>2111</v>
      </c>
      <c r="B490" s="921"/>
      <c r="C490" s="921"/>
      <c r="D490" s="921"/>
      <c r="E490" s="921"/>
      <c r="F490" s="484"/>
      <c r="G490" s="484"/>
      <c r="H490" s="75" t="s">
        <v>1915</v>
      </c>
      <c r="I490" s="77" t="s">
        <v>368</v>
      </c>
      <c r="M490" s="93"/>
      <c r="N490" s="93"/>
      <c r="O490" s="77"/>
      <c r="P490" s="590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</row>
    <row r="491" spans="1:38" ht="52.5" customHeight="1">
      <c r="A491" s="984" t="s">
        <v>1917</v>
      </c>
      <c r="B491" s="985"/>
      <c r="C491" s="77" t="s">
        <v>3</v>
      </c>
      <c r="D491" s="77" t="s">
        <v>4</v>
      </c>
      <c r="E491" s="77" t="s">
        <v>1826</v>
      </c>
      <c r="F491" s="93" t="s">
        <v>3781</v>
      </c>
      <c r="G491" s="93" t="s">
        <v>3783</v>
      </c>
      <c r="H491" s="77" t="s">
        <v>367</v>
      </c>
      <c r="I491" s="26">
        <f t="shared" ref="I491:I498" si="152">ROUND(H492*E492,2)</f>
        <v>21.18</v>
      </c>
      <c r="J491" s="375">
        <v>10.591000000000001</v>
      </c>
      <c r="K491" s="28" t="e">
        <f>IF(A492&lt;&gt;0,VLOOKUP(A492,#REF!,2,FALSE),"")</f>
        <v>#REF!</v>
      </c>
      <c r="M491" s="627"/>
      <c r="N491" s="962">
        <v>814.08</v>
      </c>
      <c r="O491" s="26"/>
      <c r="P491" s="595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5"/>
      <c r="AF491" s="25"/>
      <c r="AG491" s="25"/>
      <c r="AH491" s="25"/>
      <c r="AI491" s="25"/>
      <c r="AJ491" s="25"/>
      <c r="AK491" s="25"/>
      <c r="AL491" s="25"/>
    </row>
    <row r="492" spans="1:38" ht="52.5" customHeight="1">
      <c r="A492" s="24">
        <v>4384</v>
      </c>
      <c r="B492" s="78" t="s">
        <v>492</v>
      </c>
      <c r="C492" s="25" t="s">
        <v>12</v>
      </c>
      <c r="D492" s="25" t="s">
        <v>17</v>
      </c>
      <c r="E492" s="26">
        <v>2</v>
      </c>
      <c r="F492" s="26">
        <f t="shared" ref="F492:F497" si="153">AVERAGE(M492:AL492)</f>
        <v>1305.32</v>
      </c>
      <c r="G492" s="962">
        <f>N491</f>
        <v>814.08</v>
      </c>
      <c r="H492" s="26">
        <f t="shared" ref="H492:H499" si="154">J491</f>
        <v>10.591000000000001</v>
      </c>
      <c r="I492" s="26">
        <f t="shared" si="152"/>
        <v>1.36</v>
      </c>
      <c r="J492" s="375">
        <v>1.36</v>
      </c>
      <c r="K492" s="28" t="e">
        <f>IF(A493&lt;&gt;0,VLOOKUP(A493,#REF!,2,FALSE),"")</f>
        <v>#REF!</v>
      </c>
      <c r="M492" s="960">
        <v>1305.32</v>
      </c>
      <c r="N492" s="963"/>
      <c r="O492" s="26"/>
      <c r="P492" s="595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5"/>
      <c r="AF492" s="25"/>
      <c r="AG492" s="25"/>
      <c r="AH492" s="25"/>
      <c r="AI492" s="25"/>
      <c r="AJ492" s="25"/>
      <c r="AK492" s="25"/>
      <c r="AL492" s="25"/>
    </row>
    <row r="493" spans="1:38" ht="52.5" customHeight="1">
      <c r="A493" s="24">
        <v>6138</v>
      </c>
      <c r="B493" s="78" t="s">
        <v>154</v>
      </c>
      <c r="C493" s="25" t="s">
        <v>12</v>
      </c>
      <c r="D493" s="25" t="s">
        <v>17</v>
      </c>
      <c r="E493" s="26">
        <v>1</v>
      </c>
      <c r="F493" s="26">
        <f t="shared" si="153"/>
        <v>29.7</v>
      </c>
      <c r="G493" s="963"/>
      <c r="H493" s="26">
        <f t="shared" si="154"/>
        <v>1.36</v>
      </c>
      <c r="I493" s="26">
        <f t="shared" si="152"/>
        <v>8.8000000000000007</v>
      </c>
      <c r="J493" s="375">
        <v>59.916499999999999</v>
      </c>
      <c r="K493" s="28" t="e">
        <f>IF(A494&lt;&gt;0,VLOOKUP(A494,#REF!,2,FALSE),"")</f>
        <v>#REF!</v>
      </c>
      <c r="M493" s="960"/>
      <c r="N493" s="963"/>
      <c r="O493" s="26"/>
      <c r="P493" s="595">
        <v>29.7</v>
      </c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5"/>
      <c r="AF493" s="25"/>
      <c r="AG493" s="25"/>
      <c r="AH493" s="25"/>
      <c r="AI493" s="25"/>
      <c r="AJ493" s="25"/>
      <c r="AK493" s="25"/>
      <c r="AL493" s="25"/>
    </row>
    <row r="494" spans="1:38" ht="52.5" customHeight="1">
      <c r="A494" s="24">
        <v>37329</v>
      </c>
      <c r="B494" s="78" t="s">
        <v>493</v>
      </c>
      <c r="C494" s="25" t="s">
        <v>12</v>
      </c>
      <c r="D494" s="25" t="s">
        <v>45</v>
      </c>
      <c r="E494" s="26">
        <v>0.1469</v>
      </c>
      <c r="F494" s="26" t="e">
        <f t="shared" si="153"/>
        <v>#DIV/0!</v>
      </c>
      <c r="G494" s="963"/>
      <c r="H494" s="26">
        <f t="shared" si="154"/>
        <v>59.916499999999999</v>
      </c>
      <c r="I494" s="26">
        <f t="shared" si="152"/>
        <v>693.33</v>
      </c>
      <c r="J494" s="375">
        <v>693.32799999999997</v>
      </c>
      <c r="K494" s="28" t="e">
        <f>IF(A495&lt;&gt;0,VLOOKUP(A495,#REF!,2,FALSE),"")</f>
        <v>#REF!</v>
      </c>
      <c r="M494" s="960"/>
      <c r="N494" s="963"/>
      <c r="O494" s="26"/>
      <c r="P494" s="595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5"/>
      <c r="AF494" s="25"/>
      <c r="AG494" s="25"/>
      <c r="AH494" s="25"/>
      <c r="AI494" s="25"/>
      <c r="AJ494" s="25"/>
      <c r="AK494" s="25"/>
      <c r="AL494" s="25"/>
    </row>
    <row r="495" spans="1:38" ht="52.5" customHeight="1">
      <c r="A495" s="24">
        <v>11694</v>
      </c>
      <c r="B495" s="78" t="s">
        <v>494</v>
      </c>
      <c r="C495" s="25" t="s">
        <v>12</v>
      </c>
      <c r="D495" s="25" t="s">
        <v>17</v>
      </c>
      <c r="E495" s="26">
        <v>1</v>
      </c>
      <c r="F495" s="26" t="e">
        <f t="shared" si="153"/>
        <v>#DIV/0!</v>
      </c>
      <c r="G495" s="963"/>
      <c r="H495" s="26">
        <f t="shared" si="154"/>
        <v>693.32799999999997</v>
      </c>
      <c r="I495" s="26">
        <f t="shared" si="152"/>
        <v>103.29</v>
      </c>
      <c r="J495" s="375">
        <v>103.292</v>
      </c>
      <c r="K495" s="28" t="e">
        <f>IF(A496&lt;&gt;0,VLOOKUP(A496,#REF!,2,FALSE),"")</f>
        <v>#REF!</v>
      </c>
      <c r="M495" s="960"/>
      <c r="N495" s="963"/>
      <c r="O495" s="26"/>
      <c r="P495" s="595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5"/>
      <c r="AF495" s="25"/>
      <c r="AG495" s="25"/>
      <c r="AH495" s="25"/>
      <c r="AI495" s="25"/>
      <c r="AJ495" s="25"/>
      <c r="AK495" s="25"/>
      <c r="AL495" s="25"/>
    </row>
    <row r="496" spans="1:38" ht="52.5" customHeight="1">
      <c r="A496" s="24">
        <v>10420</v>
      </c>
      <c r="B496" s="78" t="s">
        <v>495</v>
      </c>
      <c r="C496" s="25" t="s">
        <v>12</v>
      </c>
      <c r="D496" s="25" t="s">
        <v>17</v>
      </c>
      <c r="E496" s="26">
        <v>1</v>
      </c>
      <c r="F496" s="26" t="e">
        <f t="shared" si="153"/>
        <v>#DIV/0!</v>
      </c>
      <c r="G496" s="963"/>
      <c r="H496" s="26">
        <f t="shared" si="154"/>
        <v>103.292</v>
      </c>
      <c r="I496" s="26">
        <f t="shared" si="152"/>
        <v>27.03</v>
      </c>
      <c r="J496" s="375">
        <v>27.03</v>
      </c>
      <c r="K496" s="28" t="e">
        <f>IF(A497&lt;&gt;0,VLOOKUP(A497,#REF!,2,FALSE),"")</f>
        <v>#REF!</v>
      </c>
      <c r="M496" s="961"/>
      <c r="N496" s="963"/>
      <c r="O496" s="26"/>
      <c r="P496" s="595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5"/>
      <c r="AF496" s="25"/>
      <c r="AG496" s="25"/>
      <c r="AH496" s="25"/>
      <c r="AI496" s="25"/>
      <c r="AJ496" s="25"/>
      <c r="AK496" s="25"/>
      <c r="AL496" s="25"/>
    </row>
    <row r="497" spans="1:38" ht="52.5" customHeight="1">
      <c r="A497" s="24">
        <v>377</v>
      </c>
      <c r="B497" s="78" t="s">
        <v>496</v>
      </c>
      <c r="C497" s="25" t="s">
        <v>12</v>
      </c>
      <c r="D497" s="25" t="s">
        <v>17</v>
      </c>
      <c r="E497" s="26">
        <v>1</v>
      </c>
      <c r="F497" s="26">
        <f t="shared" si="153"/>
        <v>55.066666666666663</v>
      </c>
      <c r="G497" s="964"/>
      <c r="H497" s="26">
        <f t="shared" si="154"/>
        <v>27.03</v>
      </c>
      <c r="I497" s="26">
        <f t="shared" si="152"/>
        <v>11.48</v>
      </c>
      <c r="J497" s="375">
        <v>14.7135</v>
      </c>
      <c r="K497" s="28" t="e">
        <f>IF(A498&lt;&gt;0,VLOOKUP(A498,#REF!,2,FALSE),"")</f>
        <v>#REF!</v>
      </c>
      <c r="M497" s="26"/>
      <c r="N497" s="964"/>
      <c r="O497" s="26"/>
      <c r="P497" s="595"/>
      <c r="Q497" s="26"/>
      <c r="R497" s="26"/>
      <c r="S497" s="26"/>
      <c r="T497" s="26"/>
      <c r="U497" s="26"/>
      <c r="V497" s="26"/>
      <c r="W497" s="26"/>
      <c r="X497" s="26"/>
      <c r="Y497" s="26">
        <v>34.9</v>
      </c>
      <c r="Z497" s="26">
        <v>69.75</v>
      </c>
      <c r="AA497" s="26">
        <v>60.55</v>
      </c>
      <c r="AB497" s="26"/>
      <c r="AC497" s="26"/>
      <c r="AD497" s="26"/>
      <c r="AE497" s="25"/>
      <c r="AF497" s="25"/>
      <c r="AG497" s="25"/>
      <c r="AH497" s="25"/>
      <c r="AI497" s="25"/>
      <c r="AJ497" s="25"/>
      <c r="AK497" s="25"/>
      <c r="AL497" s="25"/>
    </row>
    <row r="498" spans="1:38" ht="30">
      <c r="A498" s="503">
        <v>88267</v>
      </c>
      <c r="B498" s="628" t="s">
        <v>472</v>
      </c>
      <c r="C498" s="504" t="s">
        <v>12</v>
      </c>
      <c r="D498" s="504" t="s">
        <v>19</v>
      </c>
      <c r="E498" s="505">
        <v>0.78</v>
      </c>
      <c r="F498" s="505">
        <f>17.31*0.85*'PLANILHA ORÇA - CORREGEDORIA'!$BH$19</f>
        <v>16.390962073044033</v>
      </c>
      <c r="G498" s="630">
        <f t="shared" ref="G498:G499" si="155">ROUND(F498*E498,2)</f>
        <v>12.78</v>
      </c>
      <c r="H498" s="26">
        <f t="shared" si="154"/>
        <v>14.7135</v>
      </c>
      <c r="I498" s="26">
        <f t="shared" si="152"/>
        <v>5.19</v>
      </c>
      <c r="J498" s="375">
        <v>11.798000000000002</v>
      </c>
      <c r="K498" s="28" t="e">
        <f>IF(A499&lt;&gt;0,VLOOKUP(A499,#REF!,2,FALSE),"")</f>
        <v>#REF!</v>
      </c>
      <c r="M498" s="26"/>
      <c r="N498" s="92"/>
      <c r="O498" s="26"/>
      <c r="P498" s="595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5"/>
      <c r="AF498" s="25"/>
      <c r="AG498" s="25"/>
      <c r="AH498" s="25"/>
      <c r="AI498" s="25"/>
      <c r="AJ498" s="25"/>
      <c r="AK498" s="25"/>
      <c r="AL498" s="25"/>
    </row>
    <row r="499" spans="1:38" ht="15" customHeight="1">
      <c r="A499" s="503">
        <v>88316</v>
      </c>
      <c r="B499" s="628" t="s">
        <v>377</v>
      </c>
      <c r="C499" s="504" t="s">
        <v>12</v>
      </c>
      <c r="D499" s="504" t="s">
        <v>19</v>
      </c>
      <c r="E499" s="505">
        <v>0.44</v>
      </c>
      <c r="F499" s="505">
        <f>13.88*0.85*'PLANILHA ORÇA - CORREGEDORIA'!$BH$19</f>
        <v>13.143070685953276</v>
      </c>
      <c r="G499" s="630">
        <f t="shared" si="155"/>
        <v>5.78</v>
      </c>
      <c r="H499" s="26">
        <f t="shared" si="154"/>
        <v>11.798000000000002</v>
      </c>
      <c r="I499" s="496">
        <f>ROUND(SUM(I491:I498),2)</f>
        <v>871.66</v>
      </c>
      <c r="M499" s="26"/>
      <c r="N499" s="496"/>
      <c r="O499" s="497"/>
      <c r="P499" s="601"/>
      <c r="Q499" s="497"/>
      <c r="R499" s="497"/>
      <c r="S499" s="497"/>
      <c r="T499" s="497"/>
      <c r="U499" s="497"/>
      <c r="V499" s="497"/>
      <c r="W499" s="497"/>
      <c r="X499" s="497"/>
      <c r="Y499" s="497"/>
      <c r="Z499" s="497"/>
      <c r="AA499" s="497"/>
      <c r="AB499" s="497"/>
      <c r="AC499" s="497"/>
      <c r="AD499" s="497"/>
      <c r="AE499" s="710"/>
      <c r="AF499" s="710"/>
      <c r="AG499" s="710"/>
      <c r="AH499" s="710"/>
      <c r="AI499" s="710"/>
      <c r="AJ499" s="710"/>
      <c r="AK499" s="710"/>
      <c r="AL499" s="710"/>
    </row>
    <row r="500" spans="1:38" ht="26.25" customHeight="1">
      <c r="A500" s="917" t="s">
        <v>1894</v>
      </c>
      <c r="B500" s="918"/>
      <c r="C500" s="918"/>
      <c r="D500" s="918"/>
      <c r="E500" s="918"/>
      <c r="F500" s="926"/>
      <c r="G500" s="496">
        <f>ROUND(SUM(G492:G499),2)</f>
        <v>832.64</v>
      </c>
      <c r="H500" s="497"/>
      <c r="I500" s="80"/>
      <c r="M500" s="104"/>
      <c r="N500" s="104"/>
      <c r="O500" s="80"/>
      <c r="P500" s="426"/>
      <c r="Q500" s="80"/>
      <c r="R500" s="80"/>
      <c r="S500" s="80"/>
      <c r="T500" s="80"/>
      <c r="U500" s="80"/>
      <c r="V500" s="80"/>
      <c r="W500" s="104"/>
      <c r="X500" s="104"/>
      <c r="Y500" s="104"/>
      <c r="Z500" s="104"/>
      <c r="AA500" s="104"/>
      <c r="AB500" s="104"/>
      <c r="AC500" s="80"/>
      <c r="AD500" s="80"/>
      <c r="AE500" s="697"/>
      <c r="AF500" s="697"/>
      <c r="AG500" s="697"/>
      <c r="AH500" s="697"/>
      <c r="AI500" s="697"/>
      <c r="AJ500" s="697"/>
      <c r="AK500" s="697"/>
      <c r="AL500" s="697"/>
    </row>
    <row r="501" spans="1:38" ht="36" customHeight="1">
      <c r="A501" s="697"/>
      <c r="B501" s="80"/>
      <c r="C501" s="965"/>
      <c r="D501" s="966"/>
      <c r="E501" s="80"/>
      <c r="F501" s="104"/>
      <c r="G501" s="104"/>
      <c r="H501" s="80"/>
      <c r="I501" s="88"/>
      <c r="M501" s="537"/>
      <c r="N501" s="537"/>
      <c r="O501" s="75"/>
      <c r="P501" s="589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</row>
    <row r="502" spans="1:38">
      <c r="A502" s="920" t="s">
        <v>2481</v>
      </c>
      <c r="B502" s="921"/>
      <c r="C502" s="921"/>
      <c r="D502" s="921"/>
      <c r="E502" s="921"/>
      <c r="F502" s="484"/>
      <c r="G502" s="484"/>
      <c r="H502" s="75" t="s">
        <v>44</v>
      </c>
      <c r="I502" s="77" t="s">
        <v>368</v>
      </c>
      <c r="M502" s="93"/>
      <c r="N502" s="93"/>
      <c r="O502" s="77"/>
      <c r="P502" s="590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</row>
    <row r="503" spans="1:38" ht="28.5">
      <c r="A503" s="984" t="s">
        <v>364</v>
      </c>
      <c r="B503" s="985"/>
      <c r="C503" s="77" t="s">
        <v>3</v>
      </c>
      <c r="D503" s="77" t="s">
        <v>4</v>
      </c>
      <c r="E503" s="77" t="s">
        <v>1826</v>
      </c>
      <c r="F503" s="93" t="s">
        <v>3781</v>
      </c>
      <c r="G503" s="93" t="s">
        <v>3783</v>
      </c>
      <c r="H503" s="77" t="s">
        <v>367</v>
      </c>
      <c r="I503" s="26">
        <f>ROUND(H504*E504,2)</f>
        <v>48.49</v>
      </c>
      <c r="J503" s="375">
        <v>42.5</v>
      </c>
      <c r="K503" s="28" t="e">
        <f>IF(A504&lt;&gt;0,VLOOKUP(A504,#REF!,2,FALSE),"")</f>
        <v>#REF!</v>
      </c>
      <c r="M503" s="92"/>
      <c r="N503" s="92"/>
      <c r="O503" s="26"/>
      <c r="P503" s="595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5"/>
      <c r="AF503" s="25"/>
      <c r="AG503" s="25"/>
      <c r="AH503" s="25"/>
      <c r="AI503" s="25"/>
      <c r="AJ503" s="25"/>
      <c r="AK503" s="25"/>
      <c r="AL503" s="25"/>
    </row>
    <row r="504" spans="1:38" s="45" customFormat="1" ht="30">
      <c r="A504" s="24">
        <v>370</v>
      </c>
      <c r="B504" s="78" t="s">
        <v>396</v>
      </c>
      <c r="C504" s="25" t="s">
        <v>12</v>
      </c>
      <c r="D504" s="25" t="s">
        <v>35</v>
      </c>
      <c r="E504" s="92">
        <v>1.141</v>
      </c>
      <c r="F504" s="26">
        <f t="shared" ref="F504" si="156">AVERAGE(M504:AL504)</f>
        <v>81.166666666666671</v>
      </c>
      <c r="G504" s="92">
        <f>ROUND(F504*E504,2)</f>
        <v>92.61</v>
      </c>
      <c r="H504" s="26">
        <f t="shared" ref="H504:H508" si="157">J503</f>
        <v>42.5</v>
      </c>
      <c r="I504" s="26">
        <f>ROUND(H505*E505,2)</f>
        <v>1236.7</v>
      </c>
      <c r="J504" s="364">
        <v>1236.6990000000001</v>
      </c>
      <c r="K504" s="45" t="e">
        <f>IF(A505&lt;&gt;0,VLOOKUP(A505,#REF!,2,FALSE),"")</f>
        <v>#REF!</v>
      </c>
      <c r="L504" s="364"/>
      <c r="M504" s="92"/>
      <c r="N504" s="92"/>
      <c r="O504" s="26"/>
      <c r="P504" s="595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5"/>
      <c r="AF504" s="25"/>
      <c r="AG504" s="25">
        <v>76</v>
      </c>
      <c r="AH504" s="25">
        <v>80</v>
      </c>
      <c r="AI504" s="25">
        <v>87.5</v>
      </c>
      <c r="AJ504" s="25"/>
      <c r="AK504" s="25"/>
      <c r="AL504" s="25"/>
    </row>
    <row r="505" spans="1:38" ht="30">
      <c r="A505" s="727">
        <v>10648</v>
      </c>
      <c r="B505" s="728" t="s">
        <v>2480</v>
      </c>
      <c r="C505" s="729" t="s">
        <v>44</v>
      </c>
      <c r="D505" s="729" t="s">
        <v>52</v>
      </c>
      <c r="E505" s="732">
        <v>1</v>
      </c>
      <c r="F505" s="731">
        <v>870.79</v>
      </c>
      <c r="G505" s="732">
        <f>ROUND(F505*E505,2)</f>
        <v>870.79</v>
      </c>
      <c r="H505" s="26">
        <f t="shared" si="157"/>
        <v>1236.6990000000001</v>
      </c>
      <c r="I505" s="26">
        <f>ROUND(H506*E506,2)</f>
        <v>3.07</v>
      </c>
      <c r="J505" s="375">
        <v>15.121499999999999</v>
      </c>
      <c r="K505" s="28" t="e">
        <f>IF(A506&lt;&gt;0,VLOOKUP(A506,#REF!,2,FALSE),"")</f>
        <v>#REF!</v>
      </c>
      <c r="M505" s="92"/>
      <c r="N505" s="92"/>
      <c r="O505" s="26"/>
      <c r="P505" s="595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5"/>
      <c r="AF505" s="25"/>
      <c r="AG505" s="25"/>
      <c r="AH505" s="25"/>
      <c r="AI505" s="25"/>
      <c r="AJ505" s="25"/>
      <c r="AK505" s="25"/>
      <c r="AL505" s="25"/>
    </row>
    <row r="506" spans="1:38">
      <c r="A506" s="503">
        <v>88309</v>
      </c>
      <c r="B506" s="628" t="s">
        <v>390</v>
      </c>
      <c r="C506" s="504" t="s">
        <v>12</v>
      </c>
      <c r="D506" s="504" t="s">
        <v>19</v>
      </c>
      <c r="E506" s="630">
        <v>0.20300000000000001</v>
      </c>
      <c r="F506" s="505">
        <f>17.79*0.85*'PLANILHA ORÇA - CORREGEDORIA'!$BH$19</f>
        <v>16.845477485814751</v>
      </c>
      <c r="G506" s="630">
        <f>ROUND(F506*E506,2)</f>
        <v>3.42</v>
      </c>
      <c r="H506" s="26">
        <f t="shared" si="157"/>
        <v>15.121499999999999</v>
      </c>
      <c r="I506" s="26">
        <f>ROUND(H507*E507,2)</f>
        <v>4.3499999999999996</v>
      </c>
      <c r="J506" s="375">
        <v>11.798000000000002</v>
      </c>
      <c r="K506" s="28" t="e">
        <f>IF(A507&lt;&gt;0,VLOOKUP(A507,#REF!,2,FALSE),"")</f>
        <v>#REF!</v>
      </c>
      <c r="M506" s="92"/>
      <c r="N506" s="92"/>
      <c r="O506" s="26"/>
      <c r="P506" s="595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5"/>
      <c r="AF506" s="25"/>
      <c r="AG506" s="25"/>
      <c r="AH506" s="25"/>
      <c r="AI506" s="25"/>
      <c r="AJ506" s="25"/>
      <c r="AK506" s="25"/>
      <c r="AL506" s="25"/>
    </row>
    <row r="507" spans="1:38">
      <c r="A507" s="503">
        <v>88316</v>
      </c>
      <c r="B507" s="628" t="s">
        <v>377</v>
      </c>
      <c r="C507" s="504" t="s">
        <v>12</v>
      </c>
      <c r="D507" s="504" t="s">
        <v>19</v>
      </c>
      <c r="E507" s="630">
        <v>0.36899999999999999</v>
      </c>
      <c r="F507" s="505">
        <f>13.88*0.85*'PLANILHA ORÇA - CORREGEDORIA'!$BH$19</f>
        <v>13.143070685953276</v>
      </c>
      <c r="G507" s="630">
        <f>ROUND(F507*E507,2)</f>
        <v>4.8499999999999996</v>
      </c>
      <c r="H507" s="26">
        <f t="shared" si="157"/>
        <v>11.798000000000002</v>
      </c>
      <c r="I507" s="26">
        <f>ROUND(H508*E508,2)</f>
        <v>0.56000000000000005</v>
      </c>
      <c r="J507" s="375">
        <v>35.173000000000002</v>
      </c>
      <c r="K507" s="28" t="e">
        <f>IF(A508&lt;&gt;0,VLOOKUP(A508,#REF!,2,FALSE),"")</f>
        <v>#REF!</v>
      </c>
      <c r="M507" s="92"/>
      <c r="N507" s="92"/>
      <c r="O507" s="26"/>
      <c r="P507" s="595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5"/>
      <c r="AF507" s="25"/>
      <c r="AG507" s="25"/>
      <c r="AH507" s="25"/>
      <c r="AI507" s="25"/>
      <c r="AJ507" s="25"/>
      <c r="AK507" s="25"/>
      <c r="AL507" s="25"/>
    </row>
    <row r="508" spans="1:38" ht="15" customHeight="1">
      <c r="A508" s="727">
        <v>53786</v>
      </c>
      <c r="B508" s="728" t="s">
        <v>1806</v>
      </c>
      <c r="C508" s="729" t="s">
        <v>12</v>
      </c>
      <c r="D508" s="729" t="s">
        <v>19</v>
      </c>
      <c r="E508" s="732">
        <v>1.5800000000000002E-2</v>
      </c>
      <c r="F508" s="731">
        <v>64.48</v>
      </c>
      <c r="G508" s="732">
        <f>ROUND(F508*E508,2)</f>
        <v>1.02</v>
      </c>
      <c r="H508" s="26">
        <f t="shared" si="157"/>
        <v>35.173000000000002</v>
      </c>
      <c r="I508" s="79">
        <f>ROUND(SUM(I503:I507),2)</f>
        <v>1293.17</v>
      </c>
      <c r="M508" s="92"/>
      <c r="N508" s="79"/>
      <c r="O508" s="497"/>
      <c r="P508" s="601"/>
      <c r="Q508" s="497"/>
      <c r="R508" s="497"/>
      <c r="S508" s="497"/>
      <c r="T508" s="497"/>
      <c r="U508" s="497"/>
      <c r="V508" s="497"/>
      <c r="W508" s="497"/>
      <c r="X508" s="497"/>
      <c r="Y508" s="497"/>
      <c r="Z508" s="497"/>
      <c r="AA508" s="497"/>
      <c r="AB508" s="497"/>
      <c r="AC508" s="497"/>
      <c r="AD508" s="497"/>
      <c r="AE508" s="710"/>
      <c r="AF508" s="710"/>
      <c r="AG508" s="710"/>
      <c r="AH508" s="710"/>
      <c r="AI508" s="710"/>
      <c r="AJ508" s="710"/>
      <c r="AK508" s="710"/>
      <c r="AL508" s="710"/>
    </row>
    <row r="509" spans="1:38" ht="33.75" customHeight="1">
      <c r="A509" s="917" t="s">
        <v>1894</v>
      </c>
      <c r="B509" s="918"/>
      <c r="C509" s="918"/>
      <c r="D509" s="918"/>
      <c r="E509" s="918"/>
      <c r="F509" s="926"/>
      <c r="G509" s="79">
        <f>ROUND(SUM(G504:G508),2)</f>
        <v>972.69</v>
      </c>
      <c r="H509" s="497"/>
      <c r="I509" s="54"/>
      <c r="M509" s="53"/>
      <c r="N509" s="54"/>
      <c r="O509" s="499"/>
      <c r="P509" s="603"/>
      <c r="Q509" s="499"/>
      <c r="R509" s="499"/>
      <c r="S509" s="499"/>
      <c r="T509" s="499"/>
      <c r="U509" s="499"/>
      <c r="V509" s="499"/>
      <c r="W509" s="499"/>
      <c r="X509" s="499"/>
      <c r="Y509" s="499"/>
      <c r="Z509" s="499"/>
      <c r="AA509" s="499"/>
      <c r="AB509" s="499"/>
      <c r="AC509" s="499"/>
      <c r="AD509" s="499"/>
      <c r="AE509" s="53"/>
      <c r="AF509" s="53"/>
      <c r="AG509" s="53"/>
      <c r="AH509" s="53"/>
      <c r="AI509" s="53"/>
      <c r="AJ509" s="53"/>
      <c r="AK509" s="53"/>
      <c r="AL509" s="53"/>
    </row>
    <row r="510" spans="1:38" ht="43.5" customHeight="1">
      <c r="A510" s="53"/>
      <c r="B510" s="53"/>
      <c r="C510" s="53"/>
      <c r="D510" s="53"/>
      <c r="E510" s="53"/>
      <c r="F510" s="53"/>
      <c r="G510" s="54"/>
      <c r="H510" s="499"/>
      <c r="I510" s="118">
        <v>91926</v>
      </c>
      <c r="M510" s="537"/>
      <c r="N510" s="537"/>
      <c r="O510" s="539"/>
      <c r="P510" s="604"/>
      <c r="Q510" s="546"/>
      <c r="R510" s="546"/>
      <c r="S510" s="546"/>
      <c r="T510" s="572"/>
      <c r="U510" s="572"/>
      <c r="V510" s="656"/>
      <c r="W510" s="719"/>
      <c r="X510" s="707"/>
      <c r="Y510" s="719"/>
      <c r="Z510" s="719"/>
      <c r="AA510" s="707"/>
      <c r="AB510" s="707"/>
      <c r="AC510" s="656"/>
      <c r="AD510" s="678"/>
      <c r="AE510" s="719"/>
      <c r="AF510" s="719"/>
      <c r="AG510" s="719"/>
      <c r="AH510" s="719"/>
      <c r="AI510" s="719"/>
      <c r="AJ510" s="719"/>
      <c r="AK510" s="719"/>
      <c r="AL510" s="719"/>
    </row>
    <row r="511" spans="1:38">
      <c r="A511" s="953" t="s">
        <v>3787</v>
      </c>
      <c r="B511" s="954"/>
      <c r="C511" s="954"/>
      <c r="D511" s="954"/>
      <c r="E511" s="955"/>
      <c r="F511" s="484"/>
      <c r="G511" s="484"/>
      <c r="H511" s="489" t="s">
        <v>12</v>
      </c>
      <c r="I511" s="77" t="s">
        <v>368</v>
      </c>
      <c r="M511" s="93"/>
      <c r="N511" s="93"/>
      <c r="O511" s="77"/>
      <c r="P511" s="590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</row>
    <row r="512" spans="1:38" ht="45" customHeight="1">
      <c r="A512" s="77" t="s">
        <v>1917</v>
      </c>
      <c r="B512" s="668"/>
      <c r="C512" s="77" t="s">
        <v>3</v>
      </c>
      <c r="D512" s="77" t="s">
        <v>4</v>
      </c>
      <c r="E512" s="77" t="s">
        <v>1826</v>
      </c>
      <c r="F512" s="93" t="s">
        <v>3781</v>
      </c>
      <c r="G512" s="93" t="s">
        <v>3783</v>
      </c>
      <c r="H512" s="77" t="s">
        <v>367</v>
      </c>
      <c r="I512" s="26"/>
      <c r="M512" s="26"/>
      <c r="N512" s="26"/>
      <c r="O512" s="26"/>
      <c r="P512" s="595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5"/>
      <c r="AF512" s="25"/>
      <c r="AG512" s="25"/>
      <c r="AH512" s="25"/>
      <c r="AI512" s="25"/>
      <c r="AJ512" s="25"/>
      <c r="AK512" s="25"/>
      <c r="AL512" s="25"/>
    </row>
    <row r="513" spans="1:38" ht="45">
      <c r="A513" s="100">
        <v>1014</v>
      </c>
      <c r="B513" s="109" t="s">
        <v>3785</v>
      </c>
      <c r="C513" s="25" t="s">
        <v>12</v>
      </c>
      <c r="D513" s="126" t="s">
        <v>52</v>
      </c>
      <c r="E513" s="127">
        <v>1.19</v>
      </c>
      <c r="F513" s="26">
        <v>2.58</v>
      </c>
      <c r="G513" s="26">
        <f>ROUND(F513*E513,2)</f>
        <v>3.07</v>
      </c>
      <c r="H513" s="128">
        <f>0.85*2.21</f>
        <v>1.8784999999999998</v>
      </c>
      <c r="I513" s="129"/>
      <c r="M513" s="26"/>
      <c r="N513" s="26"/>
      <c r="O513" s="128"/>
      <c r="P513" s="605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92"/>
      <c r="AF513" s="192"/>
      <c r="AG513" s="192"/>
      <c r="AH513" s="192"/>
      <c r="AI513" s="192"/>
      <c r="AJ513" s="192"/>
      <c r="AK513" s="192"/>
      <c r="AL513" s="192"/>
    </row>
    <row r="514" spans="1:38" ht="15" customHeight="1">
      <c r="A514" s="100">
        <v>21127</v>
      </c>
      <c r="B514" s="109" t="s">
        <v>3786</v>
      </c>
      <c r="C514" s="25" t="s">
        <v>12</v>
      </c>
      <c r="D514" s="126" t="s">
        <v>17</v>
      </c>
      <c r="E514" s="127">
        <v>0.09</v>
      </c>
      <c r="F514" s="26">
        <f>H514</f>
        <v>3.9354999999999998</v>
      </c>
      <c r="G514" s="26">
        <f>ROUND(F514*E514,2)</f>
        <v>0.35</v>
      </c>
      <c r="H514" s="128">
        <f>0.85*4.63</f>
        <v>3.9354999999999998</v>
      </c>
      <c r="I514" s="129"/>
      <c r="M514" s="26"/>
      <c r="N514" s="26"/>
      <c r="O514" s="128"/>
      <c r="P514" s="605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92"/>
      <c r="AF514" s="192"/>
      <c r="AG514" s="192"/>
      <c r="AH514" s="192"/>
      <c r="AI514" s="192"/>
      <c r="AJ514" s="192"/>
      <c r="AK514" s="192"/>
      <c r="AL514" s="192"/>
    </row>
    <row r="515" spans="1:38" ht="15" customHeight="1">
      <c r="A515" s="100">
        <v>88247</v>
      </c>
      <c r="B515" s="109" t="s">
        <v>510</v>
      </c>
      <c r="C515" s="25" t="s">
        <v>12</v>
      </c>
      <c r="D515" s="126" t="s">
        <v>19</v>
      </c>
      <c r="E515" s="127">
        <v>0.03</v>
      </c>
      <c r="F515" s="505">
        <f>14.01*0.85*'PLANILHA ORÇA - CORREGEDORIA'!$BH$19</f>
        <v>13.266168610245346</v>
      </c>
      <c r="G515" s="26">
        <f>ROUND(F515*E515,2)</f>
        <v>0.4</v>
      </c>
      <c r="H515" s="128">
        <v>11.9085</v>
      </c>
      <c r="I515" s="129"/>
      <c r="M515" s="26"/>
      <c r="N515" s="26"/>
      <c r="O515" s="128"/>
      <c r="P515" s="605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92"/>
      <c r="AF515" s="192"/>
      <c r="AG515" s="192"/>
      <c r="AH515" s="192"/>
      <c r="AI515" s="192"/>
      <c r="AJ515" s="192"/>
      <c r="AK515" s="192"/>
      <c r="AL515" s="192"/>
    </row>
    <row r="516" spans="1:38" ht="15" customHeight="1">
      <c r="A516" s="100">
        <v>88264</v>
      </c>
      <c r="B516" s="109" t="s">
        <v>379</v>
      </c>
      <c r="C516" s="25" t="s">
        <v>12</v>
      </c>
      <c r="D516" s="126" t="s">
        <v>19</v>
      </c>
      <c r="E516" s="127">
        <v>0.03</v>
      </c>
      <c r="F516" s="505">
        <f>17.94*0.85*'PLANILHA ORÇA - CORREGEDORIA'!$BH$19</f>
        <v>16.987513552305604</v>
      </c>
      <c r="G516" s="26">
        <f>ROUND(F516*E516,2)</f>
        <v>0.51</v>
      </c>
      <c r="H516" s="128">
        <v>15.249000000000001</v>
      </c>
      <c r="I516" s="130"/>
      <c r="M516" s="26"/>
      <c r="N516" s="130"/>
      <c r="O516" s="538"/>
      <c r="P516" s="606"/>
      <c r="Q516" s="542"/>
      <c r="R516" s="542"/>
      <c r="S516" s="542"/>
      <c r="T516" s="568"/>
      <c r="U516" s="568"/>
      <c r="V516" s="652"/>
      <c r="W516" s="718"/>
      <c r="X516" s="706"/>
      <c r="Y516" s="718"/>
      <c r="Z516" s="718"/>
      <c r="AA516" s="706"/>
      <c r="AB516" s="706"/>
      <c r="AC516" s="652"/>
      <c r="AD516" s="677"/>
      <c r="AE516" s="718"/>
      <c r="AF516" s="718"/>
      <c r="AG516" s="718"/>
      <c r="AH516" s="718"/>
      <c r="AI516" s="718"/>
      <c r="AJ516" s="718"/>
      <c r="AK516" s="718"/>
      <c r="AL516" s="718"/>
    </row>
    <row r="517" spans="1:38" ht="33.75" customHeight="1">
      <c r="A517" s="956" t="s">
        <v>1894</v>
      </c>
      <c r="B517" s="957"/>
      <c r="C517" s="957"/>
      <c r="D517" s="957"/>
      <c r="E517" s="957"/>
      <c r="F517" s="957"/>
      <c r="G517" s="130">
        <f>ROUND(SUM(G513:G516),2)</f>
        <v>4.33</v>
      </c>
      <c r="H517" s="487"/>
      <c r="I517" s="54"/>
      <c r="M517" s="53"/>
      <c r="N517" s="54"/>
      <c r="O517" s="499"/>
      <c r="P517" s="603"/>
      <c r="Q517" s="499"/>
      <c r="R517" s="499"/>
      <c r="S517" s="499"/>
      <c r="T517" s="499"/>
      <c r="U517" s="499"/>
      <c r="V517" s="499"/>
      <c r="W517" s="499"/>
      <c r="X517" s="499"/>
      <c r="Y517" s="499"/>
      <c r="Z517" s="499"/>
      <c r="AA517" s="499"/>
      <c r="AB517" s="499"/>
      <c r="AC517" s="499"/>
      <c r="AD517" s="499"/>
      <c r="AE517" s="53"/>
      <c r="AF517" s="53"/>
      <c r="AG517" s="53"/>
      <c r="AH517" s="53"/>
      <c r="AI517" s="53"/>
      <c r="AJ517" s="53"/>
      <c r="AK517" s="53"/>
      <c r="AL517" s="53"/>
    </row>
    <row r="518" spans="1:38" ht="33.75" customHeight="1">
      <c r="A518" s="53"/>
      <c r="B518" s="53"/>
      <c r="C518" s="53"/>
      <c r="D518" s="53"/>
      <c r="E518" s="53"/>
      <c r="F518" s="53"/>
      <c r="G518" s="54"/>
      <c r="H518" s="499"/>
      <c r="I518" s="118">
        <v>91928</v>
      </c>
      <c r="M518" s="537"/>
      <c r="N518" s="537"/>
      <c r="O518" s="539"/>
      <c r="P518" s="604"/>
      <c r="Q518" s="546"/>
      <c r="R518" s="546"/>
      <c r="S518" s="546"/>
      <c r="T518" s="572"/>
      <c r="U518" s="572"/>
      <c r="V518" s="656"/>
      <c r="W518" s="719"/>
      <c r="X518" s="707"/>
      <c r="Y518" s="719"/>
      <c r="Z518" s="719"/>
      <c r="AA518" s="707"/>
      <c r="AB518" s="707"/>
      <c r="AC518" s="656"/>
      <c r="AD518" s="678"/>
      <c r="AE518" s="719"/>
      <c r="AF518" s="719"/>
      <c r="AG518" s="719"/>
      <c r="AH518" s="719"/>
      <c r="AI518" s="719"/>
      <c r="AJ518" s="719"/>
      <c r="AK518" s="719"/>
      <c r="AL518" s="719"/>
    </row>
    <row r="519" spans="1:38">
      <c r="A519" s="953" t="s">
        <v>3789</v>
      </c>
      <c r="B519" s="954"/>
      <c r="C519" s="954"/>
      <c r="D519" s="954"/>
      <c r="E519" s="955"/>
      <c r="F519" s="484"/>
      <c r="G519" s="484"/>
      <c r="H519" s="489" t="s">
        <v>12</v>
      </c>
      <c r="I519" s="77" t="s">
        <v>368</v>
      </c>
      <c r="M519" s="93"/>
      <c r="N519" s="93"/>
      <c r="O519" s="77"/>
      <c r="P519" s="590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</row>
    <row r="520" spans="1:38" ht="45" customHeight="1">
      <c r="A520" s="77" t="s">
        <v>1917</v>
      </c>
      <c r="B520" s="668"/>
      <c r="C520" s="77" t="s">
        <v>3</v>
      </c>
      <c r="D520" s="77" t="s">
        <v>4</v>
      </c>
      <c r="E520" s="77" t="s">
        <v>1826</v>
      </c>
      <c r="F520" s="93" t="s">
        <v>3781</v>
      </c>
      <c r="G520" s="93" t="s">
        <v>3783</v>
      </c>
      <c r="H520" s="77" t="s">
        <v>367</v>
      </c>
      <c r="I520" s="26"/>
      <c r="M520" s="26"/>
      <c r="N520" s="26"/>
      <c r="O520" s="26"/>
      <c r="P520" s="595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5"/>
      <c r="AF520" s="25"/>
      <c r="AG520" s="25"/>
      <c r="AH520" s="25"/>
      <c r="AI520" s="25"/>
      <c r="AJ520" s="25"/>
      <c r="AK520" s="25"/>
      <c r="AL520" s="25"/>
    </row>
    <row r="521" spans="1:38" ht="45">
      <c r="A521" s="100">
        <v>1014</v>
      </c>
      <c r="B521" s="109" t="s">
        <v>3788</v>
      </c>
      <c r="C521" s="25" t="s">
        <v>12</v>
      </c>
      <c r="D521" s="126" t="s">
        <v>52</v>
      </c>
      <c r="E521" s="127">
        <v>1.19</v>
      </c>
      <c r="F521" s="26">
        <v>4.29</v>
      </c>
      <c r="G521" s="26">
        <f>ROUND(F521*E521,2)</f>
        <v>5.1100000000000003</v>
      </c>
      <c r="H521" s="128">
        <f>0.85*3.96</f>
        <v>3.3660000000000001</v>
      </c>
      <c r="I521" s="129"/>
      <c r="M521" s="26"/>
      <c r="N521" s="26"/>
      <c r="O521" s="128"/>
      <c r="P521" s="605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92"/>
      <c r="AF521" s="192"/>
      <c r="AG521" s="192"/>
      <c r="AH521" s="192"/>
      <c r="AI521" s="192"/>
      <c r="AJ521" s="192"/>
      <c r="AK521" s="192"/>
      <c r="AL521" s="192"/>
    </row>
    <row r="522" spans="1:38" ht="15" customHeight="1">
      <c r="A522" s="100">
        <v>21127</v>
      </c>
      <c r="B522" s="109" t="s">
        <v>3786</v>
      </c>
      <c r="C522" s="25" t="s">
        <v>12</v>
      </c>
      <c r="D522" s="126" t="s">
        <v>17</v>
      </c>
      <c r="E522" s="127">
        <v>0.09</v>
      </c>
      <c r="F522" s="26">
        <f>H522</f>
        <v>3.9354999999999998</v>
      </c>
      <c r="G522" s="26">
        <f>ROUND(F522*E522,2)</f>
        <v>0.35</v>
      </c>
      <c r="H522" s="128">
        <f>0.85*4.63</f>
        <v>3.9354999999999998</v>
      </c>
      <c r="I522" s="129"/>
      <c r="M522" s="26"/>
      <c r="N522" s="26"/>
      <c r="O522" s="128"/>
      <c r="P522" s="605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92"/>
      <c r="AF522" s="192"/>
      <c r="AG522" s="192"/>
      <c r="AH522" s="192"/>
      <c r="AI522" s="192"/>
      <c r="AJ522" s="192"/>
      <c r="AK522" s="192"/>
      <c r="AL522" s="192"/>
    </row>
    <row r="523" spans="1:38" ht="15" customHeight="1">
      <c r="A523" s="100">
        <v>88247</v>
      </c>
      <c r="B523" s="109" t="s">
        <v>510</v>
      </c>
      <c r="C523" s="25" t="s">
        <v>12</v>
      </c>
      <c r="D523" s="126" t="s">
        <v>19</v>
      </c>
      <c r="E523" s="127">
        <v>0.04</v>
      </c>
      <c r="F523" s="505">
        <f>14.01*0.85*'PLANILHA ORÇA - CORREGEDORIA'!$BH$19</f>
        <v>13.266168610245346</v>
      </c>
      <c r="G523" s="26">
        <f>ROUND(F523*E523,2)</f>
        <v>0.53</v>
      </c>
      <c r="H523" s="128">
        <v>11.9085</v>
      </c>
      <c r="I523" s="129"/>
      <c r="M523" s="26"/>
      <c r="N523" s="26"/>
      <c r="O523" s="128"/>
      <c r="P523" s="605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92"/>
      <c r="AF523" s="192"/>
      <c r="AG523" s="192"/>
      <c r="AH523" s="192"/>
      <c r="AI523" s="192"/>
      <c r="AJ523" s="192"/>
      <c r="AK523" s="192"/>
      <c r="AL523" s="192"/>
    </row>
    <row r="524" spans="1:38" ht="15" customHeight="1">
      <c r="A524" s="100">
        <v>88264</v>
      </c>
      <c r="B524" s="109" t="s">
        <v>379</v>
      </c>
      <c r="C524" s="25" t="s">
        <v>12</v>
      </c>
      <c r="D524" s="126" t="s">
        <v>19</v>
      </c>
      <c r="E524" s="127">
        <v>0.04</v>
      </c>
      <c r="F524" s="505">
        <f>17.94*0.85*'PLANILHA ORÇA - CORREGEDORIA'!$BH$19</f>
        <v>16.987513552305604</v>
      </c>
      <c r="G524" s="26">
        <f>ROUND(F524*E524,2)</f>
        <v>0.68</v>
      </c>
      <c r="H524" s="128">
        <v>15.249000000000001</v>
      </c>
      <c r="I524" s="130"/>
      <c r="M524" s="26"/>
      <c r="N524" s="130"/>
      <c r="O524" s="538"/>
      <c r="P524" s="606"/>
      <c r="Q524" s="542"/>
      <c r="R524" s="542"/>
      <c r="S524" s="542"/>
      <c r="T524" s="568"/>
      <c r="U524" s="568"/>
      <c r="V524" s="652"/>
      <c r="W524" s="718"/>
      <c r="X524" s="706"/>
      <c r="Y524" s="718"/>
      <c r="Z524" s="718"/>
      <c r="AA524" s="706"/>
      <c r="AB524" s="706"/>
      <c r="AC524" s="652"/>
      <c r="AD524" s="677"/>
      <c r="AE524" s="718"/>
      <c r="AF524" s="718"/>
      <c r="AG524" s="718"/>
      <c r="AH524" s="718"/>
      <c r="AI524" s="718"/>
      <c r="AJ524" s="718"/>
      <c r="AK524" s="718"/>
      <c r="AL524" s="718"/>
    </row>
    <row r="525" spans="1:38" ht="25.5" customHeight="1">
      <c r="A525" s="956" t="s">
        <v>1894</v>
      </c>
      <c r="B525" s="957"/>
      <c r="C525" s="957"/>
      <c r="D525" s="957"/>
      <c r="E525" s="957"/>
      <c r="F525" s="957"/>
      <c r="G525" s="130">
        <f>ROUND(SUM(G521:G524),2)</f>
        <v>6.67</v>
      </c>
      <c r="H525" s="487"/>
      <c r="I525" s="54"/>
      <c r="M525" s="53"/>
      <c r="N525" s="54"/>
      <c r="O525" s="499"/>
      <c r="P525" s="603"/>
      <c r="Q525" s="499"/>
      <c r="R525" s="499"/>
      <c r="S525" s="499"/>
      <c r="T525" s="499"/>
      <c r="U525" s="499"/>
      <c r="V525" s="499"/>
      <c r="W525" s="499"/>
      <c r="X525" s="499"/>
      <c r="Y525" s="499"/>
      <c r="Z525" s="499"/>
      <c r="AA525" s="499"/>
      <c r="AB525" s="499"/>
      <c r="AC525" s="499"/>
      <c r="AD525" s="499"/>
      <c r="AE525" s="53"/>
      <c r="AF525" s="53"/>
      <c r="AG525" s="53"/>
      <c r="AH525" s="53"/>
      <c r="AI525" s="53"/>
      <c r="AJ525" s="53"/>
      <c r="AK525" s="53"/>
      <c r="AL525" s="53"/>
    </row>
    <row r="526" spans="1:38" ht="39" customHeight="1">
      <c r="A526" s="53"/>
      <c r="B526" s="53"/>
      <c r="C526" s="53"/>
      <c r="D526" s="53"/>
      <c r="E526" s="53"/>
      <c r="F526" s="53"/>
      <c r="G526" s="54"/>
      <c r="H526" s="499"/>
      <c r="I526" s="118">
        <v>91929</v>
      </c>
      <c r="M526" s="537"/>
      <c r="N526" s="537"/>
      <c r="O526" s="539"/>
      <c r="P526" s="604"/>
      <c r="Q526" s="546"/>
      <c r="R526" s="546"/>
      <c r="S526" s="546"/>
      <c r="T526" s="572"/>
      <c r="U526" s="572"/>
      <c r="V526" s="656"/>
      <c r="W526" s="719"/>
      <c r="X526" s="707"/>
      <c r="Y526" s="719"/>
      <c r="Z526" s="719"/>
      <c r="AA526" s="707"/>
      <c r="AB526" s="707"/>
      <c r="AC526" s="656"/>
      <c r="AD526" s="678"/>
      <c r="AE526" s="719"/>
      <c r="AF526" s="719"/>
      <c r="AG526" s="719"/>
      <c r="AH526" s="719"/>
      <c r="AI526" s="719"/>
      <c r="AJ526" s="719"/>
      <c r="AK526" s="719"/>
      <c r="AL526" s="719"/>
    </row>
    <row r="527" spans="1:38">
      <c r="A527" s="953" t="s">
        <v>3790</v>
      </c>
      <c r="B527" s="954"/>
      <c r="C527" s="954"/>
      <c r="D527" s="954"/>
      <c r="E527" s="955"/>
      <c r="F527" s="484"/>
      <c r="G527" s="484"/>
      <c r="H527" s="489" t="s">
        <v>12</v>
      </c>
      <c r="I527" s="77" t="s">
        <v>368</v>
      </c>
      <c r="M527" s="93"/>
      <c r="N527" s="93"/>
      <c r="O527" s="77"/>
      <c r="P527" s="590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</row>
    <row r="528" spans="1:38" ht="45" customHeight="1">
      <c r="A528" s="77" t="s">
        <v>1917</v>
      </c>
      <c r="B528" s="668"/>
      <c r="C528" s="77" t="s">
        <v>3</v>
      </c>
      <c r="D528" s="77" t="s">
        <v>4</v>
      </c>
      <c r="E528" s="77" t="s">
        <v>1826</v>
      </c>
      <c r="F528" s="93" t="s">
        <v>3781</v>
      </c>
      <c r="G528" s="93" t="s">
        <v>3783</v>
      </c>
      <c r="H528" s="77" t="s">
        <v>367</v>
      </c>
      <c r="I528" s="26"/>
      <c r="M528" s="26"/>
      <c r="N528" s="26"/>
      <c r="O528" s="26"/>
      <c r="P528" s="595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5"/>
      <c r="AF528" s="25"/>
      <c r="AG528" s="25"/>
      <c r="AH528" s="25"/>
      <c r="AI528" s="25"/>
      <c r="AJ528" s="25"/>
      <c r="AK528" s="25"/>
      <c r="AL528" s="25"/>
    </row>
    <row r="529" spans="1:38" ht="45">
      <c r="A529" s="100">
        <v>1021</v>
      </c>
      <c r="B529" s="109" t="s">
        <v>3791</v>
      </c>
      <c r="C529" s="25" t="s">
        <v>12</v>
      </c>
      <c r="D529" s="126" t="s">
        <v>52</v>
      </c>
      <c r="E529" s="127">
        <v>1.19</v>
      </c>
      <c r="F529" s="26">
        <v>5.64</v>
      </c>
      <c r="G529" s="26">
        <f>ROUND(F529*E529,2)</f>
        <v>6.71</v>
      </c>
      <c r="H529" s="128">
        <f>0.85*4.72</f>
        <v>4.0119999999999996</v>
      </c>
      <c r="I529" s="129"/>
      <c r="M529" s="26"/>
      <c r="N529" s="26"/>
      <c r="O529" s="128"/>
      <c r="P529" s="605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92"/>
      <c r="AF529" s="192"/>
      <c r="AG529" s="192"/>
      <c r="AH529" s="192"/>
      <c r="AI529" s="192"/>
      <c r="AJ529" s="192"/>
      <c r="AK529" s="192"/>
      <c r="AL529" s="192"/>
    </row>
    <row r="530" spans="1:38" ht="15" customHeight="1">
      <c r="A530" s="100">
        <v>21127</v>
      </c>
      <c r="B530" s="109" t="s">
        <v>3786</v>
      </c>
      <c r="C530" s="25" t="s">
        <v>12</v>
      </c>
      <c r="D530" s="126" t="s">
        <v>17</v>
      </c>
      <c r="E530" s="127">
        <v>0.09</v>
      </c>
      <c r="F530" s="26">
        <f>H530</f>
        <v>3.9354999999999998</v>
      </c>
      <c r="G530" s="26">
        <f>ROUND(F530*E530,2)</f>
        <v>0.35</v>
      </c>
      <c r="H530" s="128">
        <f>0.85*4.63</f>
        <v>3.9354999999999998</v>
      </c>
      <c r="I530" s="129"/>
      <c r="M530" s="26"/>
      <c r="N530" s="26"/>
      <c r="O530" s="128"/>
      <c r="P530" s="605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92"/>
      <c r="AF530" s="192"/>
      <c r="AG530" s="192"/>
      <c r="AH530" s="192"/>
      <c r="AI530" s="192"/>
      <c r="AJ530" s="192"/>
      <c r="AK530" s="192"/>
      <c r="AL530" s="192"/>
    </row>
    <row r="531" spans="1:38" ht="15" customHeight="1">
      <c r="A531" s="100">
        <v>88247</v>
      </c>
      <c r="B531" s="109" t="s">
        <v>510</v>
      </c>
      <c r="C531" s="25" t="s">
        <v>12</v>
      </c>
      <c r="D531" s="126" t="s">
        <v>19</v>
      </c>
      <c r="E531" s="127">
        <v>0.04</v>
      </c>
      <c r="F531" s="505">
        <f>14.01*0.85*'PLANILHA ORÇA - CORREGEDORIA'!$BH$19</f>
        <v>13.266168610245346</v>
      </c>
      <c r="G531" s="26">
        <f>ROUND(F531*E531,2)</f>
        <v>0.53</v>
      </c>
      <c r="H531" s="128">
        <v>11.9085</v>
      </c>
      <c r="I531" s="129"/>
      <c r="M531" s="26"/>
      <c r="N531" s="26"/>
      <c r="O531" s="128"/>
      <c r="P531" s="605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92"/>
      <c r="AF531" s="192"/>
      <c r="AG531" s="192"/>
      <c r="AH531" s="192"/>
      <c r="AI531" s="192"/>
      <c r="AJ531" s="192"/>
      <c r="AK531" s="192"/>
      <c r="AL531" s="192"/>
    </row>
    <row r="532" spans="1:38" ht="15" customHeight="1">
      <c r="A532" s="100">
        <v>88264</v>
      </c>
      <c r="B532" s="109" t="s">
        <v>379</v>
      </c>
      <c r="C532" s="25" t="s">
        <v>12</v>
      </c>
      <c r="D532" s="126" t="s">
        <v>19</v>
      </c>
      <c r="E532" s="127">
        <v>0.04</v>
      </c>
      <c r="F532" s="505">
        <f>17.94*0.85*'PLANILHA ORÇA - CORREGEDORIA'!$BH$19</f>
        <v>16.987513552305604</v>
      </c>
      <c r="G532" s="26">
        <f>ROUND(F532*E532,2)</f>
        <v>0.68</v>
      </c>
      <c r="H532" s="128">
        <v>15.249000000000001</v>
      </c>
      <c r="I532" s="130"/>
      <c r="M532" s="26"/>
      <c r="N532" s="130"/>
      <c r="O532" s="538"/>
      <c r="P532" s="606"/>
      <c r="Q532" s="542"/>
      <c r="R532" s="542"/>
      <c r="S532" s="542"/>
      <c r="T532" s="568"/>
      <c r="U532" s="568"/>
      <c r="V532" s="652"/>
      <c r="W532" s="718"/>
      <c r="X532" s="706"/>
      <c r="Y532" s="718"/>
      <c r="Z532" s="718"/>
      <c r="AA532" s="706"/>
      <c r="AB532" s="706"/>
      <c r="AC532" s="652"/>
      <c r="AD532" s="677"/>
      <c r="AE532" s="718"/>
      <c r="AF532" s="718"/>
      <c r="AG532" s="718"/>
      <c r="AH532" s="718"/>
      <c r="AI532" s="718"/>
      <c r="AJ532" s="718"/>
      <c r="AK532" s="718"/>
      <c r="AL532" s="718"/>
    </row>
    <row r="533" spans="1:38" ht="23.25" customHeight="1">
      <c r="A533" s="956" t="s">
        <v>1894</v>
      </c>
      <c r="B533" s="957"/>
      <c r="C533" s="957"/>
      <c r="D533" s="957"/>
      <c r="E533" s="957"/>
      <c r="F533" s="957"/>
      <c r="G533" s="130">
        <f>ROUND(SUM(G529:G532),2)</f>
        <v>8.27</v>
      </c>
      <c r="H533" s="487"/>
      <c r="I533" s="54"/>
      <c r="M533" s="53"/>
      <c r="N533" s="54"/>
      <c r="O533" s="499"/>
      <c r="P533" s="603"/>
      <c r="Q533" s="499"/>
      <c r="R533" s="499"/>
      <c r="S533" s="499"/>
      <c r="T533" s="499"/>
      <c r="U533" s="499"/>
      <c r="V533" s="499"/>
      <c r="W533" s="499"/>
      <c r="X533" s="499"/>
      <c r="Y533" s="499"/>
      <c r="Z533" s="499"/>
      <c r="AA533" s="499"/>
      <c r="AB533" s="499"/>
      <c r="AC533" s="499"/>
      <c r="AD533" s="499"/>
      <c r="AE533" s="53"/>
      <c r="AF533" s="53"/>
      <c r="AG533" s="53"/>
      <c r="AH533" s="53"/>
      <c r="AI533" s="53"/>
      <c r="AJ533" s="53"/>
      <c r="AK533" s="53"/>
      <c r="AL533" s="53"/>
    </row>
    <row r="534" spans="1:38" ht="42.75" customHeight="1">
      <c r="A534" s="53"/>
      <c r="B534" s="53"/>
      <c r="C534" s="53"/>
      <c r="D534" s="53"/>
      <c r="E534" s="53"/>
      <c r="F534" s="53"/>
      <c r="G534" s="54"/>
      <c r="H534" s="499"/>
      <c r="I534" s="118">
        <v>91935</v>
      </c>
      <c r="M534" s="537"/>
      <c r="N534" s="537"/>
      <c r="O534" s="539"/>
      <c r="P534" s="604"/>
      <c r="Q534" s="546"/>
      <c r="R534" s="546"/>
      <c r="S534" s="546"/>
      <c r="T534" s="572"/>
      <c r="U534" s="572"/>
      <c r="V534" s="656"/>
      <c r="W534" s="719"/>
      <c r="X534" s="707"/>
      <c r="Y534" s="719"/>
      <c r="Z534" s="719"/>
      <c r="AA534" s="707"/>
      <c r="AB534" s="707"/>
      <c r="AC534" s="656"/>
      <c r="AD534" s="678"/>
      <c r="AE534" s="719"/>
      <c r="AF534" s="719"/>
      <c r="AG534" s="719"/>
      <c r="AH534" s="719"/>
      <c r="AI534" s="719"/>
      <c r="AJ534" s="719"/>
      <c r="AK534" s="719"/>
      <c r="AL534" s="719"/>
    </row>
    <row r="535" spans="1:38">
      <c r="A535" s="953" t="s">
        <v>1683</v>
      </c>
      <c r="B535" s="954"/>
      <c r="C535" s="954"/>
      <c r="D535" s="954"/>
      <c r="E535" s="955"/>
      <c r="F535" s="484"/>
      <c r="G535" s="484"/>
      <c r="H535" s="489" t="s">
        <v>12</v>
      </c>
      <c r="I535" s="77" t="s">
        <v>368</v>
      </c>
      <c r="M535" s="93"/>
      <c r="N535" s="93"/>
      <c r="O535" s="77"/>
      <c r="P535" s="590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</row>
    <row r="536" spans="1:38" ht="45" customHeight="1">
      <c r="A536" s="77" t="s">
        <v>1917</v>
      </c>
      <c r="B536" s="668"/>
      <c r="C536" s="77" t="s">
        <v>3</v>
      </c>
      <c r="D536" s="77" t="s">
        <v>4</v>
      </c>
      <c r="E536" s="77" t="s">
        <v>1826</v>
      </c>
      <c r="F536" s="93" t="s">
        <v>3781</v>
      </c>
      <c r="G536" s="93" t="s">
        <v>3783</v>
      </c>
      <c r="H536" s="77" t="s">
        <v>367</v>
      </c>
      <c r="I536" s="26"/>
      <c r="M536" s="26"/>
      <c r="N536" s="26"/>
      <c r="O536" s="26"/>
      <c r="P536" s="595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5"/>
      <c r="AF536" s="25"/>
      <c r="AG536" s="25"/>
      <c r="AH536" s="25"/>
      <c r="AI536" s="25"/>
      <c r="AJ536" s="25"/>
      <c r="AK536" s="25"/>
      <c r="AL536" s="25"/>
    </row>
    <row r="537" spans="1:38" ht="60">
      <c r="A537" s="100">
        <v>995</v>
      </c>
      <c r="B537" s="109" t="s">
        <v>3792</v>
      </c>
      <c r="C537" s="25" t="s">
        <v>12</v>
      </c>
      <c r="D537" s="126" t="s">
        <v>52</v>
      </c>
      <c r="E537" s="127">
        <v>1.19</v>
      </c>
      <c r="F537" s="26">
        <v>18.64</v>
      </c>
      <c r="G537" s="26">
        <f>ROUND(F537*E537,2)</f>
        <v>22.18</v>
      </c>
      <c r="H537" s="128">
        <f>0.85*15.83</f>
        <v>13.455499999999999</v>
      </c>
      <c r="I537" s="129"/>
      <c r="M537" s="26"/>
      <c r="N537" s="26"/>
      <c r="O537" s="128"/>
      <c r="P537" s="605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92"/>
      <c r="AF537" s="192"/>
      <c r="AG537" s="192"/>
      <c r="AH537" s="192"/>
      <c r="AI537" s="192"/>
      <c r="AJ537" s="192"/>
      <c r="AK537" s="192"/>
      <c r="AL537" s="192"/>
    </row>
    <row r="538" spans="1:38" ht="15" customHeight="1">
      <c r="A538" s="100">
        <v>21127</v>
      </c>
      <c r="B538" s="109" t="s">
        <v>3786</v>
      </c>
      <c r="C538" s="25" t="s">
        <v>12</v>
      </c>
      <c r="D538" s="126" t="s">
        <v>17</v>
      </c>
      <c r="E538" s="127">
        <v>0.09</v>
      </c>
      <c r="F538" s="26">
        <f>H538</f>
        <v>3.9354999999999998</v>
      </c>
      <c r="G538" s="26">
        <f>ROUND(F538*E538,2)</f>
        <v>0.35</v>
      </c>
      <c r="H538" s="128">
        <f>0.85*4.63</f>
        <v>3.9354999999999998</v>
      </c>
      <c r="I538" s="129"/>
      <c r="M538" s="26"/>
      <c r="N538" s="26"/>
      <c r="O538" s="128"/>
      <c r="P538" s="605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92"/>
      <c r="AF538" s="192"/>
      <c r="AG538" s="192"/>
      <c r="AH538" s="192"/>
      <c r="AI538" s="192"/>
      <c r="AJ538" s="192"/>
      <c r="AK538" s="192"/>
      <c r="AL538" s="192"/>
    </row>
    <row r="539" spans="1:38" ht="15" customHeight="1">
      <c r="A539" s="100">
        <v>88247</v>
      </c>
      <c r="B539" s="109" t="s">
        <v>510</v>
      </c>
      <c r="C539" s="25" t="s">
        <v>12</v>
      </c>
      <c r="D539" s="126" t="s">
        <v>19</v>
      </c>
      <c r="E539" s="134">
        <v>0.115</v>
      </c>
      <c r="F539" s="505">
        <f>14.01*0.85*'PLANILHA ORÇA - CORREGEDORIA'!$BH$19</f>
        <v>13.266168610245346</v>
      </c>
      <c r="G539" s="26">
        <f>ROUND(F539*E539,2)</f>
        <v>1.53</v>
      </c>
      <c r="H539" s="128">
        <v>11.9085</v>
      </c>
      <c r="I539" s="129"/>
      <c r="M539" s="26"/>
      <c r="N539" s="26"/>
      <c r="O539" s="128"/>
      <c r="P539" s="605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92"/>
      <c r="AF539" s="192"/>
      <c r="AG539" s="192"/>
      <c r="AH539" s="192"/>
      <c r="AI539" s="192"/>
      <c r="AJ539" s="192"/>
      <c r="AK539" s="192"/>
      <c r="AL539" s="192"/>
    </row>
    <row r="540" spans="1:38" ht="15" customHeight="1">
      <c r="A540" s="100">
        <v>88264</v>
      </c>
      <c r="B540" s="109" t="s">
        <v>379</v>
      </c>
      <c r="C540" s="25" t="s">
        <v>12</v>
      </c>
      <c r="D540" s="126" t="s">
        <v>19</v>
      </c>
      <c r="E540" s="134">
        <v>0.115</v>
      </c>
      <c r="F540" s="505">
        <f>17.94*0.85*'PLANILHA ORÇA - CORREGEDORIA'!$BH$19</f>
        <v>16.987513552305604</v>
      </c>
      <c r="G540" s="26">
        <f>ROUND(F540*E540,2)</f>
        <v>1.95</v>
      </c>
      <c r="H540" s="128">
        <v>15.249000000000001</v>
      </c>
      <c r="I540" s="130"/>
      <c r="M540" s="26"/>
      <c r="N540" s="130"/>
      <c r="O540" s="538"/>
      <c r="P540" s="606"/>
      <c r="Q540" s="542"/>
      <c r="R540" s="542"/>
      <c r="S540" s="542"/>
      <c r="T540" s="568"/>
      <c r="U540" s="568"/>
      <c r="V540" s="652"/>
      <c r="W540" s="718"/>
      <c r="X540" s="706"/>
      <c r="Y540" s="718"/>
      <c r="Z540" s="718"/>
      <c r="AA540" s="706"/>
      <c r="AB540" s="706"/>
      <c r="AC540" s="652"/>
      <c r="AD540" s="677"/>
      <c r="AE540" s="718"/>
      <c r="AF540" s="718"/>
      <c r="AG540" s="718"/>
      <c r="AH540" s="718"/>
      <c r="AI540" s="718"/>
      <c r="AJ540" s="718"/>
      <c r="AK540" s="718"/>
      <c r="AL540" s="718"/>
    </row>
    <row r="541" spans="1:38" ht="30" customHeight="1">
      <c r="A541" s="956" t="s">
        <v>1894</v>
      </c>
      <c r="B541" s="957"/>
      <c r="C541" s="957"/>
      <c r="D541" s="957"/>
      <c r="E541" s="957"/>
      <c r="F541" s="957"/>
      <c r="G541" s="130">
        <f>ROUND(SUM(G537:G540),2)</f>
        <v>26.01</v>
      </c>
      <c r="H541" s="487"/>
      <c r="I541" s="54"/>
      <c r="M541" s="53"/>
      <c r="N541" s="54"/>
      <c r="O541" s="499"/>
      <c r="P541" s="603"/>
      <c r="Q541" s="499"/>
      <c r="R541" s="499"/>
      <c r="S541" s="499"/>
      <c r="T541" s="499"/>
      <c r="U541" s="499"/>
      <c r="V541" s="499"/>
      <c r="W541" s="499"/>
      <c r="X541" s="499"/>
      <c r="Y541" s="499"/>
      <c r="Z541" s="499"/>
      <c r="AA541" s="499"/>
      <c r="AB541" s="499"/>
      <c r="AC541" s="499"/>
      <c r="AD541" s="499"/>
      <c r="AE541" s="53"/>
      <c r="AF541" s="53"/>
      <c r="AG541" s="53"/>
      <c r="AH541" s="53"/>
      <c r="AI541" s="53"/>
      <c r="AJ541" s="53"/>
      <c r="AK541" s="53"/>
      <c r="AL541" s="53"/>
    </row>
    <row r="542" spans="1:38" ht="36" customHeight="1">
      <c r="A542" s="53"/>
      <c r="B542" s="53"/>
      <c r="C542" s="53"/>
      <c r="D542" s="53"/>
      <c r="E542" s="53"/>
      <c r="F542" s="53"/>
      <c r="G542" s="54"/>
      <c r="H542" s="499"/>
      <c r="I542" s="118">
        <v>91984</v>
      </c>
      <c r="M542" s="537"/>
      <c r="N542" s="537"/>
      <c r="O542" s="539"/>
      <c r="P542" s="604"/>
      <c r="Q542" s="546"/>
      <c r="R542" s="546"/>
      <c r="S542" s="546"/>
      <c r="T542" s="572"/>
      <c r="U542" s="572"/>
      <c r="V542" s="656"/>
      <c r="W542" s="719"/>
      <c r="X542" s="707"/>
      <c r="Y542" s="719"/>
      <c r="Z542" s="719"/>
      <c r="AA542" s="707"/>
      <c r="AB542" s="707"/>
      <c r="AC542" s="656"/>
      <c r="AD542" s="678"/>
      <c r="AE542" s="719"/>
      <c r="AF542" s="719"/>
      <c r="AG542" s="719"/>
      <c r="AH542" s="719"/>
      <c r="AI542" s="719"/>
      <c r="AJ542" s="719"/>
      <c r="AK542" s="719"/>
      <c r="AL542" s="719"/>
    </row>
    <row r="543" spans="1:38">
      <c r="A543" s="953" t="s">
        <v>1684</v>
      </c>
      <c r="B543" s="954"/>
      <c r="C543" s="954"/>
      <c r="D543" s="954"/>
      <c r="E543" s="955"/>
      <c r="F543" s="484"/>
      <c r="G543" s="484"/>
      <c r="H543" s="489" t="s">
        <v>12</v>
      </c>
      <c r="I543" s="77" t="s">
        <v>368</v>
      </c>
      <c r="M543" s="93"/>
      <c r="N543" s="93"/>
      <c r="O543" s="77"/>
      <c r="P543" s="590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</row>
    <row r="544" spans="1:38" ht="45" customHeight="1">
      <c r="A544" s="77" t="s">
        <v>1917</v>
      </c>
      <c r="B544" s="668"/>
      <c r="C544" s="77" t="s">
        <v>3</v>
      </c>
      <c r="D544" s="77" t="s">
        <v>4</v>
      </c>
      <c r="E544" s="77" t="s">
        <v>1826</v>
      </c>
      <c r="F544" s="93" t="s">
        <v>3781</v>
      </c>
      <c r="G544" s="93" t="s">
        <v>3783</v>
      </c>
      <c r="H544" s="77" t="s">
        <v>367</v>
      </c>
      <c r="I544" s="26"/>
      <c r="M544" s="26"/>
      <c r="N544" s="26"/>
      <c r="O544" s="26"/>
      <c r="P544" s="595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5"/>
      <c r="AF544" s="25"/>
      <c r="AG544" s="25"/>
      <c r="AH544" s="25"/>
      <c r="AI544" s="25"/>
      <c r="AJ544" s="25"/>
      <c r="AK544" s="25"/>
      <c r="AL544" s="25"/>
    </row>
    <row r="545" spans="1:38" ht="60">
      <c r="A545" s="100">
        <v>996</v>
      </c>
      <c r="B545" s="109" t="s">
        <v>3793</v>
      </c>
      <c r="C545" s="25" t="s">
        <v>12</v>
      </c>
      <c r="D545" s="126" t="s">
        <v>52</v>
      </c>
      <c r="E545" s="134">
        <v>1.0149999999999999</v>
      </c>
      <c r="F545" s="26">
        <v>22.22</v>
      </c>
      <c r="G545" s="26">
        <f>ROUND(F545*E545,2)</f>
        <v>22.55</v>
      </c>
      <c r="H545" s="128">
        <f>0.85*24.1</f>
        <v>20.484999999999999</v>
      </c>
      <c r="I545" s="129"/>
      <c r="M545" s="26"/>
      <c r="N545" s="26"/>
      <c r="O545" s="128"/>
      <c r="P545" s="605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92"/>
      <c r="AF545" s="192"/>
      <c r="AG545" s="192"/>
      <c r="AH545" s="192"/>
      <c r="AI545" s="192"/>
      <c r="AJ545" s="192"/>
      <c r="AK545" s="192"/>
      <c r="AL545" s="192"/>
    </row>
    <row r="546" spans="1:38" ht="15" customHeight="1">
      <c r="A546" s="100">
        <v>21127</v>
      </c>
      <c r="B546" s="109" t="s">
        <v>3786</v>
      </c>
      <c r="C546" s="25" t="s">
        <v>12</v>
      </c>
      <c r="D546" s="126" t="s">
        <v>17</v>
      </c>
      <c r="E546" s="127">
        <v>0.09</v>
      </c>
      <c r="F546" s="26">
        <f>H546</f>
        <v>3.9354999999999998</v>
      </c>
      <c r="G546" s="26">
        <f>ROUND(F546*E546,2)</f>
        <v>0.35</v>
      </c>
      <c r="H546" s="128">
        <f>0.85*4.63</f>
        <v>3.9354999999999998</v>
      </c>
      <c r="I546" s="129"/>
      <c r="M546" s="26"/>
      <c r="N546" s="26"/>
      <c r="O546" s="128"/>
      <c r="P546" s="605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92"/>
      <c r="AF546" s="192"/>
      <c r="AG546" s="192"/>
      <c r="AH546" s="192"/>
      <c r="AI546" s="192"/>
      <c r="AJ546" s="192"/>
      <c r="AK546" s="192"/>
      <c r="AL546" s="192"/>
    </row>
    <row r="547" spans="1:38" ht="15" customHeight="1">
      <c r="A547" s="100">
        <v>88247</v>
      </c>
      <c r="B547" s="109" t="s">
        <v>510</v>
      </c>
      <c r="C547" s="25" t="s">
        <v>12</v>
      </c>
      <c r="D547" s="126" t="s">
        <v>19</v>
      </c>
      <c r="E547" s="134">
        <v>6.4000000000000001E-2</v>
      </c>
      <c r="F547" s="505">
        <f>14.01*0.85*'PLANILHA ORÇA - CORREGEDORIA'!$BH$19</f>
        <v>13.266168610245346</v>
      </c>
      <c r="G547" s="26">
        <f>ROUND(F547*E547,2)</f>
        <v>0.85</v>
      </c>
      <c r="H547" s="128">
        <v>11.9085</v>
      </c>
      <c r="I547" s="129"/>
      <c r="M547" s="26"/>
      <c r="N547" s="26"/>
      <c r="O547" s="128"/>
      <c r="P547" s="605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92"/>
      <c r="AF547" s="192"/>
      <c r="AG547" s="192"/>
      <c r="AH547" s="192"/>
      <c r="AI547" s="192"/>
      <c r="AJ547" s="192"/>
      <c r="AK547" s="192"/>
      <c r="AL547" s="192"/>
    </row>
    <row r="548" spans="1:38" ht="15" customHeight="1">
      <c r="A548" s="100">
        <v>88264</v>
      </c>
      <c r="B548" s="109" t="s">
        <v>379</v>
      </c>
      <c r="C548" s="25" t="s">
        <v>12</v>
      </c>
      <c r="D548" s="126" t="s">
        <v>19</v>
      </c>
      <c r="E548" s="134">
        <v>6.4000000000000001E-2</v>
      </c>
      <c r="F548" s="505">
        <f>17.94*0.85*'PLANILHA ORÇA - CORREGEDORIA'!$BH$19</f>
        <v>16.987513552305604</v>
      </c>
      <c r="G548" s="26">
        <f>ROUND(F548*E548,2)</f>
        <v>1.0900000000000001</v>
      </c>
      <c r="H548" s="128">
        <v>15.249000000000001</v>
      </c>
      <c r="I548" s="130"/>
      <c r="M548" s="26"/>
      <c r="N548" s="130"/>
      <c r="O548" s="538"/>
      <c r="P548" s="606"/>
      <c r="Q548" s="542"/>
      <c r="R548" s="542"/>
      <c r="S548" s="542"/>
      <c r="T548" s="568"/>
      <c r="U548" s="568"/>
      <c r="V548" s="652"/>
      <c r="W548" s="718"/>
      <c r="X548" s="706"/>
      <c r="Y548" s="718"/>
      <c r="Z548" s="718"/>
      <c r="AA548" s="706"/>
      <c r="AB548" s="706"/>
      <c r="AC548" s="652"/>
      <c r="AD548" s="677"/>
      <c r="AE548" s="718"/>
      <c r="AF548" s="718"/>
      <c r="AG548" s="718"/>
      <c r="AH548" s="718"/>
      <c r="AI548" s="718"/>
      <c r="AJ548" s="718"/>
      <c r="AK548" s="718"/>
      <c r="AL548" s="718"/>
    </row>
    <row r="549" spans="1:38" ht="25.5" customHeight="1">
      <c r="A549" s="956" t="s">
        <v>1894</v>
      </c>
      <c r="B549" s="957"/>
      <c r="C549" s="957"/>
      <c r="D549" s="957"/>
      <c r="E549" s="957"/>
      <c r="F549" s="957"/>
      <c r="G549" s="130">
        <f>ROUND(SUM(G545:G548),2)</f>
        <v>24.84</v>
      </c>
      <c r="H549" s="487"/>
      <c r="I549" s="54"/>
      <c r="M549" s="53"/>
      <c r="N549" s="54"/>
      <c r="O549" s="499"/>
      <c r="P549" s="603"/>
      <c r="Q549" s="499"/>
      <c r="R549" s="499"/>
      <c r="S549" s="499"/>
      <c r="T549" s="499"/>
      <c r="U549" s="499"/>
      <c r="V549" s="499"/>
      <c r="W549" s="499"/>
      <c r="X549" s="499"/>
      <c r="Y549" s="499"/>
      <c r="Z549" s="499"/>
      <c r="AA549" s="499"/>
      <c r="AB549" s="499"/>
      <c r="AC549" s="499"/>
      <c r="AD549" s="499"/>
      <c r="AE549" s="53"/>
      <c r="AF549" s="53"/>
      <c r="AG549" s="53"/>
      <c r="AH549" s="53"/>
      <c r="AI549" s="53"/>
      <c r="AJ549" s="53"/>
      <c r="AK549" s="53"/>
      <c r="AL549" s="53"/>
    </row>
    <row r="550" spans="1:38" ht="33.75" customHeight="1">
      <c r="A550" s="53"/>
      <c r="B550" s="53"/>
      <c r="C550" s="53"/>
      <c r="D550" s="53"/>
      <c r="E550" s="53"/>
      <c r="F550" s="53"/>
      <c r="G550" s="54"/>
      <c r="H550" s="499"/>
      <c r="I550" s="118">
        <v>91985</v>
      </c>
      <c r="M550" s="537"/>
      <c r="N550" s="537"/>
      <c r="O550" s="539"/>
      <c r="P550" s="604"/>
      <c r="Q550" s="546"/>
      <c r="R550" s="546"/>
      <c r="S550" s="546"/>
      <c r="T550" s="572"/>
      <c r="U550" s="572"/>
      <c r="V550" s="656"/>
      <c r="W550" s="719"/>
      <c r="X550" s="707"/>
      <c r="Y550" s="719"/>
      <c r="Z550" s="719"/>
      <c r="AA550" s="707"/>
      <c r="AB550" s="707"/>
      <c r="AC550" s="656"/>
      <c r="AD550" s="678"/>
      <c r="AE550" s="719"/>
      <c r="AF550" s="719"/>
      <c r="AG550" s="719"/>
      <c r="AH550" s="719"/>
      <c r="AI550" s="719"/>
      <c r="AJ550" s="719"/>
      <c r="AK550" s="719"/>
      <c r="AL550" s="719"/>
    </row>
    <row r="551" spans="1:38">
      <c r="A551" s="953" t="s">
        <v>1685</v>
      </c>
      <c r="B551" s="954"/>
      <c r="C551" s="954"/>
      <c r="D551" s="954"/>
      <c r="E551" s="955"/>
      <c r="F551" s="484"/>
      <c r="G551" s="484"/>
      <c r="H551" s="489" t="s">
        <v>12</v>
      </c>
      <c r="I551" s="77" t="s">
        <v>368</v>
      </c>
      <c r="M551" s="93"/>
      <c r="N551" s="93"/>
      <c r="O551" s="77"/>
      <c r="P551" s="590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</row>
    <row r="552" spans="1:38" ht="45" customHeight="1">
      <c r="A552" s="77" t="s">
        <v>1917</v>
      </c>
      <c r="B552" s="668"/>
      <c r="C552" s="77" t="s">
        <v>3</v>
      </c>
      <c r="D552" s="77" t="s">
        <v>4</v>
      </c>
      <c r="E552" s="77" t="s">
        <v>1826</v>
      </c>
      <c r="F552" s="93" t="s">
        <v>3781</v>
      </c>
      <c r="G552" s="93" t="s">
        <v>3783</v>
      </c>
      <c r="H552" s="77" t="s">
        <v>367</v>
      </c>
      <c r="I552" s="26"/>
      <c r="M552" s="26"/>
      <c r="N552" s="26"/>
      <c r="O552" s="26"/>
      <c r="P552" s="595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5"/>
      <c r="AF552" s="25"/>
      <c r="AG552" s="25"/>
      <c r="AH552" s="25"/>
      <c r="AI552" s="25"/>
      <c r="AJ552" s="25"/>
      <c r="AK552" s="25"/>
      <c r="AL552" s="25"/>
    </row>
    <row r="553" spans="1:38" ht="60">
      <c r="A553" s="100">
        <v>1019</v>
      </c>
      <c r="B553" s="109" t="s">
        <v>3794</v>
      </c>
      <c r="C553" s="25" t="s">
        <v>12</v>
      </c>
      <c r="D553" s="126" t="s">
        <v>52</v>
      </c>
      <c r="E553" s="134">
        <v>1.0149999999999999</v>
      </c>
      <c r="F553" s="26">
        <v>44.31</v>
      </c>
      <c r="G553" s="26">
        <f>ROUND(F553*E553,2)</f>
        <v>44.97</v>
      </c>
      <c r="H553" s="128">
        <f>0.85*33.23</f>
        <v>28.245499999999996</v>
      </c>
      <c r="I553" s="129"/>
      <c r="M553" s="26"/>
      <c r="N553" s="26"/>
      <c r="O553" s="128"/>
      <c r="P553" s="605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92"/>
      <c r="AF553" s="192"/>
      <c r="AG553" s="192"/>
      <c r="AH553" s="192"/>
      <c r="AI553" s="192"/>
      <c r="AJ553" s="192"/>
      <c r="AK553" s="192"/>
      <c r="AL553" s="192"/>
    </row>
    <row r="554" spans="1:38" ht="15" customHeight="1">
      <c r="A554" s="100">
        <v>21127</v>
      </c>
      <c r="B554" s="109" t="s">
        <v>3786</v>
      </c>
      <c r="C554" s="25" t="s">
        <v>12</v>
      </c>
      <c r="D554" s="126" t="s">
        <v>17</v>
      </c>
      <c r="E554" s="127">
        <v>0.09</v>
      </c>
      <c r="F554" s="26">
        <f>H554</f>
        <v>3.9354999999999998</v>
      </c>
      <c r="G554" s="26">
        <f>ROUND(F554*E554,2)</f>
        <v>0.35</v>
      </c>
      <c r="H554" s="128">
        <f>0.85*4.63</f>
        <v>3.9354999999999998</v>
      </c>
      <c r="I554" s="129"/>
      <c r="M554" s="26"/>
      <c r="N554" s="26"/>
      <c r="O554" s="128"/>
      <c r="P554" s="605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92"/>
      <c r="AF554" s="192"/>
      <c r="AG554" s="192"/>
      <c r="AH554" s="192"/>
      <c r="AI554" s="192"/>
      <c r="AJ554" s="192"/>
      <c r="AK554" s="192"/>
      <c r="AL554" s="192"/>
    </row>
    <row r="555" spans="1:38" ht="15" customHeight="1">
      <c r="A555" s="100">
        <v>88247</v>
      </c>
      <c r="B555" s="109" t="s">
        <v>510</v>
      </c>
      <c r="C555" s="25" t="s">
        <v>12</v>
      </c>
      <c r="D555" s="126" t="s">
        <v>19</v>
      </c>
      <c r="E555" s="134">
        <v>7.2999999999999995E-2</v>
      </c>
      <c r="F555" s="505">
        <f>14.01*0.85*'PLANILHA ORÇA - CORREGEDORIA'!$BH$19</f>
        <v>13.266168610245346</v>
      </c>
      <c r="G555" s="26">
        <f>ROUND(F555*E555,2)</f>
        <v>0.97</v>
      </c>
      <c r="H555" s="128">
        <v>11.9085</v>
      </c>
      <c r="I555" s="129"/>
      <c r="M555" s="26"/>
      <c r="N555" s="26"/>
      <c r="O555" s="128"/>
      <c r="P555" s="605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92"/>
      <c r="AF555" s="192"/>
      <c r="AG555" s="192"/>
      <c r="AH555" s="192"/>
      <c r="AI555" s="192"/>
      <c r="AJ555" s="192"/>
      <c r="AK555" s="192"/>
      <c r="AL555" s="192"/>
    </row>
    <row r="556" spans="1:38" ht="15" customHeight="1">
      <c r="A556" s="100">
        <v>88264</v>
      </c>
      <c r="B556" s="109" t="s">
        <v>379</v>
      </c>
      <c r="C556" s="25" t="s">
        <v>12</v>
      </c>
      <c r="D556" s="126" t="s">
        <v>19</v>
      </c>
      <c r="E556" s="134">
        <v>7.2999999999999995E-2</v>
      </c>
      <c r="F556" s="505">
        <f>17.94*0.85*'PLANILHA ORÇA - CORREGEDORIA'!$BH$19</f>
        <v>16.987513552305604</v>
      </c>
      <c r="G556" s="26">
        <f>ROUND(F556*E556,2)</f>
        <v>1.24</v>
      </c>
      <c r="H556" s="128">
        <v>15.249000000000001</v>
      </c>
      <c r="I556" s="130"/>
      <c r="M556" s="26"/>
      <c r="N556" s="130"/>
      <c r="O556" s="538"/>
      <c r="P556" s="606"/>
      <c r="Q556" s="542"/>
      <c r="R556" s="542"/>
      <c r="S556" s="542"/>
      <c r="T556" s="568"/>
      <c r="U556" s="568"/>
      <c r="V556" s="652"/>
      <c r="W556" s="718"/>
      <c r="X556" s="706"/>
      <c r="Y556" s="718"/>
      <c r="Z556" s="718"/>
      <c r="AA556" s="706"/>
      <c r="AB556" s="706"/>
      <c r="AC556" s="652"/>
      <c r="AD556" s="677"/>
      <c r="AE556" s="718"/>
      <c r="AF556" s="718"/>
      <c r="AG556" s="718"/>
      <c r="AH556" s="718"/>
      <c r="AI556" s="718"/>
      <c r="AJ556" s="718"/>
      <c r="AK556" s="718"/>
      <c r="AL556" s="718"/>
    </row>
    <row r="557" spans="1:38" ht="19.5" customHeight="1">
      <c r="A557" s="956" t="s">
        <v>1894</v>
      </c>
      <c r="B557" s="957"/>
      <c r="C557" s="957"/>
      <c r="D557" s="957"/>
      <c r="E557" s="957"/>
      <c r="F557" s="957"/>
      <c r="G557" s="130">
        <f>ROUND(SUM(G553:G556),2)</f>
        <v>47.53</v>
      </c>
      <c r="H557" s="487"/>
      <c r="I557" s="54"/>
      <c r="M557" s="53"/>
      <c r="N557" s="54"/>
      <c r="O557" s="499"/>
      <c r="P557" s="603"/>
      <c r="Q557" s="499"/>
      <c r="R557" s="499"/>
      <c r="S557" s="499"/>
      <c r="T557" s="499"/>
      <c r="U557" s="499"/>
      <c r="V557" s="499"/>
      <c r="W557" s="499"/>
      <c r="X557" s="499"/>
      <c r="Y557" s="499"/>
      <c r="Z557" s="499"/>
      <c r="AA557" s="499"/>
      <c r="AB557" s="499"/>
      <c r="AC557" s="499"/>
      <c r="AD557" s="499"/>
      <c r="AE557" s="53"/>
      <c r="AF557" s="53"/>
      <c r="AG557" s="53"/>
      <c r="AH557" s="53"/>
      <c r="AI557" s="53"/>
      <c r="AJ557" s="53"/>
      <c r="AK557" s="53"/>
      <c r="AL557" s="53"/>
    </row>
    <row r="558" spans="1:38" ht="40.5" customHeight="1">
      <c r="A558" s="53"/>
      <c r="B558" s="53"/>
      <c r="C558" s="53"/>
      <c r="D558" s="53"/>
      <c r="E558" s="53"/>
      <c r="F558" s="53"/>
      <c r="G558" s="54"/>
      <c r="H558" s="499"/>
      <c r="I558" s="118">
        <v>91988</v>
      </c>
      <c r="M558" s="537"/>
      <c r="N558" s="537"/>
      <c r="O558" s="539"/>
      <c r="P558" s="604"/>
      <c r="Q558" s="546"/>
      <c r="R558" s="546"/>
      <c r="S558" s="546"/>
      <c r="T558" s="572"/>
      <c r="U558" s="572"/>
      <c r="V558" s="656"/>
      <c r="W558" s="719"/>
      <c r="X558" s="707"/>
      <c r="Y558" s="719"/>
      <c r="Z558" s="719"/>
      <c r="AA558" s="707"/>
      <c r="AB558" s="707"/>
      <c r="AC558" s="656"/>
      <c r="AD558" s="678"/>
      <c r="AE558" s="719"/>
      <c r="AF558" s="719"/>
      <c r="AG558" s="719"/>
      <c r="AH558" s="719"/>
      <c r="AI558" s="719"/>
      <c r="AJ558" s="719"/>
      <c r="AK558" s="719"/>
      <c r="AL558" s="719"/>
    </row>
    <row r="559" spans="1:38">
      <c r="A559" s="953" t="s">
        <v>1686</v>
      </c>
      <c r="B559" s="954"/>
      <c r="C559" s="954"/>
      <c r="D559" s="954"/>
      <c r="E559" s="955"/>
      <c r="F559" s="484"/>
      <c r="G559" s="484"/>
      <c r="H559" s="489" t="s">
        <v>12</v>
      </c>
      <c r="I559" s="77" t="s">
        <v>368</v>
      </c>
      <c r="M559" s="93"/>
      <c r="N559" s="93"/>
      <c r="O559" s="77"/>
      <c r="P559" s="590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</row>
    <row r="560" spans="1:38" ht="45" customHeight="1">
      <c r="A560" s="77" t="s">
        <v>1917</v>
      </c>
      <c r="B560" s="668"/>
      <c r="C560" s="77" t="s">
        <v>3</v>
      </c>
      <c r="D560" s="77" t="s">
        <v>4</v>
      </c>
      <c r="E560" s="77" t="s">
        <v>1826</v>
      </c>
      <c r="F560" s="93" t="s">
        <v>3781</v>
      </c>
      <c r="G560" s="93" t="s">
        <v>3783</v>
      </c>
      <c r="H560" s="77" t="s">
        <v>367</v>
      </c>
      <c r="I560" s="26"/>
      <c r="M560" s="26"/>
      <c r="N560" s="26"/>
      <c r="O560" s="26"/>
      <c r="P560" s="595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5"/>
      <c r="AF560" s="25"/>
      <c r="AG560" s="25"/>
      <c r="AH560" s="25"/>
      <c r="AI560" s="25"/>
      <c r="AJ560" s="25"/>
      <c r="AK560" s="25"/>
      <c r="AL560" s="25"/>
    </row>
    <row r="561" spans="1:38" ht="60">
      <c r="A561" s="100">
        <v>1018</v>
      </c>
      <c r="B561" s="109" t="s">
        <v>3795</v>
      </c>
      <c r="C561" s="25" t="s">
        <v>12</v>
      </c>
      <c r="D561" s="126" t="s">
        <v>52</v>
      </c>
      <c r="E561" s="134">
        <v>1.0149999999999999</v>
      </c>
      <c r="F561" s="26">
        <v>61.23</v>
      </c>
      <c r="G561" s="26">
        <f>ROUND(F561*E561,2)</f>
        <v>62.15</v>
      </c>
      <c r="H561" s="128">
        <f>0.85*47.36</f>
        <v>40.256</v>
      </c>
      <c r="I561" s="129"/>
      <c r="M561" s="26"/>
      <c r="N561" s="26"/>
      <c r="O561" s="128"/>
      <c r="P561" s="605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92"/>
      <c r="AF561" s="192"/>
      <c r="AG561" s="192"/>
      <c r="AH561" s="192"/>
      <c r="AI561" s="192"/>
      <c r="AJ561" s="192"/>
      <c r="AK561" s="192"/>
      <c r="AL561" s="192"/>
    </row>
    <row r="562" spans="1:38" ht="15" customHeight="1">
      <c r="A562" s="100">
        <v>21127</v>
      </c>
      <c r="B562" s="109" t="s">
        <v>3786</v>
      </c>
      <c r="C562" s="25" t="s">
        <v>12</v>
      </c>
      <c r="D562" s="126" t="s">
        <v>17</v>
      </c>
      <c r="E562" s="127">
        <v>0.09</v>
      </c>
      <c r="F562" s="26">
        <f>H562</f>
        <v>3.9354999999999998</v>
      </c>
      <c r="G562" s="26">
        <f>ROUND(F562*E562,2)</f>
        <v>0.35</v>
      </c>
      <c r="H562" s="128">
        <f>0.85*4.63</f>
        <v>3.9354999999999998</v>
      </c>
      <c r="I562" s="129"/>
      <c r="M562" s="26"/>
      <c r="N562" s="26"/>
      <c r="O562" s="128"/>
      <c r="P562" s="605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92"/>
      <c r="AF562" s="192"/>
      <c r="AG562" s="192"/>
      <c r="AH562" s="192"/>
      <c r="AI562" s="192"/>
      <c r="AJ562" s="192"/>
      <c r="AK562" s="192"/>
      <c r="AL562" s="192"/>
    </row>
    <row r="563" spans="1:38" ht="15" customHeight="1">
      <c r="A563" s="100">
        <v>88247</v>
      </c>
      <c r="B563" s="109" t="s">
        <v>510</v>
      </c>
      <c r="C563" s="25" t="s">
        <v>12</v>
      </c>
      <c r="D563" s="126" t="s">
        <v>19</v>
      </c>
      <c r="E563" s="134">
        <v>8.6999999999999994E-2</v>
      </c>
      <c r="F563" s="505">
        <f>14.01*0.85*'PLANILHA ORÇA - CORREGEDORIA'!$BH$19</f>
        <v>13.266168610245346</v>
      </c>
      <c r="G563" s="26">
        <f>ROUND(F563*E563,2)</f>
        <v>1.1499999999999999</v>
      </c>
      <c r="H563" s="128">
        <v>11.9085</v>
      </c>
      <c r="I563" s="129"/>
      <c r="M563" s="26"/>
      <c r="N563" s="26"/>
      <c r="O563" s="128"/>
      <c r="P563" s="605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92"/>
      <c r="AF563" s="192"/>
      <c r="AG563" s="192"/>
      <c r="AH563" s="192"/>
      <c r="AI563" s="192"/>
      <c r="AJ563" s="192"/>
      <c r="AK563" s="192"/>
      <c r="AL563" s="192"/>
    </row>
    <row r="564" spans="1:38" ht="15" customHeight="1">
      <c r="A564" s="100">
        <v>88264</v>
      </c>
      <c r="B564" s="109" t="s">
        <v>379</v>
      </c>
      <c r="C564" s="25" t="s">
        <v>12</v>
      </c>
      <c r="D564" s="126" t="s">
        <v>19</v>
      </c>
      <c r="E564" s="134">
        <v>8.6999999999999994E-2</v>
      </c>
      <c r="F564" s="505">
        <f>17.94*0.85*'PLANILHA ORÇA - CORREGEDORIA'!$BH$19</f>
        <v>16.987513552305604</v>
      </c>
      <c r="G564" s="26">
        <f>ROUND(F564*E564,2)</f>
        <v>1.48</v>
      </c>
      <c r="H564" s="128">
        <v>15.249000000000001</v>
      </c>
      <c r="I564" s="130"/>
      <c r="M564" s="26"/>
      <c r="N564" s="130"/>
      <c r="O564" s="538"/>
      <c r="P564" s="606"/>
      <c r="Q564" s="542"/>
      <c r="R564" s="542"/>
      <c r="S564" s="542"/>
      <c r="T564" s="568"/>
      <c r="U564" s="568"/>
      <c r="V564" s="652"/>
      <c r="W564" s="718"/>
      <c r="X564" s="706"/>
      <c r="Y564" s="718"/>
      <c r="Z564" s="718"/>
      <c r="AA564" s="706"/>
      <c r="AB564" s="706"/>
      <c r="AC564" s="652"/>
      <c r="AD564" s="677"/>
      <c r="AE564" s="718"/>
      <c r="AF564" s="718"/>
      <c r="AG564" s="718"/>
      <c r="AH564" s="718"/>
      <c r="AI564" s="718"/>
      <c r="AJ564" s="718"/>
      <c r="AK564" s="718"/>
      <c r="AL564" s="718"/>
    </row>
    <row r="565" spans="1:38" ht="24" customHeight="1">
      <c r="A565" s="956" t="s">
        <v>1894</v>
      </c>
      <c r="B565" s="957"/>
      <c r="C565" s="957"/>
      <c r="D565" s="957"/>
      <c r="E565" s="957"/>
      <c r="F565" s="957"/>
      <c r="G565" s="130">
        <f>ROUND(SUM(G561:G564),2)</f>
        <v>65.13</v>
      </c>
      <c r="H565" s="487"/>
      <c r="I565" s="54"/>
      <c r="M565" s="53"/>
      <c r="N565" s="54"/>
      <c r="O565" s="499"/>
      <c r="P565" s="603"/>
      <c r="Q565" s="499"/>
      <c r="R565" s="499"/>
      <c r="S565" s="499"/>
      <c r="T565" s="499"/>
      <c r="U565" s="499"/>
      <c r="V565" s="499"/>
      <c r="W565" s="499"/>
      <c r="X565" s="499"/>
      <c r="Y565" s="499"/>
      <c r="Z565" s="499"/>
      <c r="AA565" s="499"/>
      <c r="AB565" s="499"/>
      <c r="AC565" s="499"/>
      <c r="AD565" s="499"/>
      <c r="AE565" s="53"/>
      <c r="AF565" s="53"/>
      <c r="AG565" s="53"/>
      <c r="AH565" s="53"/>
      <c r="AI565" s="53"/>
      <c r="AJ565" s="53"/>
      <c r="AK565" s="53"/>
      <c r="AL565" s="53"/>
    </row>
    <row r="566" spans="1:38" ht="36.75" customHeight="1">
      <c r="A566" s="53"/>
      <c r="B566" s="53"/>
      <c r="C566" s="53"/>
      <c r="D566" s="53"/>
      <c r="E566" s="53"/>
      <c r="F566" s="53"/>
      <c r="G566" s="54"/>
      <c r="H566" s="499"/>
      <c r="I566" s="118">
        <v>91990</v>
      </c>
      <c r="M566" s="537"/>
      <c r="N566" s="537"/>
      <c r="O566" s="539"/>
      <c r="P566" s="604"/>
      <c r="Q566" s="546"/>
      <c r="R566" s="546"/>
      <c r="S566" s="546"/>
      <c r="T566" s="572"/>
      <c r="U566" s="572"/>
      <c r="V566" s="656"/>
      <c r="W566" s="719"/>
      <c r="X566" s="707"/>
      <c r="Y566" s="719"/>
      <c r="Z566" s="719"/>
      <c r="AA566" s="707"/>
      <c r="AB566" s="707"/>
      <c r="AC566" s="656"/>
      <c r="AD566" s="678"/>
      <c r="AE566" s="719"/>
      <c r="AF566" s="719"/>
      <c r="AG566" s="719"/>
      <c r="AH566" s="719"/>
      <c r="AI566" s="719"/>
      <c r="AJ566" s="719"/>
      <c r="AK566" s="719"/>
      <c r="AL566" s="719"/>
    </row>
    <row r="567" spans="1:38">
      <c r="A567" s="953" t="s">
        <v>1687</v>
      </c>
      <c r="B567" s="954"/>
      <c r="C567" s="954"/>
      <c r="D567" s="954"/>
      <c r="E567" s="955"/>
      <c r="F567" s="484"/>
      <c r="G567" s="484"/>
      <c r="H567" s="489" t="s">
        <v>12</v>
      </c>
      <c r="I567" s="77" t="s">
        <v>368</v>
      </c>
      <c r="M567" s="93"/>
      <c r="N567" s="93"/>
      <c r="O567" s="77"/>
      <c r="P567" s="590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</row>
    <row r="568" spans="1:38" ht="45" customHeight="1">
      <c r="A568" s="77" t="s">
        <v>1917</v>
      </c>
      <c r="B568" s="668"/>
      <c r="C568" s="77" t="s">
        <v>3</v>
      </c>
      <c r="D568" s="77" t="s">
        <v>4</v>
      </c>
      <c r="E568" s="77" t="s">
        <v>1826</v>
      </c>
      <c r="F568" s="93" t="s">
        <v>3781</v>
      </c>
      <c r="G568" s="93" t="s">
        <v>3783</v>
      </c>
      <c r="H568" s="77" t="s">
        <v>367</v>
      </c>
      <c r="I568" s="26"/>
      <c r="M568" s="26"/>
      <c r="N568" s="26"/>
      <c r="O568" s="26"/>
      <c r="P568" s="595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5"/>
      <c r="AF568" s="25"/>
      <c r="AG568" s="25"/>
      <c r="AH568" s="25"/>
      <c r="AI568" s="25"/>
      <c r="AJ568" s="25"/>
      <c r="AK568" s="25"/>
      <c r="AL568" s="25"/>
    </row>
    <row r="569" spans="1:38" ht="60">
      <c r="A569" s="100">
        <v>977</v>
      </c>
      <c r="B569" s="109" t="s">
        <v>3796</v>
      </c>
      <c r="C569" s="25" t="s">
        <v>12</v>
      </c>
      <c r="D569" s="126" t="s">
        <v>52</v>
      </c>
      <c r="E569" s="134">
        <v>1.0149999999999999</v>
      </c>
      <c r="F569" s="26">
        <v>82.86</v>
      </c>
      <c r="G569" s="26">
        <f>ROUND(F569*E569,2)</f>
        <v>84.1</v>
      </c>
      <c r="H569" s="128">
        <f>0.85*65.6</f>
        <v>55.759999999999991</v>
      </c>
      <c r="I569" s="129"/>
      <c r="M569" s="26"/>
      <c r="N569" s="26"/>
      <c r="O569" s="128"/>
      <c r="P569" s="605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92"/>
      <c r="AF569" s="192"/>
      <c r="AG569" s="192"/>
      <c r="AH569" s="192"/>
      <c r="AI569" s="192"/>
      <c r="AJ569" s="192"/>
      <c r="AK569" s="192"/>
      <c r="AL569" s="192"/>
    </row>
    <row r="570" spans="1:38" ht="15" customHeight="1">
      <c r="A570" s="100">
        <v>21127</v>
      </c>
      <c r="B570" s="109" t="s">
        <v>3786</v>
      </c>
      <c r="C570" s="25" t="s">
        <v>12</v>
      </c>
      <c r="D570" s="126" t="s">
        <v>17</v>
      </c>
      <c r="E570" s="127">
        <v>0.09</v>
      </c>
      <c r="F570" s="26">
        <f>H570</f>
        <v>3.9354999999999998</v>
      </c>
      <c r="G570" s="26">
        <f>ROUND(F570*E570,2)</f>
        <v>0.35</v>
      </c>
      <c r="H570" s="128">
        <f>0.85*4.63</f>
        <v>3.9354999999999998</v>
      </c>
      <c r="I570" s="129"/>
      <c r="M570" s="26"/>
      <c r="N570" s="26"/>
      <c r="O570" s="128"/>
      <c r="P570" s="605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92"/>
      <c r="AF570" s="192"/>
      <c r="AG570" s="192"/>
      <c r="AH570" s="192"/>
      <c r="AI570" s="192"/>
      <c r="AJ570" s="192"/>
      <c r="AK570" s="192"/>
      <c r="AL570" s="192"/>
    </row>
    <row r="571" spans="1:38" ht="15" customHeight="1">
      <c r="A571" s="100">
        <v>88247</v>
      </c>
      <c r="B571" s="109" t="s">
        <v>510</v>
      </c>
      <c r="C571" s="25" t="s">
        <v>12</v>
      </c>
      <c r="D571" s="126" t="s">
        <v>19</v>
      </c>
      <c r="E571" s="134">
        <v>0.105</v>
      </c>
      <c r="F571" s="505">
        <f>14.01*0.85*'PLANILHA ORÇA - CORREGEDORIA'!$BH$19</f>
        <v>13.266168610245346</v>
      </c>
      <c r="G571" s="26">
        <f>ROUND(F571*E571,2)</f>
        <v>1.39</v>
      </c>
      <c r="H571" s="128">
        <v>11.9085</v>
      </c>
      <c r="I571" s="129"/>
      <c r="M571" s="26"/>
      <c r="N571" s="26"/>
      <c r="O571" s="128"/>
      <c r="P571" s="605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92"/>
      <c r="AF571" s="192"/>
      <c r="AG571" s="192"/>
      <c r="AH571" s="192"/>
      <c r="AI571" s="192"/>
      <c r="AJ571" s="192"/>
      <c r="AK571" s="192"/>
      <c r="AL571" s="192"/>
    </row>
    <row r="572" spans="1:38" ht="15" customHeight="1">
      <c r="A572" s="100">
        <v>88264</v>
      </c>
      <c r="B572" s="109" t="s">
        <v>379</v>
      </c>
      <c r="C572" s="25" t="s">
        <v>12</v>
      </c>
      <c r="D572" s="126" t="s">
        <v>19</v>
      </c>
      <c r="E572" s="134">
        <v>0.105</v>
      </c>
      <c r="F572" s="505">
        <f>17.94*0.85*'PLANILHA ORÇA - CORREGEDORIA'!$BH$19</f>
        <v>16.987513552305604</v>
      </c>
      <c r="G572" s="26">
        <f>ROUND(F572*E572,2)</f>
        <v>1.78</v>
      </c>
      <c r="H572" s="128">
        <v>15.249000000000001</v>
      </c>
      <c r="I572" s="130"/>
      <c r="M572" s="26"/>
      <c r="N572" s="130"/>
      <c r="O572" s="538"/>
      <c r="P572" s="606"/>
      <c r="Q572" s="542"/>
      <c r="R572" s="542"/>
      <c r="S572" s="542"/>
      <c r="T572" s="568"/>
      <c r="U572" s="568"/>
      <c r="V572" s="652"/>
      <c r="W572" s="718"/>
      <c r="X572" s="706"/>
      <c r="Y572" s="718"/>
      <c r="Z572" s="718"/>
      <c r="AA572" s="706"/>
      <c r="AB572" s="706"/>
      <c r="AC572" s="652"/>
      <c r="AD572" s="677"/>
      <c r="AE572" s="718"/>
      <c r="AF572" s="718"/>
      <c r="AG572" s="718"/>
      <c r="AH572" s="718"/>
      <c r="AI572" s="718"/>
      <c r="AJ572" s="718"/>
      <c r="AK572" s="718"/>
      <c r="AL572" s="718"/>
    </row>
    <row r="573" spans="1:38" ht="25.5" customHeight="1">
      <c r="A573" s="956" t="s">
        <v>1894</v>
      </c>
      <c r="B573" s="957"/>
      <c r="C573" s="957"/>
      <c r="D573" s="957"/>
      <c r="E573" s="957"/>
      <c r="F573" s="957"/>
      <c r="G573" s="130">
        <f>ROUND(SUM(G569:G572),2)</f>
        <v>87.62</v>
      </c>
      <c r="H573" s="487"/>
      <c r="I573" s="54"/>
      <c r="M573" s="53"/>
      <c r="N573" s="54"/>
      <c r="O573" s="499"/>
      <c r="P573" s="603"/>
      <c r="Q573" s="499"/>
      <c r="R573" s="499"/>
      <c r="S573" s="499"/>
      <c r="T573" s="499"/>
      <c r="U573" s="499"/>
      <c r="V573" s="499"/>
      <c r="W573" s="499"/>
      <c r="X573" s="499"/>
      <c r="Y573" s="499"/>
      <c r="Z573" s="499"/>
      <c r="AA573" s="499"/>
      <c r="AB573" s="499"/>
      <c r="AC573" s="499"/>
      <c r="AD573" s="499"/>
      <c r="AE573" s="53"/>
      <c r="AF573" s="53"/>
      <c r="AG573" s="53"/>
      <c r="AH573" s="53"/>
      <c r="AI573" s="53"/>
      <c r="AJ573" s="53"/>
      <c r="AK573" s="53"/>
      <c r="AL573" s="53"/>
    </row>
    <row r="574" spans="1:38" ht="33.75" customHeight="1">
      <c r="A574" s="53"/>
      <c r="B574" s="53"/>
      <c r="C574" s="53"/>
      <c r="D574" s="53"/>
      <c r="E574" s="53"/>
      <c r="F574" s="53"/>
      <c r="G574" s="54"/>
      <c r="H574" s="499"/>
      <c r="I574" s="118">
        <v>91992</v>
      </c>
      <c r="M574" s="537"/>
      <c r="N574" s="537"/>
      <c r="O574" s="539"/>
      <c r="P574" s="604"/>
      <c r="Q574" s="546"/>
      <c r="R574" s="546"/>
      <c r="S574" s="546"/>
      <c r="T574" s="572"/>
      <c r="U574" s="572"/>
      <c r="V574" s="656"/>
      <c r="W574" s="719"/>
      <c r="X574" s="707"/>
      <c r="Y574" s="719"/>
      <c r="Z574" s="719"/>
      <c r="AA574" s="707"/>
      <c r="AB574" s="707"/>
      <c r="AC574" s="656"/>
      <c r="AD574" s="678"/>
      <c r="AE574" s="719"/>
      <c r="AF574" s="719"/>
      <c r="AG574" s="719"/>
      <c r="AH574" s="719"/>
      <c r="AI574" s="719"/>
      <c r="AJ574" s="719"/>
      <c r="AK574" s="719"/>
      <c r="AL574" s="719"/>
    </row>
    <row r="575" spans="1:38">
      <c r="A575" s="953" t="s">
        <v>1688</v>
      </c>
      <c r="B575" s="954"/>
      <c r="C575" s="954"/>
      <c r="D575" s="954"/>
      <c r="E575" s="955"/>
      <c r="F575" s="484"/>
      <c r="G575" s="484"/>
      <c r="H575" s="489" t="s">
        <v>12</v>
      </c>
      <c r="I575" s="77" t="s">
        <v>368</v>
      </c>
      <c r="M575" s="93"/>
      <c r="N575" s="93"/>
      <c r="O575" s="77"/>
      <c r="P575" s="590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</row>
    <row r="576" spans="1:38" ht="45" customHeight="1">
      <c r="A576" s="77" t="s">
        <v>1917</v>
      </c>
      <c r="B576" s="668"/>
      <c r="C576" s="77" t="s">
        <v>3</v>
      </c>
      <c r="D576" s="77" t="s">
        <v>4</v>
      </c>
      <c r="E576" s="77" t="s">
        <v>1826</v>
      </c>
      <c r="F576" s="93" t="s">
        <v>3781</v>
      </c>
      <c r="G576" s="93" t="s">
        <v>3783</v>
      </c>
      <c r="H576" s="77" t="s">
        <v>367</v>
      </c>
      <c r="I576" s="26"/>
      <c r="M576" s="26"/>
      <c r="N576" s="26"/>
      <c r="O576" s="26"/>
      <c r="P576" s="595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5"/>
      <c r="AF576" s="25"/>
      <c r="AG576" s="25"/>
      <c r="AH576" s="25"/>
      <c r="AI576" s="25"/>
      <c r="AJ576" s="25"/>
      <c r="AK576" s="25"/>
      <c r="AL576" s="25"/>
    </row>
    <row r="577" spans="1:38" ht="60">
      <c r="A577" s="100">
        <v>998</v>
      </c>
      <c r="B577" s="109" t="s">
        <v>3797</v>
      </c>
      <c r="C577" s="25" t="s">
        <v>12</v>
      </c>
      <c r="D577" s="126" t="s">
        <v>52</v>
      </c>
      <c r="E577" s="134">
        <v>1.0149999999999999</v>
      </c>
      <c r="F577" s="26">
        <v>99.07</v>
      </c>
      <c r="G577" s="26">
        <f>ROUND(F577*E577,2)</f>
        <v>100.56</v>
      </c>
      <c r="H577" s="128">
        <f>0.85*87.15</f>
        <v>74.077500000000001</v>
      </c>
      <c r="I577" s="129"/>
      <c r="M577" s="26"/>
      <c r="N577" s="26"/>
      <c r="O577" s="128"/>
      <c r="P577" s="605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92"/>
      <c r="AF577" s="192"/>
      <c r="AG577" s="192"/>
      <c r="AH577" s="192"/>
      <c r="AI577" s="192"/>
      <c r="AJ577" s="192"/>
      <c r="AK577" s="192"/>
      <c r="AL577" s="192"/>
    </row>
    <row r="578" spans="1:38" ht="15" customHeight="1">
      <c r="A578" s="100">
        <v>21127</v>
      </c>
      <c r="B578" s="109" t="s">
        <v>3786</v>
      </c>
      <c r="C578" s="25" t="s">
        <v>12</v>
      </c>
      <c r="D578" s="126" t="s">
        <v>17</v>
      </c>
      <c r="E578" s="127">
        <v>0.09</v>
      </c>
      <c r="F578" s="26">
        <f>H578</f>
        <v>3.9354999999999998</v>
      </c>
      <c r="G578" s="26">
        <f>ROUND(F578*E578,2)</f>
        <v>0.35</v>
      </c>
      <c r="H578" s="128">
        <f>0.85*4.63</f>
        <v>3.9354999999999998</v>
      </c>
      <c r="I578" s="129"/>
      <c r="M578" s="26"/>
      <c r="N578" s="26"/>
      <c r="O578" s="128"/>
      <c r="P578" s="605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92"/>
      <c r="AF578" s="192"/>
      <c r="AG578" s="192"/>
      <c r="AH578" s="192"/>
      <c r="AI578" s="192"/>
      <c r="AJ578" s="192"/>
      <c r="AK578" s="192"/>
      <c r="AL578" s="192"/>
    </row>
    <row r="579" spans="1:38" ht="15" customHeight="1">
      <c r="A579" s="100">
        <v>88247</v>
      </c>
      <c r="B579" s="109" t="s">
        <v>510</v>
      </c>
      <c r="C579" s="25" t="s">
        <v>12</v>
      </c>
      <c r="D579" s="126" t="s">
        <v>19</v>
      </c>
      <c r="E579" s="134">
        <v>0.128</v>
      </c>
      <c r="F579" s="505">
        <f>14.01*0.85*'PLANILHA ORÇA - CORREGEDORIA'!$BH$19</f>
        <v>13.266168610245346</v>
      </c>
      <c r="G579" s="26">
        <f>ROUND(F579*E579,2)</f>
        <v>1.7</v>
      </c>
      <c r="H579" s="128">
        <v>11.9085</v>
      </c>
      <c r="I579" s="129"/>
      <c r="M579" s="26"/>
      <c r="N579" s="26"/>
      <c r="O579" s="128"/>
      <c r="P579" s="605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92"/>
      <c r="AF579" s="192"/>
      <c r="AG579" s="192"/>
      <c r="AH579" s="192"/>
      <c r="AI579" s="192"/>
      <c r="AJ579" s="192"/>
      <c r="AK579" s="192"/>
      <c r="AL579" s="192"/>
    </row>
    <row r="580" spans="1:38" ht="15" customHeight="1">
      <c r="A580" s="100">
        <v>88264</v>
      </c>
      <c r="B580" s="109" t="s">
        <v>379</v>
      </c>
      <c r="C580" s="25" t="s">
        <v>12</v>
      </c>
      <c r="D580" s="126" t="s">
        <v>19</v>
      </c>
      <c r="E580" s="134">
        <v>0.128</v>
      </c>
      <c r="F580" s="505">
        <f>17.94*0.85*'PLANILHA ORÇA - CORREGEDORIA'!$BH$19</f>
        <v>16.987513552305604</v>
      </c>
      <c r="G580" s="26">
        <f>ROUND(F580*E580,2)</f>
        <v>2.17</v>
      </c>
      <c r="H580" s="128">
        <v>15.249000000000001</v>
      </c>
      <c r="I580" s="130"/>
      <c r="M580" s="26"/>
      <c r="N580" s="130"/>
      <c r="O580" s="538"/>
      <c r="P580" s="606"/>
      <c r="Q580" s="542"/>
      <c r="R580" s="542"/>
      <c r="S580" s="542"/>
      <c r="T580" s="568"/>
      <c r="U580" s="568"/>
      <c r="V580" s="652"/>
      <c r="W580" s="718"/>
      <c r="X580" s="706"/>
      <c r="Y580" s="718"/>
      <c r="Z580" s="718"/>
      <c r="AA580" s="706"/>
      <c r="AB580" s="706"/>
      <c r="AC580" s="652"/>
      <c r="AD580" s="677"/>
      <c r="AE580" s="718"/>
      <c r="AF580" s="718"/>
      <c r="AG580" s="718"/>
      <c r="AH580" s="718"/>
      <c r="AI580" s="718"/>
      <c r="AJ580" s="718"/>
      <c r="AK580" s="718"/>
      <c r="AL580" s="718"/>
    </row>
    <row r="581" spans="1:38" ht="25.5" customHeight="1">
      <c r="A581" s="956" t="s">
        <v>1894</v>
      </c>
      <c r="B581" s="957"/>
      <c r="C581" s="957"/>
      <c r="D581" s="957"/>
      <c r="E581" s="957"/>
      <c r="F581" s="957"/>
      <c r="G581" s="130">
        <f>ROUND(SUM(G577:G580),2)</f>
        <v>104.78</v>
      </c>
      <c r="H581" s="487"/>
      <c r="I581" s="54"/>
      <c r="M581" s="53"/>
      <c r="N581" s="54"/>
      <c r="O581" s="499"/>
      <c r="P581" s="603"/>
      <c r="Q581" s="499"/>
      <c r="R581" s="499"/>
      <c r="S581" s="499"/>
      <c r="T581" s="499"/>
      <c r="U581" s="499"/>
      <c r="V581" s="499"/>
      <c r="W581" s="499"/>
      <c r="X581" s="499"/>
      <c r="Y581" s="499"/>
      <c r="Z581" s="499"/>
      <c r="AA581" s="499"/>
      <c r="AB581" s="499"/>
      <c r="AC581" s="499"/>
      <c r="AD581" s="499"/>
      <c r="AE581" s="53"/>
      <c r="AF581" s="53"/>
      <c r="AG581" s="53"/>
      <c r="AH581" s="53"/>
      <c r="AI581" s="53"/>
      <c r="AJ581" s="53"/>
      <c r="AK581" s="53"/>
      <c r="AL581" s="53"/>
    </row>
    <row r="582" spans="1:38" ht="36" customHeight="1">
      <c r="A582" s="53"/>
      <c r="B582" s="53"/>
      <c r="C582" s="53"/>
      <c r="D582" s="53"/>
      <c r="E582" s="53"/>
      <c r="F582" s="53"/>
      <c r="G582" s="54"/>
      <c r="H582" s="499"/>
      <c r="I582" s="118">
        <v>91994</v>
      </c>
      <c r="M582" s="537"/>
      <c r="N582" s="537"/>
      <c r="O582" s="539"/>
      <c r="P582" s="604"/>
      <c r="Q582" s="546"/>
      <c r="R582" s="546"/>
      <c r="S582" s="546"/>
      <c r="T582" s="572"/>
      <c r="U582" s="572"/>
      <c r="V582" s="656"/>
      <c r="W582" s="719"/>
      <c r="X582" s="707"/>
      <c r="Y582" s="719"/>
      <c r="Z582" s="719"/>
      <c r="AA582" s="707"/>
      <c r="AB582" s="707"/>
      <c r="AC582" s="656"/>
      <c r="AD582" s="678"/>
      <c r="AE582" s="719"/>
      <c r="AF582" s="719"/>
      <c r="AG582" s="719"/>
      <c r="AH582" s="719"/>
      <c r="AI582" s="719"/>
      <c r="AJ582" s="719"/>
      <c r="AK582" s="719"/>
      <c r="AL582" s="719"/>
    </row>
    <row r="583" spans="1:38">
      <c r="A583" s="953" t="s">
        <v>1689</v>
      </c>
      <c r="B583" s="954"/>
      <c r="C583" s="954"/>
      <c r="D583" s="954"/>
      <c r="E583" s="955"/>
      <c r="F583" s="484"/>
      <c r="G583" s="484"/>
      <c r="H583" s="489" t="s">
        <v>12</v>
      </c>
      <c r="I583" s="77" t="s">
        <v>368</v>
      </c>
      <c r="M583" s="93"/>
      <c r="N583" s="93"/>
      <c r="O583" s="77"/>
      <c r="P583" s="590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</row>
    <row r="584" spans="1:38" ht="45" customHeight="1">
      <c r="A584" s="77" t="s">
        <v>1917</v>
      </c>
      <c r="B584" s="668"/>
      <c r="C584" s="77" t="s">
        <v>3</v>
      </c>
      <c r="D584" s="77" t="s">
        <v>4</v>
      </c>
      <c r="E584" s="77" t="s">
        <v>1826</v>
      </c>
      <c r="F584" s="93" t="s">
        <v>3781</v>
      </c>
      <c r="G584" s="93" t="s">
        <v>3783</v>
      </c>
      <c r="H584" s="77" t="s">
        <v>367</v>
      </c>
      <c r="I584" s="26"/>
      <c r="M584" s="26"/>
      <c r="N584" s="26"/>
      <c r="O584" s="26"/>
      <c r="P584" s="595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5"/>
      <c r="AF584" s="25"/>
      <c r="AG584" s="25"/>
      <c r="AH584" s="25"/>
      <c r="AI584" s="25"/>
      <c r="AJ584" s="25"/>
      <c r="AK584" s="25"/>
      <c r="AL584" s="25"/>
    </row>
    <row r="585" spans="1:38" ht="60">
      <c r="A585" s="100">
        <v>1017</v>
      </c>
      <c r="B585" s="109" t="s">
        <v>3798</v>
      </c>
      <c r="C585" s="25" t="s">
        <v>12</v>
      </c>
      <c r="D585" s="126" t="s">
        <v>52</v>
      </c>
      <c r="E585" s="134">
        <v>1.0149999999999999</v>
      </c>
      <c r="F585" s="26">
        <v>106.04</v>
      </c>
      <c r="G585" s="26">
        <f>ROUND(F585*E585,2)</f>
        <v>107.63</v>
      </c>
      <c r="H585" s="128">
        <f>0.85*113.44</f>
        <v>96.423999999999992</v>
      </c>
      <c r="I585" s="129"/>
      <c r="M585" s="26"/>
      <c r="N585" s="26"/>
      <c r="O585" s="128"/>
      <c r="P585" s="605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92"/>
      <c r="AF585" s="192"/>
      <c r="AG585" s="192"/>
      <c r="AH585" s="192"/>
      <c r="AI585" s="192"/>
      <c r="AJ585" s="192"/>
      <c r="AK585" s="192"/>
      <c r="AL585" s="192"/>
    </row>
    <row r="586" spans="1:38" ht="15" customHeight="1">
      <c r="A586" s="100">
        <v>21127</v>
      </c>
      <c r="B586" s="109" t="s">
        <v>3786</v>
      </c>
      <c r="C586" s="25" t="s">
        <v>12</v>
      </c>
      <c r="D586" s="126" t="s">
        <v>17</v>
      </c>
      <c r="E586" s="127">
        <v>0.09</v>
      </c>
      <c r="F586" s="26">
        <f>H586</f>
        <v>3.9354999999999998</v>
      </c>
      <c r="G586" s="26">
        <f>ROUND(F586*E586,2)</f>
        <v>0.35</v>
      </c>
      <c r="H586" s="128">
        <f>0.85*4.63</f>
        <v>3.9354999999999998</v>
      </c>
      <c r="I586" s="129"/>
      <c r="M586" s="26"/>
      <c r="N586" s="26"/>
      <c r="O586" s="128"/>
      <c r="P586" s="605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92"/>
      <c r="AF586" s="192"/>
      <c r="AG586" s="192"/>
      <c r="AH586" s="192"/>
      <c r="AI586" s="192"/>
      <c r="AJ586" s="192"/>
      <c r="AK586" s="192"/>
      <c r="AL586" s="192"/>
    </row>
    <row r="587" spans="1:38" ht="15" customHeight="1">
      <c r="A587" s="100">
        <v>88247</v>
      </c>
      <c r="B587" s="109" t="s">
        <v>510</v>
      </c>
      <c r="C587" s="25" t="s">
        <v>12</v>
      </c>
      <c r="D587" s="126" t="s">
        <v>19</v>
      </c>
      <c r="E587" s="134">
        <v>0.152</v>
      </c>
      <c r="F587" s="505">
        <f>14.01*0.85*'PLANILHA ORÇA - CORREGEDORIA'!$BH$19</f>
        <v>13.266168610245346</v>
      </c>
      <c r="G587" s="26">
        <f>ROUND(F587*E587,2)</f>
        <v>2.02</v>
      </c>
      <c r="H587" s="128">
        <v>11.9085</v>
      </c>
      <c r="I587" s="129"/>
      <c r="M587" s="26"/>
      <c r="N587" s="26"/>
      <c r="O587" s="128"/>
      <c r="P587" s="605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92"/>
      <c r="AF587" s="192"/>
      <c r="AG587" s="192"/>
      <c r="AH587" s="192"/>
      <c r="AI587" s="192"/>
      <c r="AJ587" s="192"/>
      <c r="AK587" s="192"/>
      <c r="AL587" s="192"/>
    </row>
    <row r="588" spans="1:38" ht="15" customHeight="1">
      <c r="A588" s="100">
        <v>88264</v>
      </c>
      <c r="B588" s="109" t="s">
        <v>379</v>
      </c>
      <c r="C588" s="25" t="s">
        <v>12</v>
      </c>
      <c r="D588" s="126" t="s">
        <v>19</v>
      </c>
      <c r="E588" s="134">
        <v>0.152</v>
      </c>
      <c r="F588" s="505">
        <f>17.94*0.85*'PLANILHA ORÇA - CORREGEDORIA'!$BH$19</f>
        <v>16.987513552305604</v>
      </c>
      <c r="G588" s="26">
        <f>ROUND(F588*E588,2)</f>
        <v>2.58</v>
      </c>
      <c r="H588" s="128">
        <v>15.249000000000001</v>
      </c>
      <c r="I588" s="130"/>
      <c r="M588" s="375"/>
      <c r="N588" s="130"/>
      <c r="O588" s="538"/>
      <c r="P588" s="606"/>
      <c r="Q588" s="542"/>
      <c r="R588" s="542"/>
      <c r="S588" s="542"/>
      <c r="T588" s="568"/>
      <c r="U588" s="568"/>
      <c r="V588" s="652"/>
      <c r="W588" s="718"/>
      <c r="X588" s="706"/>
      <c r="Y588" s="718"/>
      <c r="Z588" s="718"/>
      <c r="AA588" s="706"/>
      <c r="AB588" s="706"/>
      <c r="AC588" s="652"/>
      <c r="AD588" s="677"/>
      <c r="AE588" s="718"/>
      <c r="AF588" s="718"/>
      <c r="AG588" s="718"/>
      <c r="AH588" s="718"/>
      <c r="AI588" s="718"/>
      <c r="AJ588" s="718"/>
      <c r="AK588" s="718"/>
      <c r="AL588" s="718"/>
    </row>
    <row r="589" spans="1:38" ht="23.25" customHeight="1">
      <c r="A589" s="956" t="s">
        <v>1894</v>
      </c>
      <c r="B589" s="957"/>
      <c r="C589" s="957"/>
      <c r="D589" s="957"/>
      <c r="E589" s="957"/>
      <c r="F589" s="957"/>
      <c r="G589" s="130">
        <f>ROUND(SUM(G585:G588),2)</f>
        <v>112.58</v>
      </c>
      <c r="H589" s="487"/>
      <c r="I589" s="54"/>
      <c r="M589" s="53"/>
      <c r="N589" s="54"/>
      <c r="O589" s="499"/>
      <c r="P589" s="603"/>
      <c r="Q589" s="499"/>
      <c r="R589" s="499"/>
      <c r="S589" s="499"/>
      <c r="T589" s="499"/>
      <c r="U589" s="499"/>
      <c r="V589" s="499"/>
      <c r="W589" s="499"/>
      <c r="X589" s="499"/>
      <c r="Y589" s="499"/>
      <c r="Z589" s="499"/>
      <c r="AA589" s="499"/>
      <c r="AB589" s="499"/>
      <c r="AC589" s="499"/>
      <c r="AD589" s="499"/>
      <c r="AE589" s="53"/>
      <c r="AF589" s="53"/>
      <c r="AG589" s="53"/>
      <c r="AH589" s="53"/>
      <c r="AI589" s="53"/>
      <c r="AJ589" s="53"/>
      <c r="AK589" s="53"/>
      <c r="AL589" s="53"/>
    </row>
    <row r="590" spans="1:38" ht="33" customHeight="1">
      <c r="A590" s="53"/>
      <c r="B590" s="53"/>
      <c r="C590" s="53"/>
      <c r="D590" s="53"/>
      <c r="E590" s="53"/>
      <c r="F590" s="53"/>
      <c r="G590" s="54"/>
      <c r="H590" s="499"/>
      <c r="I590" s="118">
        <v>93000</v>
      </c>
      <c r="M590" s="537"/>
      <c r="N590" s="537"/>
      <c r="O590" s="539"/>
      <c r="P590" s="604"/>
      <c r="Q590" s="546"/>
      <c r="R590" s="546"/>
      <c r="S590" s="546"/>
      <c r="T590" s="572"/>
      <c r="U590" s="572"/>
      <c r="V590" s="656"/>
      <c r="W590" s="719"/>
      <c r="X590" s="707"/>
      <c r="Y590" s="719"/>
      <c r="Z590" s="719"/>
      <c r="AA590" s="707"/>
      <c r="AB590" s="707"/>
      <c r="AC590" s="656"/>
      <c r="AD590" s="678"/>
      <c r="AE590" s="719"/>
      <c r="AF590" s="719"/>
      <c r="AG590" s="719"/>
      <c r="AH590" s="719"/>
      <c r="AI590" s="719"/>
      <c r="AJ590" s="719"/>
      <c r="AK590" s="719"/>
      <c r="AL590" s="719"/>
    </row>
    <row r="591" spans="1:38">
      <c r="A591" s="953" t="s">
        <v>1738</v>
      </c>
      <c r="B591" s="954"/>
      <c r="C591" s="954"/>
      <c r="D591" s="954"/>
      <c r="E591" s="955"/>
      <c r="F591" s="484"/>
      <c r="G591" s="484"/>
      <c r="H591" s="489" t="s">
        <v>12</v>
      </c>
      <c r="I591" s="77" t="s">
        <v>368</v>
      </c>
      <c r="M591" s="93"/>
      <c r="N591" s="93"/>
      <c r="O591" s="77"/>
      <c r="P591" s="590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</row>
    <row r="592" spans="1:38" ht="45" customHeight="1">
      <c r="A592" s="77" t="s">
        <v>1917</v>
      </c>
      <c r="B592" s="668"/>
      <c r="C592" s="77" t="s">
        <v>3</v>
      </c>
      <c r="D592" s="77" t="s">
        <v>4</v>
      </c>
      <c r="E592" s="77" t="s">
        <v>1826</v>
      </c>
      <c r="F592" s="93" t="s">
        <v>3781</v>
      </c>
      <c r="G592" s="93" t="s">
        <v>3783</v>
      </c>
      <c r="H592" s="77" t="s">
        <v>367</v>
      </c>
      <c r="I592" s="26"/>
      <c r="M592" s="26"/>
      <c r="N592" s="26"/>
      <c r="O592" s="26"/>
      <c r="P592" s="595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5"/>
      <c r="AF592" s="25"/>
      <c r="AG592" s="25"/>
      <c r="AH592" s="25"/>
      <c r="AI592" s="25"/>
      <c r="AJ592" s="25"/>
      <c r="AK592" s="25"/>
      <c r="AL592" s="25"/>
    </row>
    <row r="593" spans="1:38" ht="60">
      <c r="A593" s="100">
        <v>1015</v>
      </c>
      <c r="B593" s="109" t="s">
        <v>3799</v>
      </c>
      <c r="C593" s="25" t="s">
        <v>12</v>
      </c>
      <c r="D593" s="126" t="s">
        <v>52</v>
      </c>
      <c r="E593" s="134">
        <v>1.0149999999999999</v>
      </c>
      <c r="F593" s="26">
        <v>233.48</v>
      </c>
      <c r="G593" s="26">
        <f>ROUND(F593*E593,2)</f>
        <v>236.98</v>
      </c>
      <c r="H593" s="128">
        <f>0.85*226.88</f>
        <v>192.84799999999998</v>
      </c>
      <c r="I593" s="129"/>
      <c r="M593" s="26"/>
      <c r="N593" s="26"/>
      <c r="O593" s="128"/>
      <c r="P593" s="605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92"/>
      <c r="AF593" s="192"/>
      <c r="AG593" s="192"/>
      <c r="AH593" s="192"/>
      <c r="AI593" s="192"/>
      <c r="AJ593" s="192"/>
      <c r="AK593" s="192"/>
      <c r="AL593" s="192"/>
    </row>
    <row r="594" spans="1:38" ht="15" customHeight="1">
      <c r="A594" s="100">
        <v>21127</v>
      </c>
      <c r="B594" s="109" t="s">
        <v>3786</v>
      </c>
      <c r="C594" s="25" t="s">
        <v>12</v>
      </c>
      <c r="D594" s="126" t="s">
        <v>17</v>
      </c>
      <c r="E594" s="127">
        <v>0.09</v>
      </c>
      <c r="F594" s="26">
        <f>H594</f>
        <v>3.9354999999999998</v>
      </c>
      <c r="G594" s="26">
        <f>ROUND(F594*E594,2)</f>
        <v>0.35</v>
      </c>
      <c r="H594" s="128">
        <f>0.85*4.63</f>
        <v>3.9354999999999998</v>
      </c>
      <c r="I594" s="129"/>
      <c r="M594" s="26"/>
      <c r="N594" s="26"/>
      <c r="O594" s="128"/>
      <c r="P594" s="605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92"/>
      <c r="AF594" s="192"/>
      <c r="AG594" s="192"/>
      <c r="AH594" s="192"/>
      <c r="AI594" s="192"/>
      <c r="AJ594" s="192"/>
      <c r="AK594" s="192"/>
      <c r="AL594" s="192"/>
    </row>
    <row r="595" spans="1:38" ht="15" customHeight="1">
      <c r="A595" s="100">
        <v>88247</v>
      </c>
      <c r="B595" s="109" t="s">
        <v>510</v>
      </c>
      <c r="C595" s="25" t="s">
        <v>12</v>
      </c>
      <c r="D595" s="126" t="s">
        <v>19</v>
      </c>
      <c r="E595" s="134">
        <v>0.26300000000000001</v>
      </c>
      <c r="F595" s="505">
        <f>14.01*0.85*'PLANILHA ORÇA - CORREGEDORIA'!$BH$19</f>
        <v>13.266168610245346</v>
      </c>
      <c r="G595" s="26">
        <f>ROUND(F595*E595,2)</f>
        <v>3.49</v>
      </c>
      <c r="H595" s="128">
        <v>11.9085</v>
      </c>
      <c r="I595" s="129"/>
      <c r="M595" s="26"/>
      <c r="N595" s="26"/>
      <c r="O595" s="128"/>
      <c r="P595" s="605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92"/>
      <c r="AF595" s="192"/>
      <c r="AG595" s="192"/>
      <c r="AH595" s="192"/>
      <c r="AI595" s="192"/>
      <c r="AJ595" s="192"/>
      <c r="AK595" s="192"/>
      <c r="AL595" s="192"/>
    </row>
    <row r="596" spans="1:38" ht="15" customHeight="1">
      <c r="A596" s="100">
        <v>88264</v>
      </c>
      <c r="B596" s="109" t="s">
        <v>379</v>
      </c>
      <c r="C596" s="25" t="s">
        <v>12</v>
      </c>
      <c r="D596" s="126" t="s">
        <v>19</v>
      </c>
      <c r="E596" s="134">
        <v>0.26300000000000001</v>
      </c>
      <c r="F596" s="505">
        <f>17.94*0.85*'PLANILHA ORÇA - CORREGEDORIA'!$BH$19</f>
        <v>16.987513552305604</v>
      </c>
      <c r="G596" s="26">
        <f>ROUND(F596*E596,2)</f>
        <v>4.47</v>
      </c>
      <c r="H596" s="128">
        <v>15.249000000000001</v>
      </c>
      <c r="I596" s="130"/>
      <c r="M596" s="375"/>
      <c r="N596" s="130"/>
      <c r="O596" s="538"/>
      <c r="P596" s="606"/>
      <c r="Q596" s="542"/>
      <c r="R596" s="542"/>
      <c r="S596" s="542"/>
      <c r="T596" s="568"/>
      <c r="U596" s="568"/>
      <c r="V596" s="652"/>
      <c r="W596" s="718"/>
      <c r="X596" s="706"/>
      <c r="Y596" s="718"/>
      <c r="Z596" s="718"/>
      <c r="AA596" s="706"/>
      <c r="AB596" s="706"/>
      <c r="AC596" s="652"/>
      <c r="AD596" s="677"/>
      <c r="AE596" s="718"/>
      <c r="AF596" s="718"/>
      <c r="AG596" s="718"/>
      <c r="AH596" s="718"/>
      <c r="AI596" s="718"/>
      <c r="AJ596" s="718"/>
      <c r="AK596" s="718"/>
      <c r="AL596" s="718"/>
    </row>
    <row r="597" spans="1:38" ht="26.25" customHeight="1">
      <c r="A597" s="956" t="s">
        <v>1894</v>
      </c>
      <c r="B597" s="957"/>
      <c r="C597" s="957"/>
      <c r="D597" s="957"/>
      <c r="E597" s="957"/>
      <c r="F597" s="957"/>
      <c r="G597" s="130">
        <f>ROUND(SUM(G593:G596),2)</f>
        <v>245.29</v>
      </c>
      <c r="H597" s="487"/>
      <c r="I597" s="54"/>
      <c r="M597" s="53"/>
      <c r="N597" s="54"/>
      <c r="O597" s="499"/>
      <c r="P597" s="603"/>
      <c r="Q597" s="499"/>
      <c r="R597" s="499"/>
      <c r="S597" s="499"/>
      <c r="T597" s="499"/>
      <c r="U597" s="499"/>
      <c r="V597" s="499"/>
      <c r="W597" s="499"/>
      <c r="X597" s="499"/>
      <c r="Y597" s="499"/>
      <c r="Z597" s="499"/>
      <c r="AA597" s="499"/>
      <c r="AB597" s="499"/>
      <c r="AC597" s="499"/>
      <c r="AD597" s="499"/>
      <c r="AE597" s="53"/>
      <c r="AF597" s="53"/>
      <c r="AG597" s="53"/>
      <c r="AH597" s="53"/>
      <c r="AI597" s="53"/>
      <c r="AJ597" s="53"/>
      <c r="AK597" s="53"/>
      <c r="AL597" s="53"/>
    </row>
    <row r="598" spans="1:38" ht="38.25" customHeight="1">
      <c r="A598" s="53"/>
      <c r="B598" s="53"/>
      <c r="C598" s="53"/>
      <c r="D598" s="53"/>
      <c r="E598" s="53"/>
      <c r="F598" s="53"/>
      <c r="G598" s="54"/>
      <c r="H598" s="499"/>
      <c r="I598" s="118">
        <v>98297</v>
      </c>
      <c r="M598" s="537"/>
      <c r="N598" s="537"/>
      <c r="O598" s="539"/>
      <c r="P598" s="604"/>
      <c r="Q598" s="546"/>
      <c r="R598" s="546"/>
      <c r="S598" s="546"/>
      <c r="T598" s="572"/>
      <c r="U598" s="572"/>
      <c r="V598" s="656"/>
      <c r="W598" s="719"/>
      <c r="X598" s="707"/>
      <c r="Y598" s="719"/>
      <c r="Z598" s="719"/>
      <c r="AA598" s="707"/>
      <c r="AB598" s="707"/>
      <c r="AC598" s="656"/>
      <c r="AD598" s="678"/>
      <c r="AE598" s="719"/>
      <c r="AF598" s="719"/>
      <c r="AG598" s="719"/>
      <c r="AH598" s="719"/>
      <c r="AI598" s="719"/>
      <c r="AJ598" s="719"/>
      <c r="AK598" s="719"/>
      <c r="AL598" s="719"/>
    </row>
    <row r="599" spans="1:38">
      <c r="A599" s="953" t="s">
        <v>2505</v>
      </c>
      <c r="B599" s="954"/>
      <c r="C599" s="954"/>
      <c r="D599" s="954"/>
      <c r="E599" s="955"/>
      <c r="F599" s="484"/>
      <c r="G599" s="484"/>
      <c r="H599" s="489" t="s">
        <v>12</v>
      </c>
      <c r="I599" s="77" t="s">
        <v>368</v>
      </c>
      <c r="M599" s="93"/>
      <c r="N599" s="93"/>
      <c r="O599" s="77"/>
      <c r="P599" s="590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</row>
    <row r="600" spans="1:38" ht="45" customHeight="1">
      <c r="A600" s="77" t="s">
        <v>1917</v>
      </c>
      <c r="B600" s="668"/>
      <c r="C600" s="77" t="s">
        <v>3</v>
      </c>
      <c r="D600" s="77" t="s">
        <v>4</v>
      </c>
      <c r="E600" s="77" t="s">
        <v>1826</v>
      </c>
      <c r="F600" s="93" t="s">
        <v>3781</v>
      </c>
      <c r="G600" s="93" t="s">
        <v>3783</v>
      </c>
      <c r="H600" s="77" t="s">
        <v>367</v>
      </c>
      <c r="I600" s="26"/>
      <c r="M600" s="26"/>
      <c r="N600" s="26"/>
      <c r="O600" s="26"/>
      <c r="P600" s="595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5"/>
      <c r="AF600" s="25"/>
      <c r="AG600" s="25"/>
      <c r="AH600" s="25"/>
      <c r="AI600" s="25"/>
      <c r="AJ600" s="25"/>
      <c r="AK600" s="25"/>
      <c r="AL600" s="25"/>
    </row>
    <row r="601" spans="1:38" ht="15" customHeight="1">
      <c r="A601" s="100">
        <v>35399</v>
      </c>
      <c r="B601" s="109" t="s">
        <v>3800</v>
      </c>
      <c r="C601" s="25" t="s">
        <v>12</v>
      </c>
      <c r="D601" s="126" t="s">
        <v>52</v>
      </c>
      <c r="E601" s="134">
        <v>1.05</v>
      </c>
      <c r="F601" s="26">
        <v>3.43</v>
      </c>
      <c r="G601" s="26">
        <f>ROUND(F601*E601,2)</f>
        <v>3.6</v>
      </c>
      <c r="H601" s="128">
        <f>0.85*1.86</f>
        <v>1.581</v>
      </c>
      <c r="I601" s="129"/>
      <c r="M601" s="26"/>
      <c r="N601" s="26"/>
      <c r="O601" s="128"/>
      <c r="P601" s="605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92"/>
      <c r="AF601" s="192"/>
      <c r="AG601" s="192"/>
      <c r="AH601" s="192"/>
      <c r="AI601" s="192"/>
      <c r="AJ601" s="192"/>
      <c r="AK601" s="192"/>
      <c r="AL601" s="192"/>
    </row>
    <row r="602" spans="1:38" ht="15" customHeight="1">
      <c r="A602" s="100">
        <v>88247</v>
      </c>
      <c r="B602" s="109" t="s">
        <v>510</v>
      </c>
      <c r="C602" s="25" t="s">
        <v>12</v>
      </c>
      <c r="D602" s="126" t="s">
        <v>19</v>
      </c>
      <c r="E602" s="136">
        <v>4.4999999999999997E-3</v>
      </c>
      <c r="F602" s="505">
        <f>14.01*0.85*'PLANILHA ORÇA - CORREGEDORIA'!$BH$19</f>
        <v>13.266168610245346</v>
      </c>
      <c r="G602" s="26">
        <f>ROUND(F602*E602,2)</f>
        <v>0.06</v>
      </c>
      <c r="H602" s="128">
        <v>11.9085</v>
      </c>
      <c r="I602" s="129"/>
      <c r="M602" s="26"/>
      <c r="N602" s="26"/>
      <c r="O602" s="128"/>
      <c r="P602" s="605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92"/>
      <c r="AF602" s="192"/>
      <c r="AG602" s="192"/>
      <c r="AH602" s="192"/>
      <c r="AI602" s="192"/>
      <c r="AJ602" s="192"/>
      <c r="AK602" s="192"/>
      <c r="AL602" s="192"/>
    </row>
    <row r="603" spans="1:38" ht="15" customHeight="1">
      <c r="A603" s="100">
        <v>88264</v>
      </c>
      <c r="B603" s="109" t="s">
        <v>379</v>
      </c>
      <c r="C603" s="25" t="s">
        <v>12</v>
      </c>
      <c r="D603" s="126" t="s">
        <v>19</v>
      </c>
      <c r="E603" s="136">
        <v>4.4999999999999997E-3</v>
      </c>
      <c r="F603" s="505">
        <f>17.94*0.85*'PLANILHA ORÇA - CORREGEDORIA'!$BH$19</f>
        <v>16.987513552305604</v>
      </c>
      <c r="G603" s="26">
        <f>ROUND(F603*E603,2)</f>
        <v>0.08</v>
      </c>
      <c r="H603" s="128">
        <v>15.249000000000001</v>
      </c>
      <c r="I603" s="130"/>
      <c r="M603" s="375"/>
      <c r="N603" s="130"/>
      <c r="O603" s="538"/>
      <c r="P603" s="606"/>
      <c r="Q603" s="542"/>
      <c r="R603" s="542"/>
      <c r="S603" s="542"/>
      <c r="T603" s="568"/>
      <c r="U603" s="568"/>
      <c r="V603" s="652"/>
      <c r="W603" s="718"/>
      <c r="X603" s="706"/>
      <c r="Y603" s="718"/>
      <c r="Z603" s="718"/>
      <c r="AA603" s="706"/>
      <c r="AB603" s="706"/>
      <c r="AC603" s="652"/>
      <c r="AD603" s="677"/>
      <c r="AE603" s="718"/>
      <c r="AF603" s="718"/>
      <c r="AG603" s="718"/>
      <c r="AH603" s="718"/>
      <c r="AI603" s="718"/>
      <c r="AJ603" s="718"/>
      <c r="AK603" s="718"/>
      <c r="AL603" s="718"/>
    </row>
    <row r="604" spans="1:38" ht="29.25" customHeight="1">
      <c r="A604" s="956" t="s">
        <v>1894</v>
      </c>
      <c r="B604" s="957"/>
      <c r="C604" s="957"/>
      <c r="D604" s="957"/>
      <c r="E604" s="957"/>
      <c r="F604" s="957"/>
      <c r="G604" s="130">
        <f>ROUND(SUM(G601:G603),2)</f>
        <v>3.74</v>
      </c>
      <c r="H604" s="487"/>
      <c r="I604" s="501"/>
      <c r="M604" s="500"/>
      <c r="N604" s="501"/>
      <c r="O604" s="500"/>
      <c r="P604" s="607"/>
      <c r="Q604" s="500"/>
      <c r="R604" s="500"/>
      <c r="S604" s="500"/>
      <c r="T604" s="500"/>
      <c r="U604" s="500"/>
      <c r="V604" s="500"/>
      <c r="W604" s="500"/>
      <c r="X604" s="500"/>
      <c r="Y604" s="500"/>
      <c r="Z604" s="500"/>
      <c r="AA604" s="500"/>
      <c r="AB604" s="500"/>
      <c r="AC604" s="500"/>
      <c r="AD604" s="500"/>
      <c r="AE604" s="500"/>
      <c r="AF604" s="500"/>
      <c r="AG604" s="500"/>
      <c r="AH604" s="500"/>
      <c r="AI604" s="500"/>
      <c r="AJ604" s="500"/>
      <c r="AK604" s="500"/>
      <c r="AL604" s="500"/>
    </row>
    <row r="605" spans="1:38" ht="34.5" customHeight="1">
      <c r="A605" s="500"/>
      <c r="B605" s="500"/>
      <c r="C605" s="500"/>
      <c r="D605" s="500"/>
      <c r="E605" s="500"/>
      <c r="F605" s="500"/>
      <c r="G605" s="501"/>
      <c r="H605" s="500"/>
      <c r="I605" s="118">
        <v>98270</v>
      </c>
      <c r="M605" s="537"/>
      <c r="N605" s="537"/>
      <c r="O605" s="539"/>
      <c r="P605" s="604"/>
      <c r="Q605" s="546"/>
      <c r="R605" s="546"/>
      <c r="S605" s="546"/>
      <c r="T605" s="572"/>
      <c r="U605" s="572"/>
      <c r="V605" s="656"/>
      <c r="W605" s="719"/>
      <c r="X605" s="707"/>
      <c r="Y605" s="719"/>
      <c r="Z605" s="719"/>
      <c r="AA605" s="707"/>
      <c r="AB605" s="707"/>
      <c r="AC605" s="656"/>
      <c r="AD605" s="678"/>
      <c r="AE605" s="719"/>
      <c r="AF605" s="719"/>
      <c r="AG605" s="719"/>
      <c r="AH605" s="719"/>
      <c r="AI605" s="719"/>
      <c r="AJ605" s="719"/>
      <c r="AK605" s="719"/>
      <c r="AL605" s="719"/>
    </row>
    <row r="606" spans="1:38">
      <c r="A606" s="953" t="s">
        <v>2504</v>
      </c>
      <c r="B606" s="954"/>
      <c r="C606" s="954"/>
      <c r="D606" s="954"/>
      <c r="E606" s="955"/>
      <c r="F606" s="484"/>
      <c r="G606" s="484"/>
      <c r="H606" s="489" t="s">
        <v>12</v>
      </c>
      <c r="I606" s="77" t="s">
        <v>368</v>
      </c>
      <c r="M606" s="93"/>
      <c r="N606" s="93"/>
      <c r="O606" s="77"/>
      <c r="P606" s="590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</row>
    <row r="607" spans="1:38" ht="45" customHeight="1">
      <c r="A607" s="77" t="s">
        <v>1917</v>
      </c>
      <c r="B607" s="668"/>
      <c r="C607" s="77" t="s">
        <v>3</v>
      </c>
      <c r="D607" s="77" t="s">
        <v>4</v>
      </c>
      <c r="E607" s="77" t="s">
        <v>1826</v>
      </c>
      <c r="F607" s="93" t="s">
        <v>3781</v>
      </c>
      <c r="G607" s="93" t="s">
        <v>3783</v>
      </c>
      <c r="H607" s="77" t="s">
        <v>367</v>
      </c>
      <c r="I607" s="26"/>
      <c r="M607" s="26"/>
      <c r="N607" s="26"/>
      <c r="O607" s="26"/>
      <c r="P607" s="595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5"/>
      <c r="AF607" s="25"/>
      <c r="AG607" s="25"/>
      <c r="AH607" s="25"/>
      <c r="AI607" s="25"/>
      <c r="AJ607" s="25"/>
      <c r="AK607" s="25"/>
      <c r="AL607" s="25"/>
    </row>
    <row r="608" spans="1:38" ht="15" customHeight="1">
      <c r="A608" s="100">
        <v>11922</v>
      </c>
      <c r="B608" s="109" t="s">
        <v>3801</v>
      </c>
      <c r="C608" s="25" t="s">
        <v>12</v>
      </c>
      <c r="D608" s="126" t="s">
        <v>52</v>
      </c>
      <c r="E608" s="134">
        <v>1.05</v>
      </c>
      <c r="F608" s="26">
        <v>42.46</v>
      </c>
      <c r="G608" s="26">
        <f>ROUND(F608*E608,2)</f>
        <v>44.58</v>
      </c>
      <c r="H608" s="128">
        <f>0.85*33.65</f>
        <v>28.602499999999999</v>
      </c>
      <c r="I608" s="129"/>
      <c r="M608" s="26"/>
      <c r="N608" s="26"/>
      <c r="O608" s="128"/>
      <c r="P608" s="605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92"/>
      <c r="AF608" s="192"/>
      <c r="AG608" s="192"/>
      <c r="AH608" s="192"/>
      <c r="AI608" s="192"/>
      <c r="AJ608" s="192"/>
      <c r="AK608" s="192"/>
      <c r="AL608" s="192"/>
    </row>
    <row r="609" spans="1:38" ht="15" customHeight="1">
      <c r="A609" s="100">
        <v>88247</v>
      </c>
      <c r="B609" s="109" t="s">
        <v>510</v>
      </c>
      <c r="C609" s="25" t="s">
        <v>12</v>
      </c>
      <c r="D609" s="126" t="s">
        <v>19</v>
      </c>
      <c r="E609" s="136">
        <v>0.12659999999999999</v>
      </c>
      <c r="F609" s="505">
        <f>14.01*0.85*'PLANILHA ORÇA - CORREGEDORIA'!$BH$19</f>
        <v>13.266168610245346</v>
      </c>
      <c r="G609" s="26">
        <f>ROUND(F609*E609,2)</f>
        <v>1.68</v>
      </c>
      <c r="H609" s="128">
        <v>11.9085</v>
      </c>
      <c r="I609" s="129"/>
      <c r="M609" s="26"/>
      <c r="N609" s="26"/>
      <c r="O609" s="128"/>
      <c r="P609" s="605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92"/>
      <c r="AF609" s="192"/>
      <c r="AG609" s="192"/>
      <c r="AH609" s="192"/>
      <c r="AI609" s="192"/>
      <c r="AJ609" s="192"/>
      <c r="AK609" s="192"/>
      <c r="AL609" s="192"/>
    </row>
    <row r="610" spans="1:38" ht="15" customHeight="1">
      <c r="A610" s="100">
        <v>88264</v>
      </c>
      <c r="B610" s="109" t="s">
        <v>379</v>
      </c>
      <c r="C610" s="25" t="s">
        <v>12</v>
      </c>
      <c r="D610" s="126" t="s">
        <v>19</v>
      </c>
      <c r="E610" s="136">
        <v>0.12659999999999999</v>
      </c>
      <c r="F610" s="505">
        <f>17.94*0.85*'PLANILHA ORÇA - CORREGEDORIA'!$BH$19</f>
        <v>16.987513552305604</v>
      </c>
      <c r="G610" s="26">
        <f>ROUND(F610*E610,2)</f>
        <v>2.15</v>
      </c>
      <c r="H610" s="128">
        <v>15.249000000000001</v>
      </c>
      <c r="I610" s="130"/>
      <c r="M610" s="375"/>
      <c r="N610" s="130"/>
      <c r="O610" s="538"/>
      <c r="P610" s="606"/>
      <c r="Q610" s="542"/>
      <c r="R610" s="542"/>
      <c r="S610" s="542"/>
      <c r="T610" s="568"/>
      <c r="U610" s="568"/>
      <c r="V610" s="652"/>
      <c r="W610" s="718"/>
      <c r="X610" s="706"/>
      <c r="Y610" s="718"/>
      <c r="Z610" s="718"/>
      <c r="AA610" s="706"/>
      <c r="AB610" s="706"/>
      <c r="AC610" s="652"/>
      <c r="AD610" s="677"/>
      <c r="AE610" s="718"/>
      <c r="AF610" s="718"/>
      <c r="AG610" s="718"/>
      <c r="AH610" s="718"/>
      <c r="AI610" s="718"/>
      <c r="AJ610" s="718"/>
      <c r="AK610" s="718"/>
      <c r="AL610" s="718"/>
    </row>
    <row r="611" spans="1:38" ht="33" customHeight="1">
      <c r="A611" s="956" t="s">
        <v>1894</v>
      </c>
      <c r="B611" s="957"/>
      <c r="C611" s="957"/>
      <c r="D611" s="957"/>
      <c r="E611" s="957"/>
      <c r="F611" s="957"/>
      <c r="G611" s="130">
        <f>ROUND(SUM(G608:G610),2)</f>
        <v>48.41</v>
      </c>
      <c r="H611" s="487"/>
      <c r="I611" s="54"/>
      <c r="M611" s="53"/>
      <c r="N611" s="54"/>
      <c r="O611" s="499"/>
      <c r="P611" s="603"/>
      <c r="Q611" s="499"/>
      <c r="R611" s="499"/>
      <c r="S611" s="499"/>
      <c r="T611" s="499"/>
      <c r="U611" s="499"/>
      <c r="V611" s="499"/>
      <c r="W611" s="499"/>
      <c r="X611" s="499"/>
      <c r="Y611" s="499"/>
      <c r="Z611" s="499"/>
      <c r="AA611" s="499"/>
      <c r="AB611" s="499"/>
      <c r="AC611" s="499"/>
      <c r="AD611" s="499"/>
      <c r="AE611" s="53"/>
      <c r="AF611" s="53"/>
      <c r="AG611" s="53"/>
      <c r="AH611" s="53"/>
      <c r="AI611" s="53"/>
      <c r="AJ611" s="53"/>
      <c r="AK611" s="53"/>
      <c r="AL611" s="53"/>
    </row>
    <row r="612" spans="1:38" ht="21" customHeight="1">
      <c r="A612" s="53"/>
      <c r="B612" s="53"/>
      <c r="C612" s="53"/>
      <c r="D612" s="53"/>
      <c r="E612" s="53"/>
      <c r="F612" s="53"/>
      <c r="G612" s="54"/>
      <c r="H612" s="499"/>
      <c r="I612" s="486"/>
      <c r="M612" s="537"/>
      <c r="N612" s="537"/>
      <c r="O612" s="75"/>
      <c r="P612" s="589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</row>
    <row r="613" spans="1:38">
      <c r="A613" s="920" t="s">
        <v>2170</v>
      </c>
      <c r="B613" s="921"/>
      <c r="C613" s="921"/>
      <c r="D613" s="921"/>
      <c r="E613" s="922"/>
      <c r="F613" s="484"/>
      <c r="G613" s="484"/>
      <c r="H613" s="75" t="s">
        <v>44</v>
      </c>
      <c r="I613" s="77" t="s">
        <v>368</v>
      </c>
      <c r="M613" s="93"/>
      <c r="N613" s="93"/>
      <c r="O613" s="77"/>
      <c r="P613" s="590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</row>
    <row r="614" spans="1:38" ht="45" customHeight="1">
      <c r="A614" s="77" t="s">
        <v>364</v>
      </c>
      <c r="B614" s="668"/>
      <c r="C614" s="77" t="s">
        <v>3</v>
      </c>
      <c r="D614" s="77" t="s">
        <v>4</v>
      </c>
      <c r="E614" s="77" t="s">
        <v>1826</v>
      </c>
      <c r="F614" s="93" t="s">
        <v>3781</v>
      </c>
      <c r="G614" s="93" t="s">
        <v>3783</v>
      </c>
      <c r="H614" s="77" t="s">
        <v>367</v>
      </c>
      <c r="I614" s="26">
        <f>ROUND(H615*E615,2)</f>
        <v>97.73</v>
      </c>
      <c r="J614" s="375">
        <v>93.075000000000003</v>
      </c>
      <c r="K614" s="2" t="e">
        <f>IF(A615&lt;&gt;0,VLOOKUP(A615,#REF!,2,FALSE),"")</f>
        <v>#REF!</v>
      </c>
      <c r="M614" s="26"/>
      <c r="N614" s="26"/>
      <c r="O614" s="26"/>
      <c r="P614" s="595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5"/>
      <c r="AF614" s="25"/>
      <c r="AG614" s="25"/>
      <c r="AH614" s="25"/>
      <c r="AI614" s="25"/>
      <c r="AJ614" s="25"/>
      <c r="AK614" s="25"/>
      <c r="AL614" s="25"/>
    </row>
    <row r="615" spans="1:38" ht="30">
      <c r="A615" s="24">
        <v>3972</v>
      </c>
      <c r="B615" s="78" t="s">
        <v>564</v>
      </c>
      <c r="C615" s="25" t="s">
        <v>44</v>
      </c>
      <c r="D615" s="25" t="s">
        <v>17</v>
      </c>
      <c r="E615" s="26">
        <v>1.05</v>
      </c>
      <c r="F615" s="26">
        <v>30.92</v>
      </c>
      <c r="G615" s="26">
        <f>ROUND(F615*E615,2)</f>
        <v>32.47</v>
      </c>
      <c r="H615" s="26">
        <f t="shared" ref="H615:H617" si="158">J614</f>
        <v>93.075000000000003</v>
      </c>
      <c r="I615" s="26">
        <f>ROUND(H616*E616,2)</f>
        <v>11.44</v>
      </c>
      <c r="J615" s="375">
        <v>15.249000000000001</v>
      </c>
      <c r="K615" s="28" t="e">
        <f>IF(A616&lt;&gt;0,VLOOKUP(A616,#REF!,2,FALSE),"")</f>
        <v>#REF!</v>
      </c>
      <c r="M615" s="26"/>
      <c r="N615" s="26"/>
      <c r="O615" s="26"/>
      <c r="P615" s="595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5"/>
      <c r="AF615" s="25"/>
      <c r="AG615" s="25"/>
      <c r="AH615" s="25"/>
      <c r="AI615" s="25"/>
      <c r="AJ615" s="25"/>
      <c r="AK615" s="25"/>
      <c r="AL615" s="25"/>
    </row>
    <row r="616" spans="1:38" ht="30">
      <c r="A616" s="24">
        <v>88264</v>
      </c>
      <c r="B616" s="78" t="s">
        <v>379</v>
      </c>
      <c r="C616" s="25" t="s">
        <v>12</v>
      </c>
      <c r="D616" s="25" t="s">
        <v>19</v>
      </c>
      <c r="E616" s="26">
        <v>0.75</v>
      </c>
      <c r="F616" s="505">
        <f>17.94*0.85*'PLANILHA ORÇA - CORREGEDORIA'!$BH$19</f>
        <v>16.987513552305604</v>
      </c>
      <c r="G616" s="26">
        <f>ROUND(F616*E616,2)</f>
        <v>12.74</v>
      </c>
      <c r="H616" s="26">
        <f t="shared" si="158"/>
        <v>15.249000000000001</v>
      </c>
      <c r="I616" s="26">
        <f>ROUND(H617*E617,2)</f>
        <v>8.85</v>
      </c>
      <c r="J616" s="375">
        <v>11.798000000000002</v>
      </c>
      <c r="K616" s="28" t="e">
        <f>IF(A617&lt;&gt;0,VLOOKUP(A617,#REF!,2,FALSE),"")</f>
        <v>#REF!</v>
      </c>
      <c r="M616" s="26"/>
      <c r="N616" s="26"/>
      <c r="O616" s="26"/>
      <c r="P616" s="595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5"/>
      <c r="AF616" s="25"/>
      <c r="AG616" s="25"/>
      <c r="AH616" s="25"/>
      <c r="AI616" s="25"/>
      <c r="AJ616" s="25"/>
      <c r="AK616" s="25"/>
      <c r="AL616" s="25"/>
    </row>
    <row r="617" spans="1:38" ht="15" customHeight="1">
      <c r="A617" s="24">
        <v>88316</v>
      </c>
      <c r="B617" s="78" t="s">
        <v>377</v>
      </c>
      <c r="C617" s="25" t="s">
        <v>12</v>
      </c>
      <c r="D617" s="25" t="s">
        <v>19</v>
      </c>
      <c r="E617" s="26">
        <v>0.75</v>
      </c>
      <c r="F617" s="505">
        <f>13.88*0.85*'PLANILHA ORÇA - CORREGEDORIA'!$BH$19</f>
        <v>13.143070685953276</v>
      </c>
      <c r="G617" s="26">
        <f>ROUND(F617*E617,2)</f>
        <v>9.86</v>
      </c>
      <c r="H617" s="26">
        <f t="shared" si="158"/>
        <v>11.798000000000002</v>
      </c>
      <c r="I617" s="79">
        <f>ROUND(SUM(I614:I616),2)</f>
        <v>118.02</v>
      </c>
      <c r="M617" s="375"/>
      <c r="N617" s="79"/>
      <c r="O617" s="497"/>
      <c r="P617" s="601"/>
      <c r="Q617" s="497"/>
      <c r="R617" s="497"/>
      <c r="S617" s="497"/>
      <c r="T617" s="497"/>
      <c r="U617" s="497"/>
      <c r="V617" s="497"/>
      <c r="W617" s="497"/>
      <c r="X617" s="497"/>
      <c r="Y617" s="497"/>
      <c r="Z617" s="497"/>
      <c r="AA617" s="497"/>
      <c r="AB617" s="497"/>
      <c r="AC617" s="497"/>
      <c r="AD617" s="497"/>
      <c r="AE617" s="710"/>
      <c r="AF617" s="710"/>
      <c r="AG617" s="710"/>
      <c r="AH617" s="710"/>
      <c r="AI617" s="710"/>
      <c r="AJ617" s="710"/>
      <c r="AK617" s="710"/>
      <c r="AL617" s="710"/>
    </row>
    <row r="618" spans="1:38" ht="22.5" customHeight="1">
      <c r="A618" s="917" t="s">
        <v>1894</v>
      </c>
      <c r="B618" s="918"/>
      <c r="C618" s="918"/>
      <c r="D618" s="918"/>
      <c r="E618" s="918"/>
      <c r="F618" s="926"/>
      <c r="G618" s="79">
        <f>ROUND(SUM(G615:G617),2)</f>
        <v>55.07</v>
      </c>
      <c r="H618" s="497"/>
      <c r="I618" s="80"/>
      <c r="M618" s="104"/>
      <c r="N618" s="104"/>
      <c r="O618" s="80"/>
      <c r="P618" s="426"/>
      <c r="Q618" s="80"/>
      <c r="R618" s="80"/>
      <c r="S618" s="80"/>
      <c r="T618" s="80"/>
      <c r="U618" s="80"/>
      <c r="V618" s="80"/>
      <c r="W618" s="104"/>
      <c r="X618" s="104"/>
      <c r="Y618" s="104"/>
      <c r="Z618" s="104"/>
      <c r="AA618" s="104"/>
      <c r="AB618" s="104"/>
      <c r="AC618" s="80"/>
      <c r="AD618" s="80"/>
      <c r="AE618" s="697"/>
      <c r="AF618" s="697"/>
      <c r="AG618" s="697"/>
      <c r="AH618" s="697"/>
      <c r="AI618" s="697"/>
      <c r="AJ618" s="697"/>
      <c r="AK618" s="697"/>
      <c r="AL618" s="697"/>
    </row>
    <row r="619" spans="1:38" ht="39" customHeight="1">
      <c r="A619" s="697"/>
      <c r="B619" s="80"/>
      <c r="C619" s="490"/>
      <c r="D619" s="491"/>
      <c r="E619" s="80"/>
      <c r="F619" s="104"/>
      <c r="G619" s="104"/>
      <c r="H619" s="80"/>
      <c r="I619" s="88"/>
      <c r="M619" s="537"/>
      <c r="N619" s="537"/>
      <c r="O619" s="75"/>
      <c r="P619" s="589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</row>
    <row r="620" spans="1:38" ht="45" customHeight="1">
      <c r="A620" s="77" t="s">
        <v>2422</v>
      </c>
      <c r="B620" s="668"/>
      <c r="C620" s="77"/>
      <c r="D620" s="77"/>
      <c r="E620" s="77"/>
      <c r="F620" s="93" t="s">
        <v>3781</v>
      </c>
      <c r="G620" s="93" t="s">
        <v>3783</v>
      </c>
      <c r="H620" s="77" t="s">
        <v>1915</v>
      </c>
      <c r="I620" s="26">
        <f>ROUND(H621*E621,2)</f>
        <v>140118.15</v>
      </c>
      <c r="J620" s="375">
        <v>140118.14800000002</v>
      </c>
      <c r="M620" s="26"/>
      <c r="N620" s="26"/>
      <c r="O620" s="26"/>
      <c r="P620" s="595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5"/>
      <c r="AF620" s="25"/>
      <c r="AG620" s="25"/>
      <c r="AH620" s="25"/>
      <c r="AI620" s="25"/>
      <c r="AJ620" s="25"/>
      <c r="AK620" s="25"/>
      <c r="AL620" s="25"/>
    </row>
    <row r="621" spans="1:38" ht="15" customHeight="1">
      <c r="A621" s="744"/>
      <c r="B621" s="252" t="s">
        <v>243</v>
      </c>
      <c r="C621" s="164" t="s">
        <v>2015</v>
      </c>
      <c r="D621" s="164" t="s">
        <v>17</v>
      </c>
      <c r="E621" s="159">
        <v>1</v>
      </c>
      <c r="F621" s="159">
        <v>203892.08</v>
      </c>
      <c r="G621" s="159">
        <f>F621</f>
        <v>203892.08</v>
      </c>
      <c r="H621" s="159">
        <f t="shared" ref="H621" si="159">J620</f>
        <v>140118.14800000002</v>
      </c>
      <c r="I621" s="96">
        <f>ROUND(SUM(I620),2)</f>
        <v>140118.15</v>
      </c>
      <c r="M621" s="375"/>
      <c r="N621" s="96"/>
      <c r="O621" s="537"/>
      <c r="P621" s="593"/>
      <c r="Q621" s="544"/>
      <c r="R621" s="544"/>
      <c r="S621" s="544"/>
      <c r="T621" s="570"/>
      <c r="U621" s="570"/>
      <c r="V621" s="654"/>
      <c r="W621" s="717"/>
      <c r="X621" s="705"/>
      <c r="Y621" s="717"/>
      <c r="Z621" s="717"/>
      <c r="AA621" s="705"/>
      <c r="AB621" s="705"/>
      <c r="AC621" s="654"/>
      <c r="AD621" s="675"/>
      <c r="AE621" s="717"/>
      <c r="AF621" s="717"/>
      <c r="AG621" s="717"/>
      <c r="AH621" s="717"/>
      <c r="AI621" s="717"/>
      <c r="AJ621" s="717"/>
      <c r="AK621" s="717"/>
      <c r="AL621" s="717"/>
    </row>
    <row r="622" spans="1:38" ht="25.5" customHeight="1">
      <c r="A622" s="923" t="s">
        <v>1894</v>
      </c>
      <c r="B622" s="924"/>
      <c r="C622" s="924"/>
      <c r="D622" s="924"/>
      <c r="E622" s="924"/>
      <c r="F622" s="925"/>
      <c r="G622" s="96">
        <f>ROUND(SUM(G621),2)</f>
        <v>203892.08</v>
      </c>
      <c r="H622" s="484"/>
      <c r="I622" s="359"/>
      <c r="M622" s="519"/>
      <c r="N622" s="359"/>
      <c r="O622" s="519"/>
      <c r="P622" s="608"/>
      <c r="Q622" s="519"/>
      <c r="R622" s="519"/>
      <c r="S622" s="519"/>
      <c r="T622" s="519"/>
      <c r="U622" s="519"/>
      <c r="V622" s="519"/>
      <c r="W622" s="519"/>
      <c r="X622" s="519"/>
      <c r="Y622" s="519"/>
      <c r="Z622" s="519"/>
      <c r="AA622" s="519"/>
      <c r="AB622" s="519"/>
      <c r="AC622" s="519"/>
      <c r="AD622" s="519"/>
      <c r="AE622" s="519"/>
      <c r="AF622" s="519"/>
      <c r="AG622" s="519"/>
      <c r="AH622" s="519"/>
      <c r="AI622" s="519"/>
      <c r="AJ622" s="519"/>
      <c r="AK622" s="519"/>
      <c r="AL622" s="519"/>
    </row>
    <row r="623" spans="1:38" ht="30" customHeight="1">
      <c r="A623" s="519"/>
      <c r="B623" s="519"/>
      <c r="C623" s="519"/>
      <c r="D623" s="519"/>
      <c r="E623" s="519"/>
      <c r="F623" s="519"/>
      <c r="G623" s="359"/>
      <c r="H623" s="519"/>
      <c r="I623" s="118">
        <v>96973</v>
      </c>
      <c r="M623" s="537"/>
      <c r="N623" s="537"/>
      <c r="O623" s="539"/>
      <c r="P623" s="604"/>
      <c r="Q623" s="546"/>
      <c r="R623" s="546"/>
      <c r="S623" s="546"/>
      <c r="T623" s="572"/>
      <c r="U623" s="572"/>
      <c r="V623" s="656"/>
      <c r="W623" s="719"/>
      <c r="X623" s="707"/>
      <c r="Y623" s="719"/>
      <c r="Z623" s="719"/>
      <c r="AA623" s="707"/>
      <c r="AB623" s="707"/>
      <c r="AC623" s="656"/>
      <c r="AD623" s="678"/>
      <c r="AE623" s="719"/>
      <c r="AF623" s="719"/>
      <c r="AG623" s="719"/>
      <c r="AH623" s="719"/>
      <c r="AI623" s="719"/>
      <c r="AJ623" s="719"/>
      <c r="AK623" s="719"/>
      <c r="AL623" s="719"/>
    </row>
    <row r="624" spans="1:38" ht="15" customHeight="1">
      <c r="A624" s="953" t="s">
        <v>2509</v>
      </c>
      <c r="B624" s="954"/>
      <c r="C624" s="954"/>
      <c r="D624" s="954"/>
      <c r="E624" s="955"/>
      <c r="F624" s="511"/>
      <c r="G624" s="511"/>
      <c r="H624" s="512" t="s">
        <v>12</v>
      </c>
      <c r="I624" s="77" t="s">
        <v>368</v>
      </c>
      <c r="M624" s="93"/>
      <c r="N624" s="93"/>
      <c r="O624" s="77"/>
      <c r="P624" s="590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</row>
    <row r="625" spans="1:38" ht="45" customHeight="1">
      <c r="A625" s="77" t="s">
        <v>1917</v>
      </c>
      <c r="B625" s="668"/>
      <c r="C625" s="77" t="s">
        <v>3</v>
      </c>
      <c r="D625" s="77" t="s">
        <v>4</v>
      </c>
      <c r="E625" s="77" t="s">
        <v>1826</v>
      </c>
      <c r="F625" s="93" t="s">
        <v>3781</v>
      </c>
      <c r="G625" s="93" t="s">
        <v>3783</v>
      </c>
      <c r="H625" s="77" t="s">
        <v>367</v>
      </c>
      <c r="I625" s="26"/>
      <c r="M625" s="26"/>
      <c r="N625" s="26"/>
      <c r="O625" s="26"/>
      <c r="P625" s="595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5"/>
      <c r="AF625" s="25"/>
      <c r="AG625" s="25"/>
      <c r="AH625" s="25"/>
      <c r="AI625" s="25"/>
      <c r="AJ625" s="25"/>
      <c r="AK625" s="25"/>
      <c r="AL625" s="25"/>
    </row>
    <row r="626" spans="1:38">
      <c r="A626" s="100">
        <v>863</v>
      </c>
      <c r="B626" s="109" t="s">
        <v>3802</v>
      </c>
      <c r="C626" s="25" t="s">
        <v>12</v>
      </c>
      <c r="D626" s="126" t="s">
        <v>52</v>
      </c>
      <c r="E626" s="134">
        <v>1.05</v>
      </c>
      <c r="F626" s="26">
        <v>40.68</v>
      </c>
      <c r="G626" s="26">
        <f>ROUND(F626*E626,2)</f>
        <v>42.71</v>
      </c>
      <c r="H626" s="128">
        <f>0.85*37.87</f>
        <v>32.189499999999995</v>
      </c>
      <c r="I626" s="129"/>
      <c r="M626" s="26"/>
      <c r="N626" s="26"/>
      <c r="O626" s="128"/>
      <c r="P626" s="605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92"/>
      <c r="AF626" s="192"/>
      <c r="AG626" s="192"/>
      <c r="AH626" s="192"/>
      <c r="AI626" s="192"/>
      <c r="AJ626" s="192"/>
      <c r="AK626" s="192"/>
      <c r="AL626" s="192"/>
    </row>
    <row r="627" spans="1:38" ht="15" customHeight="1">
      <c r="A627" s="100">
        <v>98463</v>
      </c>
      <c r="B627" s="109" t="s">
        <v>3803</v>
      </c>
      <c r="C627" s="25" t="s">
        <v>12</v>
      </c>
      <c r="D627" s="126" t="s">
        <v>4</v>
      </c>
      <c r="E627" s="134">
        <v>0.5</v>
      </c>
      <c r="F627" s="26">
        <f>H627</f>
        <v>17.433500000000002</v>
      </c>
      <c r="G627" s="26">
        <f>ROUND(F627*E627,2)</f>
        <v>8.7200000000000006</v>
      </c>
      <c r="H627" s="128">
        <f>0.85*20.51</f>
        <v>17.433500000000002</v>
      </c>
      <c r="I627" s="129"/>
      <c r="M627" s="26"/>
      <c r="N627" s="26"/>
      <c r="O627" s="128"/>
      <c r="P627" s="605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92"/>
      <c r="AF627" s="192"/>
      <c r="AG627" s="192"/>
      <c r="AH627" s="192"/>
      <c r="AI627" s="192"/>
      <c r="AJ627" s="192"/>
      <c r="AK627" s="192"/>
      <c r="AL627" s="192"/>
    </row>
    <row r="628" spans="1:38" ht="15" customHeight="1">
      <c r="A628" s="100">
        <v>88247</v>
      </c>
      <c r="B628" s="109" t="s">
        <v>510</v>
      </c>
      <c r="C628" s="25" t="s">
        <v>12</v>
      </c>
      <c r="D628" s="126" t="s">
        <v>19</v>
      </c>
      <c r="E628" s="136">
        <v>0.25330000000000003</v>
      </c>
      <c r="F628" s="505">
        <f>14.01*0.85*'PLANILHA ORÇA - CORREGEDORIA'!$BH$19</f>
        <v>13.266168610245346</v>
      </c>
      <c r="G628" s="26">
        <f>ROUND(F628*E628,2)</f>
        <v>3.36</v>
      </c>
      <c r="H628" s="128">
        <v>11.9085</v>
      </c>
      <c r="I628" s="129"/>
      <c r="M628" s="26"/>
      <c r="N628" s="26"/>
      <c r="O628" s="128"/>
      <c r="P628" s="605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92"/>
      <c r="AF628" s="192"/>
      <c r="AG628" s="192"/>
      <c r="AH628" s="192"/>
      <c r="AI628" s="192"/>
      <c r="AJ628" s="192"/>
      <c r="AK628" s="192"/>
      <c r="AL628" s="192"/>
    </row>
    <row r="629" spans="1:38" ht="15" customHeight="1">
      <c r="A629" s="100">
        <v>88264</v>
      </c>
      <c r="B629" s="109" t="s">
        <v>379</v>
      </c>
      <c r="C629" s="25" t="s">
        <v>12</v>
      </c>
      <c r="D629" s="126" t="s">
        <v>19</v>
      </c>
      <c r="E629" s="136">
        <v>0.25330000000000003</v>
      </c>
      <c r="F629" s="505">
        <f>17.94*0.85*'PLANILHA ORÇA - CORREGEDORIA'!$BH$19</f>
        <v>16.987513552305604</v>
      </c>
      <c r="G629" s="26">
        <f>ROUND(F629*E629,2)</f>
        <v>4.3</v>
      </c>
      <c r="H629" s="128">
        <v>15.249000000000001</v>
      </c>
      <c r="I629" s="130"/>
      <c r="M629" s="375"/>
      <c r="N629" s="130"/>
      <c r="O629" s="538"/>
      <c r="P629" s="606"/>
      <c r="Q629" s="542"/>
      <c r="R629" s="542"/>
      <c r="S629" s="542"/>
      <c r="T629" s="568"/>
      <c r="U629" s="568"/>
      <c r="V629" s="652"/>
      <c r="W629" s="718"/>
      <c r="X629" s="706"/>
      <c r="Y629" s="718"/>
      <c r="Z629" s="718"/>
      <c r="AA629" s="706"/>
      <c r="AB629" s="706"/>
      <c r="AC629" s="652"/>
      <c r="AD629" s="677"/>
      <c r="AE629" s="718"/>
      <c r="AF629" s="718"/>
      <c r="AG629" s="718"/>
      <c r="AH629" s="718"/>
      <c r="AI629" s="718"/>
      <c r="AJ629" s="718"/>
      <c r="AK629" s="718"/>
      <c r="AL629" s="718"/>
    </row>
    <row r="630" spans="1:38" ht="15" customHeight="1">
      <c r="A630" s="956" t="s">
        <v>1894</v>
      </c>
      <c r="B630" s="957"/>
      <c r="C630" s="957"/>
      <c r="D630" s="957"/>
      <c r="E630" s="957"/>
      <c r="F630" s="957"/>
      <c r="G630" s="130">
        <f>ROUND(SUM(G626:G629),2)</f>
        <v>59.09</v>
      </c>
      <c r="H630" s="508"/>
      <c r="I630" s="359"/>
      <c r="M630" s="519"/>
      <c r="N630" s="359"/>
      <c r="O630" s="519"/>
      <c r="P630" s="608"/>
      <c r="Q630" s="519"/>
      <c r="R630" s="519"/>
      <c r="S630" s="519"/>
      <c r="T630" s="519"/>
      <c r="U630" s="519"/>
      <c r="V630" s="519"/>
      <c r="W630" s="519"/>
      <c r="X630" s="519"/>
      <c r="Y630" s="519"/>
      <c r="Z630" s="519"/>
      <c r="AA630" s="519"/>
      <c r="AB630" s="519"/>
      <c r="AC630" s="519"/>
      <c r="AD630" s="519"/>
      <c r="AE630" s="519"/>
      <c r="AF630" s="519"/>
      <c r="AG630" s="519"/>
      <c r="AH630" s="519"/>
      <c r="AI630" s="519"/>
      <c r="AJ630" s="519"/>
      <c r="AK630" s="519"/>
      <c r="AL630" s="519"/>
    </row>
    <row r="631" spans="1:38" ht="15" customHeight="1">
      <c r="A631" s="519"/>
      <c r="B631" s="519"/>
      <c r="C631" s="519"/>
      <c r="D631" s="519"/>
      <c r="E631" s="519"/>
      <c r="F631" s="519"/>
      <c r="G631" s="359"/>
      <c r="H631" s="519"/>
      <c r="I631" s="359"/>
      <c r="M631" s="519"/>
      <c r="N631" s="359"/>
      <c r="O631" s="519"/>
      <c r="P631" s="608"/>
      <c r="Q631" s="519"/>
      <c r="R631" s="519"/>
      <c r="S631" s="519"/>
      <c r="T631" s="519"/>
      <c r="U631" s="519"/>
      <c r="V631" s="519"/>
      <c r="W631" s="519"/>
      <c r="X631" s="519"/>
      <c r="Y631" s="519"/>
      <c r="Z631" s="519"/>
      <c r="AA631" s="519"/>
      <c r="AB631" s="519"/>
      <c r="AC631" s="519"/>
      <c r="AD631" s="519"/>
      <c r="AE631" s="519"/>
      <c r="AF631" s="519"/>
      <c r="AG631" s="519"/>
      <c r="AH631" s="519"/>
      <c r="AI631" s="519"/>
      <c r="AJ631" s="519"/>
      <c r="AK631" s="519"/>
      <c r="AL631" s="519"/>
    </row>
    <row r="632" spans="1:38" ht="35.25" customHeight="1">
      <c r="A632" s="519"/>
      <c r="B632" s="519"/>
      <c r="C632" s="519"/>
      <c r="D632" s="519"/>
      <c r="E632" s="519"/>
      <c r="F632" s="519"/>
      <c r="G632" s="359"/>
      <c r="H632" s="519"/>
      <c r="I632" s="88"/>
      <c r="M632" s="537"/>
      <c r="N632" s="537"/>
      <c r="O632" s="75"/>
      <c r="P632" s="589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</row>
    <row r="633" spans="1:38" ht="35.25" customHeight="1">
      <c r="A633" s="994" t="s">
        <v>3349</v>
      </c>
      <c r="B633" s="996"/>
      <c r="C633" s="996"/>
      <c r="D633" s="996"/>
      <c r="E633" s="997"/>
      <c r="F633" s="657"/>
      <c r="G633" s="657"/>
      <c r="H633" s="658" t="s">
        <v>1915</v>
      </c>
      <c r="I633" s="659" t="s">
        <v>368</v>
      </c>
      <c r="M633" s="93"/>
      <c r="N633" s="93"/>
      <c r="O633" s="77"/>
      <c r="P633" s="590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</row>
    <row r="634" spans="1:38" ht="48" customHeight="1">
      <c r="A634" s="994" t="s">
        <v>1917</v>
      </c>
      <c r="B634" s="995"/>
      <c r="C634" s="659" t="s">
        <v>3</v>
      </c>
      <c r="D634" s="659" t="s">
        <v>4</v>
      </c>
      <c r="E634" s="659" t="s">
        <v>1826</v>
      </c>
      <c r="F634" s="660" t="s">
        <v>3781</v>
      </c>
      <c r="G634" s="660" t="s">
        <v>3783</v>
      </c>
      <c r="H634" s="659" t="s">
        <v>367</v>
      </c>
      <c r="I634" s="473">
        <f>ROUND(H635*E635,2)</f>
        <v>220820.98</v>
      </c>
      <c r="J634" s="375">
        <v>220820.98150000002</v>
      </c>
      <c r="M634" s="26"/>
      <c r="N634" s="26"/>
      <c r="O634" s="26"/>
      <c r="P634" s="595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5"/>
      <c r="AF634" s="25"/>
      <c r="AG634" s="25"/>
      <c r="AH634" s="25"/>
      <c r="AI634" s="25"/>
      <c r="AJ634" s="25"/>
      <c r="AK634" s="25"/>
      <c r="AL634" s="25"/>
    </row>
    <row r="635" spans="1:38" ht="15" customHeight="1">
      <c r="A635" s="475" t="s">
        <v>1920</v>
      </c>
      <c r="B635" s="661" t="s">
        <v>3027</v>
      </c>
      <c r="C635" s="472" t="s">
        <v>2015</v>
      </c>
      <c r="D635" s="472" t="s">
        <v>17</v>
      </c>
      <c r="E635" s="473">
        <v>1</v>
      </c>
      <c r="F635" s="473">
        <f>(653334.02+440000+2500+8000+1000)/2</f>
        <v>552417.01</v>
      </c>
      <c r="G635" s="473">
        <f>ROUND(F635*E635,2)</f>
        <v>552417.01</v>
      </c>
      <c r="H635" s="473">
        <f t="shared" ref="H635" si="160">J634</f>
        <v>220820.98150000002</v>
      </c>
      <c r="I635" s="662">
        <f>ROUND(SUM(I634:I634),2)</f>
        <v>220820.98</v>
      </c>
      <c r="M635" s="375"/>
      <c r="N635" s="375"/>
      <c r="O635" s="375"/>
      <c r="P635" s="587"/>
      <c r="Q635" s="375"/>
      <c r="R635" s="375"/>
      <c r="S635" s="375"/>
      <c r="T635" s="375"/>
      <c r="U635" s="375"/>
      <c r="V635" s="375"/>
      <c r="W635" s="375"/>
      <c r="X635" s="375"/>
      <c r="Y635" s="375"/>
      <c r="Z635" s="375"/>
      <c r="AA635" s="375"/>
      <c r="AB635" s="375"/>
      <c r="AC635" s="375"/>
      <c r="AD635" s="375"/>
      <c r="AE635" s="237"/>
      <c r="AF635" s="237"/>
      <c r="AG635" s="237"/>
      <c r="AH635" s="237"/>
      <c r="AI635" s="237"/>
      <c r="AJ635" s="237"/>
      <c r="AK635" s="237"/>
      <c r="AL635" s="237"/>
    </row>
    <row r="636" spans="1:38" ht="27" customHeight="1">
      <c r="A636" s="1002" t="s">
        <v>1894</v>
      </c>
      <c r="B636" s="1003"/>
      <c r="C636" s="1003"/>
      <c r="D636" s="1003"/>
      <c r="E636" s="1003"/>
      <c r="F636" s="1004"/>
      <c r="G636" s="663">
        <f>ROUND(SUM(G635),2)</f>
        <v>552417.01</v>
      </c>
      <c r="H636" s="664"/>
      <c r="I636" s="665"/>
      <c r="M636" s="104"/>
      <c r="N636" s="104"/>
      <c r="O636" s="80"/>
      <c r="P636" s="426"/>
      <c r="Q636" s="80"/>
      <c r="R636" s="80"/>
      <c r="S636" s="80"/>
      <c r="T636" s="80"/>
      <c r="U636" s="80"/>
      <c r="V636" s="80"/>
      <c r="W636" s="104"/>
      <c r="X636" s="104"/>
      <c r="Y636" s="104"/>
      <c r="Z636" s="104"/>
      <c r="AA636" s="104"/>
      <c r="AB636" s="104"/>
      <c r="AC636" s="80"/>
      <c r="AD636" s="80"/>
      <c r="AE636" s="697"/>
      <c r="AF636" s="697"/>
      <c r="AG636" s="697"/>
      <c r="AH636" s="697"/>
      <c r="AI636" s="697"/>
      <c r="AJ636" s="697"/>
      <c r="AK636" s="697"/>
      <c r="AL636" s="697"/>
    </row>
    <row r="637" spans="1:38" ht="32.25" customHeight="1">
      <c r="A637" s="697"/>
      <c r="B637" s="80"/>
      <c r="C637" s="965"/>
      <c r="D637" s="966"/>
      <c r="E637" s="80"/>
      <c r="F637" s="104"/>
      <c r="G637" s="104"/>
      <c r="H637" s="80"/>
      <c r="I637" s="95">
        <v>9512</v>
      </c>
      <c r="M637" s="537"/>
      <c r="N637" s="537"/>
      <c r="O637" s="75"/>
      <c r="P637" s="589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</row>
    <row r="638" spans="1:38">
      <c r="A638" s="994" t="s">
        <v>3347</v>
      </c>
      <c r="B638" s="996"/>
      <c r="C638" s="996"/>
      <c r="D638" s="996"/>
      <c r="E638" s="997"/>
      <c r="F638" s="657"/>
      <c r="G638" s="657"/>
      <c r="H638" s="658" t="s">
        <v>44</v>
      </c>
      <c r="I638" s="659" t="s">
        <v>368</v>
      </c>
      <c r="K638" s="21"/>
      <c r="M638" s="93"/>
      <c r="N638" s="93"/>
      <c r="O638" s="77"/>
      <c r="P638" s="590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</row>
    <row r="639" spans="1:38" ht="47.25" customHeight="1">
      <c r="A639" s="994" t="s">
        <v>366</v>
      </c>
      <c r="B639" s="995"/>
      <c r="C639" s="659" t="s">
        <v>3</v>
      </c>
      <c r="D639" s="659" t="s">
        <v>4</v>
      </c>
      <c r="E639" s="659" t="s">
        <v>1826</v>
      </c>
      <c r="F639" s="660" t="s">
        <v>3781</v>
      </c>
      <c r="G639" s="660" t="s">
        <v>3783</v>
      </c>
      <c r="H639" s="659" t="s">
        <v>367</v>
      </c>
      <c r="I639" s="473">
        <v>25139.83</v>
      </c>
      <c r="J639" s="375">
        <v>21368.855500000001</v>
      </c>
      <c r="K639" s="287"/>
      <c r="M639" s="26"/>
      <c r="N639" s="26"/>
      <c r="O639" s="26"/>
      <c r="P639" s="595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5"/>
      <c r="AF639" s="25"/>
      <c r="AG639" s="25"/>
      <c r="AH639" s="25"/>
      <c r="AI639" s="25"/>
      <c r="AJ639" s="25"/>
      <c r="AK639" s="25"/>
      <c r="AL639" s="25"/>
    </row>
    <row r="640" spans="1:38" ht="60">
      <c r="A640" s="475">
        <v>9742</v>
      </c>
      <c r="B640" s="661" t="s">
        <v>3351</v>
      </c>
      <c r="C640" s="472" t="s">
        <v>44</v>
      </c>
      <c r="D640" s="472" t="s">
        <v>17</v>
      </c>
      <c r="E640" s="473">
        <v>1</v>
      </c>
      <c r="F640" s="987">
        <v>43617.86</v>
      </c>
      <c r="G640" s="987">
        <f>F640</f>
        <v>43617.86</v>
      </c>
      <c r="H640" s="473">
        <v>25139.83</v>
      </c>
      <c r="I640" s="473">
        <f>ROUND(H641*E641,2)</f>
        <v>30.5</v>
      </c>
      <c r="J640" s="375">
        <v>15.249000000000001</v>
      </c>
      <c r="K640" s="28" t="e">
        <f>IF(A641&lt;&gt;0,VLOOKUP(A641,#REF!,2,FALSE),"")</f>
        <v>#REF!</v>
      </c>
      <c r="M640" s="26"/>
      <c r="N640" s="26"/>
      <c r="O640" s="26"/>
      <c r="P640" s="595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5"/>
      <c r="AF640" s="25"/>
      <c r="AG640" s="25"/>
      <c r="AH640" s="25"/>
      <c r="AI640" s="25"/>
      <c r="AJ640" s="25"/>
      <c r="AK640" s="25"/>
      <c r="AL640" s="25"/>
    </row>
    <row r="641" spans="1:38" ht="30">
      <c r="A641" s="475">
        <v>88264</v>
      </c>
      <c r="B641" s="661" t="s">
        <v>379</v>
      </c>
      <c r="C641" s="472" t="s">
        <v>12</v>
      </c>
      <c r="D641" s="472" t="s">
        <v>19</v>
      </c>
      <c r="E641" s="473">
        <v>2</v>
      </c>
      <c r="F641" s="988"/>
      <c r="G641" s="988"/>
      <c r="H641" s="473">
        <f t="shared" ref="H641:H643" si="161">J640</f>
        <v>15.249000000000001</v>
      </c>
      <c r="I641" s="473">
        <f>ROUND(H642*E642,2)</f>
        <v>15.12</v>
      </c>
      <c r="J641" s="375">
        <v>15.121499999999999</v>
      </c>
      <c r="K641" s="28" t="e">
        <f>IF(A642&lt;&gt;0,VLOOKUP(A642,#REF!,2,FALSE),"")</f>
        <v>#REF!</v>
      </c>
      <c r="M641" s="26"/>
      <c r="N641" s="26"/>
      <c r="O641" s="26"/>
      <c r="P641" s="595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5"/>
      <c r="AF641" s="25"/>
      <c r="AG641" s="25"/>
      <c r="AH641" s="25"/>
      <c r="AI641" s="25"/>
      <c r="AJ641" s="25"/>
      <c r="AK641" s="25"/>
      <c r="AL641" s="25"/>
    </row>
    <row r="642" spans="1:38">
      <c r="A642" s="475">
        <v>88309</v>
      </c>
      <c r="B642" s="661" t="s">
        <v>390</v>
      </c>
      <c r="C642" s="472" t="s">
        <v>12</v>
      </c>
      <c r="D642" s="472" t="s">
        <v>19</v>
      </c>
      <c r="E642" s="473">
        <v>1</v>
      </c>
      <c r="F642" s="988"/>
      <c r="G642" s="988"/>
      <c r="H642" s="473">
        <f t="shared" si="161"/>
        <v>15.121499999999999</v>
      </c>
      <c r="I642" s="473">
        <f>ROUND(H643*E643,2)</f>
        <v>35.39</v>
      </c>
      <c r="J642" s="375">
        <v>11.798000000000002</v>
      </c>
      <c r="K642" s="28" t="e">
        <f>IF(A643&lt;&gt;0,VLOOKUP(A643,#REF!,2,FALSE),"")</f>
        <v>#REF!</v>
      </c>
      <c r="M642" s="26"/>
      <c r="N642" s="26"/>
      <c r="O642" s="26"/>
      <c r="P642" s="595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5"/>
      <c r="AF642" s="25"/>
      <c r="AG642" s="25"/>
      <c r="AH642" s="25"/>
      <c r="AI642" s="25"/>
      <c r="AJ642" s="25"/>
      <c r="AK642" s="25"/>
      <c r="AL642" s="25"/>
    </row>
    <row r="643" spans="1:38">
      <c r="A643" s="475">
        <v>88316</v>
      </c>
      <c r="B643" s="661" t="s">
        <v>377</v>
      </c>
      <c r="C643" s="472" t="s">
        <v>12</v>
      </c>
      <c r="D643" s="472" t="s">
        <v>19</v>
      </c>
      <c r="E643" s="473">
        <v>3</v>
      </c>
      <c r="F643" s="988"/>
      <c r="G643" s="988"/>
      <c r="H643" s="473">
        <f t="shared" si="161"/>
        <v>11.798000000000002</v>
      </c>
      <c r="I643" s="473">
        <f>ROUND(H644*E644,2)</f>
        <v>10.51</v>
      </c>
      <c r="J643" s="375">
        <v>389.36799999999999</v>
      </c>
      <c r="K643" s="28" t="e">
        <f>IF(A644&lt;&gt;0,VLOOKUP(A644,#REF!,2,FALSE),"")</f>
        <v>#REF!</v>
      </c>
      <c r="M643" s="26"/>
      <c r="N643" s="26"/>
      <c r="O643" s="26"/>
      <c r="P643" s="595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5"/>
      <c r="AF643" s="25"/>
      <c r="AG643" s="25"/>
      <c r="AH643" s="25"/>
      <c r="AI643" s="25"/>
      <c r="AJ643" s="25"/>
      <c r="AK643" s="25"/>
      <c r="AL643" s="25"/>
    </row>
    <row r="644" spans="1:38" ht="15" customHeight="1">
      <c r="A644" s="475">
        <v>88628</v>
      </c>
      <c r="B644" s="661" t="s">
        <v>3923</v>
      </c>
      <c r="C644" s="472" t="s">
        <v>12</v>
      </c>
      <c r="D644" s="472" t="s">
        <v>35</v>
      </c>
      <c r="E644" s="473">
        <v>2.7E-2</v>
      </c>
      <c r="F644" s="989"/>
      <c r="G644" s="989"/>
      <c r="H644" s="473">
        <f>J643</f>
        <v>389.36799999999999</v>
      </c>
      <c r="I644" s="662">
        <f>ROUND(SUM(I639:I643),2)</f>
        <v>25231.35</v>
      </c>
      <c r="M644" s="375"/>
      <c r="N644" s="375"/>
      <c r="O644" s="375"/>
      <c r="P644" s="587"/>
      <c r="Q644" s="375"/>
      <c r="R644" s="375"/>
      <c r="S644" s="375"/>
      <c r="T644" s="375"/>
      <c r="U644" s="375"/>
      <c r="V644" s="375"/>
      <c r="W644" s="375"/>
      <c r="X644" s="375"/>
      <c r="Y644" s="375"/>
      <c r="Z644" s="375"/>
      <c r="AA644" s="375"/>
      <c r="AB644" s="375"/>
      <c r="AC644" s="375"/>
      <c r="AD644" s="375"/>
      <c r="AE644" s="237"/>
      <c r="AF644" s="237"/>
      <c r="AG644" s="237"/>
      <c r="AH644" s="237"/>
      <c r="AI644" s="237"/>
      <c r="AJ644" s="237"/>
      <c r="AK644" s="237"/>
      <c r="AL644" s="237"/>
    </row>
    <row r="645" spans="1:38" ht="26.25" customHeight="1">
      <c r="A645" s="1000" t="s">
        <v>1894</v>
      </c>
      <c r="B645" s="1001"/>
      <c r="C645" s="1001"/>
      <c r="D645" s="1001"/>
      <c r="E645" s="1001"/>
      <c r="F645" s="1001"/>
      <c r="G645" s="666">
        <f>G640</f>
        <v>43617.86</v>
      </c>
      <c r="H645" s="667"/>
      <c r="I645" s="665"/>
      <c r="M645" s="104"/>
      <c r="N645" s="104"/>
      <c r="O645" s="80"/>
      <c r="P645" s="426"/>
      <c r="Q645" s="80"/>
      <c r="R645" s="80"/>
      <c r="S645" s="80"/>
      <c r="T645" s="80"/>
      <c r="U645" s="80"/>
      <c r="V645" s="80"/>
      <c r="W645" s="104"/>
      <c r="X645" s="104"/>
      <c r="Y645" s="104"/>
      <c r="Z645" s="104"/>
      <c r="AA645" s="104"/>
      <c r="AB645" s="104"/>
      <c r="AC645" s="80"/>
      <c r="AD645" s="80"/>
      <c r="AE645" s="697"/>
      <c r="AF645" s="697"/>
      <c r="AG645" s="697"/>
      <c r="AH645" s="697"/>
      <c r="AI645" s="697"/>
      <c r="AJ645" s="697"/>
      <c r="AK645" s="697"/>
      <c r="AL645" s="697"/>
    </row>
    <row r="646" spans="1:38" ht="34.5" customHeight="1">
      <c r="A646" s="697"/>
      <c r="B646" s="80"/>
      <c r="C646" s="965"/>
      <c r="D646" s="966"/>
      <c r="E646" s="80"/>
      <c r="F646" s="104"/>
      <c r="G646" s="104"/>
      <c r="H646" s="80"/>
      <c r="I646" s="483" t="s">
        <v>3325</v>
      </c>
      <c r="M646" s="537"/>
      <c r="N646" s="537"/>
      <c r="O646" s="75"/>
      <c r="P646" s="589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</row>
    <row r="647" spans="1:38">
      <c r="A647" s="920" t="s">
        <v>3324</v>
      </c>
      <c r="B647" s="921"/>
      <c r="C647" s="921"/>
      <c r="D647" s="921"/>
      <c r="E647" s="929"/>
      <c r="F647" s="484"/>
      <c r="G647" s="484"/>
      <c r="H647" s="75" t="s">
        <v>3049</v>
      </c>
      <c r="I647" s="77" t="s">
        <v>368</v>
      </c>
      <c r="M647" s="93"/>
      <c r="N647" s="93"/>
      <c r="O647" s="77"/>
      <c r="P647" s="590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</row>
    <row r="648" spans="1:38" ht="28.5">
      <c r="A648" s="984" t="s">
        <v>366</v>
      </c>
      <c r="B648" s="985"/>
      <c r="C648" s="77" t="s">
        <v>3</v>
      </c>
      <c r="D648" s="77" t="s">
        <v>4</v>
      </c>
      <c r="E648" s="77" t="s">
        <v>1826</v>
      </c>
      <c r="F648" s="93" t="s">
        <v>3781</v>
      </c>
      <c r="G648" s="93" t="s">
        <v>3783</v>
      </c>
      <c r="H648" s="77" t="s">
        <v>367</v>
      </c>
      <c r="I648" s="26">
        <f>H649</f>
        <v>285320.34000000003</v>
      </c>
      <c r="J648" s="375">
        <v>242522.28900000002</v>
      </c>
      <c r="M648" s="26"/>
      <c r="N648" s="26"/>
      <c r="O648" s="26"/>
      <c r="P648" s="595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5"/>
      <c r="AF648" s="25"/>
      <c r="AG648" s="25"/>
      <c r="AH648" s="25"/>
      <c r="AI648" s="25"/>
      <c r="AJ648" s="25"/>
      <c r="AK648" s="25"/>
      <c r="AL648" s="25"/>
    </row>
    <row r="649" spans="1:38" ht="15" customHeight="1">
      <c r="A649" s="24" t="s">
        <v>3326</v>
      </c>
      <c r="B649" s="78" t="s">
        <v>3324</v>
      </c>
      <c r="C649" s="25" t="s">
        <v>3049</v>
      </c>
      <c r="D649" s="25" t="s">
        <v>17</v>
      </c>
      <c r="E649" s="26">
        <v>1</v>
      </c>
      <c r="F649" s="26">
        <v>386466.67</v>
      </c>
      <c r="G649" s="26">
        <f>F649</f>
        <v>386466.67</v>
      </c>
      <c r="H649" s="26">
        <v>285320.34000000003</v>
      </c>
      <c r="I649" s="79">
        <f>ROUND(SUM(I648:I648),2)</f>
        <v>285320.34000000003</v>
      </c>
      <c r="M649" s="375"/>
      <c r="N649" s="79"/>
      <c r="O649" s="535"/>
      <c r="P649" s="594"/>
      <c r="Q649" s="543"/>
      <c r="R649" s="543"/>
      <c r="S649" s="543"/>
      <c r="T649" s="569"/>
      <c r="U649" s="569"/>
      <c r="V649" s="653"/>
      <c r="W649" s="713"/>
      <c r="X649" s="704"/>
      <c r="Y649" s="713"/>
      <c r="Z649" s="713"/>
      <c r="AA649" s="704"/>
      <c r="AB649" s="704"/>
      <c r="AC649" s="653"/>
      <c r="AD649" s="674"/>
      <c r="AE649" s="713"/>
      <c r="AF649" s="713"/>
      <c r="AG649" s="713"/>
      <c r="AH649" s="713"/>
      <c r="AI649" s="713"/>
      <c r="AJ649" s="713"/>
      <c r="AK649" s="713"/>
      <c r="AL649" s="713"/>
    </row>
    <row r="650" spans="1:38" ht="27.75" customHeight="1">
      <c r="A650" s="917" t="s">
        <v>1894</v>
      </c>
      <c r="B650" s="918"/>
      <c r="C650" s="918"/>
      <c r="D650" s="918"/>
      <c r="E650" s="918"/>
      <c r="F650" s="919"/>
      <c r="G650" s="79">
        <f>ROUND(SUM(G649:G649),2)</f>
        <v>386466.67</v>
      </c>
      <c r="H650" s="485"/>
      <c r="I650" s="80"/>
      <c r="M650" s="104"/>
      <c r="N650" s="104"/>
      <c r="O650" s="80"/>
      <c r="P650" s="426"/>
      <c r="Q650" s="80"/>
      <c r="R650" s="80"/>
      <c r="S650" s="80"/>
      <c r="T650" s="80"/>
      <c r="U650" s="80"/>
      <c r="V650" s="80"/>
      <c r="W650" s="104"/>
      <c r="X650" s="104"/>
      <c r="Y650" s="104"/>
      <c r="Z650" s="104"/>
      <c r="AA650" s="104"/>
      <c r="AB650" s="104"/>
      <c r="AC650" s="80"/>
      <c r="AD650" s="80"/>
      <c r="AE650" s="697"/>
      <c r="AF650" s="697"/>
      <c r="AG650" s="697"/>
      <c r="AH650" s="697"/>
      <c r="AI650" s="697"/>
      <c r="AJ650" s="697"/>
      <c r="AK650" s="697"/>
      <c r="AL650" s="697"/>
    </row>
    <row r="651" spans="1:38" ht="32.25" customHeight="1">
      <c r="A651" s="697"/>
      <c r="B651" s="80"/>
      <c r="C651" s="965"/>
      <c r="D651" s="966"/>
      <c r="E651" s="80"/>
      <c r="F651" s="104"/>
      <c r="G651" s="104"/>
      <c r="H651" s="80"/>
      <c r="I651" s="88"/>
      <c r="M651" s="537"/>
      <c r="N651" s="537"/>
      <c r="O651" s="77"/>
      <c r="P651" s="590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</row>
    <row r="652" spans="1:38">
      <c r="A652" s="920" t="s">
        <v>2414</v>
      </c>
      <c r="B652" s="921"/>
      <c r="C652" s="921"/>
      <c r="D652" s="921"/>
      <c r="E652" s="921"/>
      <c r="F652" s="484"/>
      <c r="G652" s="484"/>
      <c r="H652" s="77" t="s">
        <v>44</v>
      </c>
      <c r="I652" s="77" t="s">
        <v>368</v>
      </c>
      <c r="M652" s="93"/>
      <c r="N652" s="93"/>
      <c r="O652" s="77"/>
      <c r="P652" s="590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</row>
    <row r="653" spans="1:38" s="45" customFormat="1" ht="28.5">
      <c r="A653" s="984" t="s">
        <v>366</v>
      </c>
      <c r="B653" s="985"/>
      <c r="C653" s="77" t="s">
        <v>3</v>
      </c>
      <c r="D653" s="77" t="s">
        <v>4</v>
      </c>
      <c r="E653" s="77" t="s">
        <v>1826</v>
      </c>
      <c r="F653" s="93" t="s">
        <v>3781</v>
      </c>
      <c r="G653" s="93" t="s">
        <v>3783</v>
      </c>
      <c r="H653" s="77" t="s">
        <v>367</v>
      </c>
      <c r="I653" s="26">
        <f>ROUND(H654*E654,2)</f>
        <v>36741.74</v>
      </c>
      <c r="J653" s="364">
        <v>36741.743000000002</v>
      </c>
      <c r="K653" s="45" t="e">
        <f>IF(A654&lt;&gt;0,VLOOKUP(A654,#REF!,2,FALSE),"")</f>
        <v>#REF!</v>
      </c>
      <c r="L653" s="364"/>
      <c r="M653" s="992"/>
      <c r="N653" s="992"/>
      <c r="O653" s="26"/>
      <c r="P653" s="595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5"/>
      <c r="AF653" s="25"/>
      <c r="AG653" s="25"/>
      <c r="AH653" s="25"/>
      <c r="AI653" s="25"/>
      <c r="AJ653" s="25"/>
      <c r="AK653" s="25"/>
      <c r="AL653" s="25"/>
    </row>
    <row r="654" spans="1:38">
      <c r="A654" s="24">
        <v>12746</v>
      </c>
      <c r="B654" s="78" t="s">
        <v>599</v>
      </c>
      <c r="C654" s="25" t="s">
        <v>44</v>
      </c>
      <c r="D654" s="25" t="s">
        <v>17</v>
      </c>
      <c r="E654" s="26">
        <v>1</v>
      </c>
      <c r="F654" s="992">
        <v>72177.36</v>
      </c>
      <c r="G654" s="992">
        <f>ROUND(F654*E654,2)</f>
        <v>72177.36</v>
      </c>
      <c r="H654" s="26">
        <f t="shared" ref="H654:H656" si="162">J653</f>
        <v>36741.743000000002</v>
      </c>
      <c r="I654" s="26">
        <f>ROUND(H655*E655,2)</f>
        <v>1540.71</v>
      </c>
      <c r="J654" s="375">
        <v>25.6785</v>
      </c>
      <c r="K654" s="28" t="e">
        <f>IF(A655&lt;&gt;0,VLOOKUP(A655,#REF!,2,FALSE),"")</f>
        <v>#REF!</v>
      </c>
      <c r="M654" s="960"/>
      <c r="N654" s="960"/>
      <c r="O654" s="26"/>
      <c r="P654" s="595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5"/>
      <c r="AF654" s="25"/>
      <c r="AG654" s="25"/>
      <c r="AH654" s="25"/>
      <c r="AI654" s="25"/>
      <c r="AJ654" s="25"/>
      <c r="AK654" s="25"/>
      <c r="AL654" s="25"/>
    </row>
    <row r="655" spans="1:38" ht="30">
      <c r="A655" s="24">
        <v>88266</v>
      </c>
      <c r="B655" s="78" t="s">
        <v>3784</v>
      </c>
      <c r="C655" s="25" t="s">
        <v>12</v>
      </c>
      <c r="D655" s="25" t="s">
        <v>19</v>
      </c>
      <c r="E655" s="26">
        <v>60</v>
      </c>
      <c r="F655" s="960"/>
      <c r="G655" s="960"/>
      <c r="H655" s="26">
        <f t="shared" si="162"/>
        <v>25.6785</v>
      </c>
      <c r="I655" s="26">
        <f>ROUND(H656*E656,2)</f>
        <v>707.88</v>
      </c>
      <c r="J655" s="375">
        <v>11.798000000000002</v>
      </c>
      <c r="K655" s="28" t="e">
        <f>IF(A656&lt;&gt;0,VLOOKUP(A656,#REF!,2,FALSE),"")</f>
        <v>#REF!</v>
      </c>
      <c r="M655" s="993"/>
      <c r="N655" s="961"/>
      <c r="O655" s="26"/>
      <c r="P655" s="595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5"/>
      <c r="AF655" s="25"/>
      <c r="AG655" s="25"/>
      <c r="AH655" s="25"/>
      <c r="AI655" s="25"/>
      <c r="AJ655" s="25"/>
      <c r="AK655" s="25"/>
      <c r="AL655" s="25"/>
    </row>
    <row r="656" spans="1:38" ht="15" customHeight="1">
      <c r="A656" s="24">
        <v>88316</v>
      </c>
      <c r="B656" s="78" t="s">
        <v>377</v>
      </c>
      <c r="C656" s="25" t="s">
        <v>12</v>
      </c>
      <c r="D656" s="25" t="s">
        <v>19</v>
      </c>
      <c r="E656" s="26">
        <v>60</v>
      </c>
      <c r="F656" s="993"/>
      <c r="G656" s="961"/>
      <c r="H656" s="26">
        <f t="shared" si="162"/>
        <v>11.798000000000002</v>
      </c>
      <c r="I656" s="79">
        <f>ROUND(SUM(I653:I655),2)</f>
        <v>38990.33</v>
      </c>
      <c r="M656" s="535"/>
      <c r="N656" s="79"/>
      <c r="O656" s="535"/>
      <c r="P656" s="594"/>
      <c r="Q656" s="543"/>
      <c r="R656" s="543"/>
      <c r="S656" s="543"/>
      <c r="T656" s="569"/>
      <c r="U656" s="569"/>
      <c r="V656" s="653"/>
      <c r="W656" s="713"/>
      <c r="X656" s="704"/>
      <c r="Y656" s="713"/>
      <c r="Z656" s="713"/>
      <c r="AA656" s="704"/>
      <c r="AB656" s="704"/>
      <c r="AC656" s="653"/>
      <c r="AD656" s="674"/>
      <c r="AE656" s="713"/>
      <c r="AF656" s="713"/>
      <c r="AG656" s="713"/>
      <c r="AH656" s="713"/>
      <c r="AI656" s="713"/>
      <c r="AJ656" s="713"/>
      <c r="AK656" s="713"/>
      <c r="AL656" s="713"/>
    </row>
    <row r="657" spans="1:38" ht="24.75" customHeight="1">
      <c r="A657" s="745" t="s">
        <v>1894</v>
      </c>
      <c r="B657" s="485"/>
      <c r="C657" s="485"/>
      <c r="D657" s="485"/>
      <c r="E657" s="485"/>
      <c r="F657" s="485"/>
      <c r="G657" s="79">
        <f>ROUND(SUM(G654:G656),2)</f>
        <v>72177.36</v>
      </c>
      <c r="H657" s="485"/>
      <c r="I657" s="80"/>
      <c r="M657" s="104"/>
      <c r="N657" s="104"/>
      <c r="O657" s="80"/>
      <c r="P657" s="426"/>
      <c r="Q657" s="80"/>
      <c r="R657" s="80"/>
      <c r="S657" s="80"/>
      <c r="T657" s="80"/>
      <c r="U657" s="80"/>
      <c r="V657" s="80"/>
      <c r="W657" s="104"/>
      <c r="X657" s="104"/>
      <c r="Y657" s="104"/>
      <c r="Z657" s="104"/>
      <c r="AA657" s="104"/>
      <c r="AB657" s="104"/>
      <c r="AC657" s="80"/>
      <c r="AD657" s="80"/>
      <c r="AE657" s="697"/>
      <c r="AF657" s="697"/>
      <c r="AG657" s="697"/>
      <c r="AH657" s="697"/>
      <c r="AI657" s="697"/>
      <c r="AJ657" s="697"/>
      <c r="AK657" s="697"/>
      <c r="AL657" s="697"/>
    </row>
    <row r="658" spans="1:38" ht="33.75" customHeight="1">
      <c r="A658" s="697"/>
      <c r="B658" s="80"/>
      <c r="C658" s="965"/>
      <c r="D658" s="966"/>
      <c r="E658" s="80"/>
      <c r="F658" s="104"/>
      <c r="G658" s="104"/>
      <c r="H658" s="80"/>
      <c r="I658" s="88"/>
      <c r="M658" s="537"/>
      <c r="N658" s="537"/>
      <c r="O658" s="77"/>
      <c r="P658" s="590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</row>
    <row r="659" spans="1:38">
      <c r="A659" s="920" t="s">
        <v>2416</v>
      </c>
      <c r="B659" s="921"/>
      <c r="C659" s="921"/>
      <c r="D659" s="921"/>
      <c r="E659" s="921"/>
      <c r="F659" s="484"/>
      <c r="G659" s="484"/>
      <c r="H659" s="77" t="s">
        <v>1915</v>
      </c>
      <c r="I659" s="77" t="s">
        <v>368</v>
      </c>
      <c r="M659" s="93"/>
      <c r="N659" s="93"/>
      <c r="O659" s="77"/>
      <c r="P659" s="590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</row>
    <row r="660" spans="1:38" s="28" customFormat="1" ht="28.5">
      <c r="A660" s="984" t="s">
        <v>366</v>
      </c>
      <c r="B660" s="985"/>
      <c r="C660" s="77" t="s">
        <v>3</v>
      </c>
      <c r="D660" s="77" t="s">
        <v>4</v>
      </c>
      <c r="E660" s="77" t="s">
        <v>1826</v>
      </c>
      <c r="F660" s="93" t="s">
        <v>3781</v>
      </c>
      <c r="G660" s="93" t="s">
        <v>3783</v>
      </c>
      <c r="H660" s="77" t="s">
        <v>367</v>
      </c>
      <c r="I660" s="26">
        <f>ROUND(H661*E661,2)</f>
        <v>23725.200000000001</v>
      </c>
      <c r="J660" s="374">
        <v>23725.200000000001</v>
      </c>
      <c r="L660" s="374"/>
      <c r="M660" s="992"/>
      <c r="N660" s="992"/>
      <c r="O660" s="26"/>
      <c r="P660" s="595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5"/>
      <c r="AF660" s="25"/>
      <c r="AG660" s="25"/>
      <c r="AH660" s="25"/>
      <c r="AI660" s="25"/>
      <c r="AJ660" s="25"/>
      <c r="AK660" s="25"/>
      <c r="AL660" s="25"/>
    </row>
    <row r="661" spans="1:38" ht="30">
      <c r="A661" s="25" t="s">
        <v>2415</v>
      </c>
      <c r="B661" s="78" t="s">
        <v>600</v>
      </c>
      <c r="C661" s="25" t="s">
        <v>27</v>
      </c>
      <c r="D661" s="25" t="s">
        <v>17</v>
      </c>
      <c r="E661" s="26">
        <v>1</v>
      </c>
      <c r="F661" s="992">
        <v>67335.64</v>
      </c>
      <c r="G661" s="992">
        <f>ROUND(F661*E661,2)</f>
        <v>67335.64</v>
      </c>
      <c r="H661" s="26">
        <f t="shared" ref="H661:H663" si="163">J660</f>
        <v>23725.200000000001</v>
      </c>
      <c r="I661" s="26">
        <f>ROUND(H662*E662,2)</f>
        <v>1540.71</v>
      </c>
      <c r="J661" s="375">
        <v>25.6785</v>
      </c>
      <c r="K661" s="28" t="e">
        <f>IF(A662&lt;&gt;0,VLOOKUP(A662,#REF!,2,FALSE),"")</f>
        <v>#REF!</v>
      </c>
      <c r="M661" s="960"/>
      <c r="N661" s="960"/>
      <c r="O661" s="26"/>
      <c r="P661" s="595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5"/>
      <c r="AF661" s="25"/>
      <c r="AG661" s="25"/>
      <c r="AH661" s="25"/>
      <c r="AI661" s="25"/>
      <c r="AJ661" s="25"/>
      <c r="AK661" s="25"/>
      <c r="AL661" s="25"/>
    </row>
    <row r="662" spans="1:38" ht="30">
      <c r="A662" s="24">
        <v>88266</v>
      </c>
      <c r="B662" s="78" t="s">
        <v>3784</v>
      </c>
      <c r="C662" s="25" t="s">
        <v>12</v>
      </c>
      <c r="D662" s="25" t="s">
        <v>19</v>
      </c>
      <c r="E662" s="26">
        <v>60</v>
      </c>
      <c r="F662" s="960"/>
      <c r="G662" s="960"/>
      <c r="H662" s="26">
        <f t="shared" si="163"/>
        <v>25.6785</v>
      </c>
      <c r="I662" s="26">
        <f>ROUND(H663*E663,2)</f>
        <v>707.88</v>
      </c>
      <c r="J662" s="375">
        <v>11.798000000000002</v>
      </c>
      <c r="K662" s="28" t="e">
        <f>IF(A663&lt;&gt;0,VLOOKUP(A663,#REF!,2,FALSE),"")</f>
        <v>#REF!</v>
      </c>
      <c r="M662" s="993"/>
      <c r="N662" s="961"/>
      <c r="O662" s="26"/>
      <c r="P662" s="595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5"/>
      <c r="AF662" s="25"/>
      <c r="AG662" s="25"/>
      <c r="AH662" s="25"/>
      <c r="AI662" s="25"/>
      <c r="AJ662" s="25"/>
      <c r="AK662" s="25"/>
      <c r="AL662" s="25"/>
    </row>
    <row r="663" spans="1:38" ht="15" customHeight="1">
      <c r="A663" s="24">
        <v>88316</v>
      </c>
      <c r="B663" s="78" t="s">
        <v>377</v>
      </c>
      <c r="C663" s="25" t="s">
        <v>12</v>
      </c>
      <c r="D663" s="25" t="s">
        <v>19</v>
      </c>
      <c r="E663" s="26">
        <v>60</v>
      </c>
      <c r="F663" s="993"/>
      <c r="G663" s="961"/>
      <c r="H663" s="26">
        <f t="shared" si="163"/>
        <v>11.798000000000002</v>
      </c>
      <c r="I663" s="79">
        <f>ROUND(SUM(I660:I662),2)</f>
        <v>25973.79</v>
      </c>
      <c r="M663" s="375"/>
      <c r="N663" s="79"/>
      <c r="O663" s="535"/>
      <c r="P663" s="594"/>
      <c r="Q663" s="543"/>
      <c r="R663" s="543"/>
      <c r="S663" s="543"/>
      <c r="T663" s="569"/>
      <c r="U663" s="569"/>
      <c r="V663" s="653"/>
      <c r="W663" s="713"/>
      <c r="X663" s="704"/>
      <c r="Y663" s="713"/>
      <c r="Z663" s="713"/>
      <c r="AA663" s="704"/>
      <c r="AB663" s="704"/>
      <c r="AC663" s="653"/>
      <c r="AD663" s="674"/>
      <c r="AE663" s="713"/>
      <c r="AF663" s="713"/>
      <c r="AG663" s="713"/>
      <c r="AH663" s="713"/>
      <c r="AI663" s="713"/>
      <c r="AJ663" s="713"/>
      <c r="AK663" s="713"/>
      <c r="AL663" s="713"/>
    </row>
    <row r="664" spans="1:38" ht="21.75" customHeight="1">
      <c r="A664" s="967" t="s">
        <v>1894</v>
      </c>
      <c r="B664" s="968"/>
      <c r="C664" s="968"/>
      <c r="D664" s="968"/>
      <c r="E664" s="968"/>
      <c r="F664" s="969"/>
      <c r="G664" s="79">
        <f>ROUND(SUM(G661:G663),2)</f>
        <v>67335.64</v>
      </c>
      <c r="H664" s="485"/>
      <c r="I664" s="80"/>
      <c r="M664" s="104"/>
      <c r="N664" s="104"/>
      <c r="O664" s="80"/>
      <c r="P664" s="426"/>
      <c r="Q664" s="80"/>
      <c r="R664" s="80"/>
      <c r="S664" s="80"/>
      <c r="T664" s="80"/>
      <c r="U664" s="80"/>
      <c r="V664" s="80"/>
      <c r="W664" s="104"/>
      <c r="X664" s="104"/>
      <c r="Y664" s="104"/>
      <c r="Z664" s="104"/>
      <c r="AA664" s="104"/>
      <c r="AB664" s="104"/>
      <c r="AC664" s="80"/>
      <c r="AD664" s="80"/>
      <c r="AE664" s="697"/>
      <c r="AF664" s="697"/>
      <c r="AG664" s="697"/>
      <c r="AH664" s="697"/>
      <c r="AI664" s="697"/>
      <c r="AJ664" s="697"/>
      <c r="AK664" s="697"/>
      <c r="AL664" s="697"/>
    </row>
    <row r="665" spans="1:38" ht="41.25" customHeight="1">
      <c r="A665" s="697"/>
      <c r="B665" s="80"/>
      <c r="C665" s="965"/>
      <c r="D665" s="966"/>
      <c r="E665" s="80"/>
      <c r="F665" s="104"/>
      <c r="G665" s="104"/>
      <c r="H665" s="80"/>
      <c r="I665" s="88" t="s">
        <v>3357</v>
      </c>
      <c r="M665" s="537"/>
      <c r="N665" s="537"/>
      <c r="O665" s="77"/>
      <c r="P665" s="590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</row>
    <row r="666" spans="1:38">
      <c r="A666" s="920" t="s">
        <v>3070</v>
      </c>
      <c r="B666" s="921"/>
      <c r="C666" s="921"/>
      <c r="D666" s="921"/>
      <c r="E666" s="922"/>
      <c r="F666" s="484"/>
      <c r="G666" s="484"/>
      <c r="H666" s="77" t="s">
        <v>3049</v>
      </c>
      <c r="I666" s="77" t="s">
        <v>368</v>
      </c>
      <c r="M666" s="93"/>
      <c r="N666" s="93"/>
      <c r="O666" s="77"/>
      <c r="P666" s="590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</row>
    <row r="667" spans="1:38" ht="28.5">
      <c r="A667" s="984" t="s">
        <v>366</v>
      </c>
      <c r="B667" s="985"/>
      <c r="C667" s="77" t="s">
        <v>3</v>
      </c>
      <c r="D667" s="77" t="s">
        <v>4</v>
      </c>
      <c r="E667" s="77" t="s">
        <v>1826</v>
      </c>
      <c r="F667" s="93" t="s">
        <v>3781</v>
      </c>
      <c r="G667" s="93" t="s">
        <v>3783</v>
      </c>
      <c r="H667" s="77" t="s">
        <v>367</v>
      </c>
      <c r="I667" s="260">
        <f>ROUND(H668*E668,2)</f>
        <v>41140.47</v>
      </c>
      <c r="J667" s="375">
        <v>41140.467499999999</v>
      </c>
      <c r="M667" s="970"/>
      <c r="N667" s="970"/>
      <c r="O667" s="260"/>
      <c r="P667" s="609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2"/>
      <c r="AF667" s="262"/>
      <c r="AG667" s="262"/>
      <c r="AH667" s="262"/>
      <c r="AI667" s="262"/>
      <c r="AJ667" s="262"/>
      <c r="AK667" s="262"/>
      <c r="AL667" s="262"/>
    </row>
    <row r="668" spans="1:38" ht="30">
      <c r="A668" s="172" t="s">
        <v>3354</v>
      </c>
      <c r="B668" s="261" t="s">
        <v>3352</v>
      </c>
      <c r="C668" s="262" t="s">
        <v>3049</v>
      </c>
      <c r="D668" s="262" t="s">
        <v>17</v>
      </c>
      <c r="E668" s="260">
        <v>1</v>
      </c>
      <c r="F668" s="970">
        <v>78193.210000000006</v>
      </c>
      <c r="G668" s="970">
        <f>F668</f>
        <v>78193.210000000006</v>
      </c>
      <c r="H668" s="260">
        <f t="shared" ref="H668:H669" si="164">J667</f>
        <v>41140.467499999999</v>
      </c>
      <c r="I668" s="260">
        <f>ROUND(H669*E669,2)</f>
        <v>45846.400000000001</v>
      </c>
      <c r="J668" s="375">
        <v>45846.399000000005</v>
      </c>
      <c r="M668" s="971"/>
      <c r="N668" s="971"/>
      <c r="O668" s="260"/>
      <c r="P668" s="609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  <c r="AD668" s="260"/>
      <c r="AE668" s="262"/>
      <c r="AF668" s="262"/>
      <c r="AG668" s="262"/>
      <c r="AH668" s="262"/>
      <c r="AI668" s="262"/>
      <c r="AJ668" s="262"/>
      <c r="AK668" s="262"/>
      <c r="AL668" s="262"/>
    </row>
    <row r="669" spans="1:38" ht="15" customHeight="1">
      <c r="A669" s="172" t="s">
        <v>3359</v>
      </c>
      <c r="B669" s="261" t="s">
        <v>3358</v>
      </c>
      <c r="C669" s="262" t="s">
        <v>3049</v>
      </c>
      <c r="D669" s="262" t="s">
        <v>17</v>
      </c>
      <c r="E669" s="260">
        <v>1</v>
      </c>
      <c r="F669" s="971"/>
      <c r="G669" s="971"/>
      <c r="H669" s="260">
        <f t="shared" si="164"/>
        <v>45846.399000000005</v>
      </c>
      <c r="I669" s="79">
        <f>ROUND(SUM(I667:I668),2)</f>
        <v>86986.87</v>
      </c>
      <c r="M669" s="375"/>
      <c r="N669" s="496"/>
      <c r="O669" s="535"/>
      <c r="P669" s="594"/>
      <c r="Q669" s="543"/>
      <c r="R669" s="543"/>
      <c r="S669" s="543"/>
      <c r="T669" s="569"/>
      <c r="U669" s="569"/>
      <c r="V669" s="653"/>
      <c r="W669" s="713"/>
      <c r="X669" s="704"/>
      <c r="Y669" s="713"/>
      <c r="Z669" s="713"/>
      <c r="AA669" s="704"/>
      <c r="AB669" s="704"/>
      <c r="AC669" s="653"/>
      <c r="AD669" s="674"/>
      <c r="AE669" s="713"/>
      <c r="AF669" s="713"/>
      <c r="AG669" s="713"/>
      <c r="AH669" s="713"/>
      <c r="AI669" s="713"/>
      <c r="AJ669" s="713"/>
      <c r="AK669" s="713"/>
      <c r="AL669" s="713"/>
    </row>
    <row r="670" spans="1:38" ht="29.25" customHeight="1">
      <c r="A670" s="967" t="s">
        <v>1894</v>
      </c>
      <c r="B670" s="968"/>
      <c r="C670" s="968"/>
      <c r="D670" s="968"/>
      <c r="E670" s="968"/>
      <c r="F670" s="969"/>
      <c r="G670" s="496">
        <f>ROUND(SUM(G668:G669),2)</f>
        <v>78193.210000000006</v>
      </c>
      <c r="H670" s="485"/>
      <c r="I670" s="80"/>
      <c r="M670" s="104"/>
      <c r="N670" s="104"/>
      <c r="O670" s="80"/>
      <c r="P670" s="426"/>
      <c r="Q670" s="80"/>
      <c r="R670" s="80"/>
      <c r="S670" s="80"/>
      <c r="T670" s="80"/>
      <c r="U670" s="80"/>
      <c r="V670" s="80"/>
      <c r="W670" s="104"/>
      <c r="X670" s="104"/>
      <c r="Y670" s="104"/>
      <c r="Z670" s="104"/>
      <c r="AA670" s="104"/>
      <c r="AB670" s="104"/>
      <c r="AC670" s="80"/>
      <c r="AD670" s="80"/>
      <c r="AE670" s="697"/>
      <c r="AF670" s="697"/>
      <c r="AG670" s="697"/>
      <c r="AH670" s="697"/>
      <c r="AI670" s="697"/>
      <c r="AJ670" s="697"/>
      <c r="AK670" s="697"/>
      <c r="AL670" s="697"/>
    </row>
    <row r="671" spans="1:38" ht="39" customHeight="1">
      <c r="A671" s="697"/>
      <c r="B671" s="80"/>
      <c r="C671" s="965"/>
      <c r="D671" s="966"/>
      <c r="E671" s="80"/>
      <c r="F671" s="104"/>
      <c r="G671" s="104"/>
      <c r="H671" s="80"/>
      <c r="I671" s="88" t="s">
        <v>3362</v>
      </c>
      <c r="M671" s="537"/>
      <c r="N671" s="537"/>
      <c r="O671" s="77"/>
      <c r="P671" s="590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</row>
    <row r="672" spans="1:38">
      <c r="A672" s="920" t="s">
        <v>3071</v>
      </c>
      <c r="B672" s="921"/>
      <c r="C672" s="921"/>
      <c r="D672" s="921"/>
      <c r="E672" s="922"/>
      <c r="F672" s="484"/>
      <c r="G672" s="484"/>
      <c r="H672" s="77" t="s">
        <v>3049</v>
      </c>
      <c r="I672" s="77" t="s">
        <v>368</v>
      </c>
      <c r="M672" s="93"/>
      <c r="N672" s="93"/>
      <c r="O672" s="77"/>
      <c r="P672" s="590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</row>
    <row r="673" spans="1:38" ht="28.5">
      <c r="A673" s="984" t="s">
        <v>366</v>
      </c>
      <c r="B673" s="985"/>
      <c r="C673" s="77" t="s">
        <v>3</v>
      </c>
      <c r="D673" s="77" t="s">
        <v>4</v>
      </c>
      <c r="E673" s="77" t="s">
        <v>1826</v>
      </c>
      <c r="F673" s="93" t="s">
        <v>3781</v>
      </c>
      <c r="G673" s="93" t="s">
        <v>3783</v>
      </c>
      <c r="H673" s="77" t="s">
        <v>367</v>
      </c>
      <c r="I673" s="260">
        <f>ROUND(H674*E674,2)</f>
        <v>30802.5</v>
      </c>
      <c r="J673" s="375">
        <v>30802.495500000005</v>
      </c>
      <c r="M673" s="970"/>
      <c r="N673" s="970"/>
      <c r="O673" s="260"/>
      <c r="P673" s="609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  <c r="AD673" s="260"/>
      <c r="AE673" s="262"/>
      <c r="AF673" s="262"/>
      <c r="AG673" s="262"/>
      <c r="AH673" s="262"/>
      <c r="AI673" s="262"/>
      <c r="AJ673" s="262"/>
      <c r="AK673" s="262"/>
      <c r="AL673" s="262"/>
    </row>
    <row r="674" spans="1:38" ht="30">
      <c r="A674" s="172" t="s">
        <v>3361</v>
      </c>
      <c r="B674" s="261" t="s">
        <v>3360</v>
      </c>
      <c r="C674" s="262" t="s">
        <v>3049</v>
      </c>
      <c r="D674" s="262" t="s">
        <v>17</v>
      </c>
      <c r="E674" s="260">
        <v>1</v>
      </c>
      <c r="F674" s="970">
        <v>101263.74</v>
      </c>
      <c r="G674" s="970">
        <f>F674</f>
        <v>101263.74</v>
      </c>
      <c r="H674" s="260">
        <f t="shared" ref="H674:H675" si="165">J673</f>
        <v>30802.495500000005</v>
      </c>
      <c r="I674" s="260">
        <f>ROUND(H675*E675,2)</f>
        <v>91692.800000000003</v>
      </c>
      <c r="J674" s="375">
        <v>45846.399000000005</v>
      </c>
      <c r="M674" s="971"/>
      <c r="N674" s="971"/>
      <c r="O674" s="260"/>
      <c r="P674" s="609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  <c r="AD674" s="260"/>
      <c r="AE674" s="262"/>
      <c r="AF674" s="262"/>
      <c r="AG674" s="262"/>
      <c r="AH674" s="262"/>
      <c r="AI674" s="262"/>
      <c r="AJ674" s="262"/>
      <c r="AK674" s="262"/>
      <c r="AL674" s="262"/>
    </row>
    <row r="675" spans="1:38" ht="15" customHeight="1">
      <c r="A675" s="172" t="s">
        <v>3359</v>
      </c>
      <c r="B675" s="261" t="s">
        <v>3358</v>
      </c>
      <c r="C675" s="262" t="s">
        <v>3049</v>
      </c>
      <c r="D675" s="262" t="s">
        <v>17</v>
      </c>
      <c r="E675" s="260">
        <v>2</v>
      </c>
      <c r="F675" s="971"/>
      <c r="G675" s="971"/>
      <c r="H675" s="260">
        <f t="shared" si="165"/>
        <v>45846.399000000005</v>
      </c>
      <c r="I675" s="79">
        <f>ROUND(SUM(I673:I674),2)</f>
        <v>122495.3</v>
      </c>
      <c r="M675" s="375"/>
      <c r="N675" s="79"/>
      <c r="O675" s="535"/>
      <c r="P675" s="594"/>
      <c r="Q675" s="543"/>
      <c r="R675" s="543"/>
      <c r="S675" s="543"/>
      <c r="T675" s="569"/>
      <c r="U675" s="569"/>
      <c r="V675" s="653"/>
      <c r="W675" s="713"/>
      <c r="X675" s="704"/>
      <c r="Y675" s="713"/>
      <c r="Z675" s="713"/>
      <c r="AA675" s="704"/>
      <c r="AB675" s="704"/>
      <c r="AC675" s="653"/>
      <c r="AD675" s="674"/>
      <c r="AE675" s="713"/>
      <c r="AF675" s="713"/>
      <c r="AG675" s="713"/>
      <c r="AH675" s="713"/>
      <c r="AI675" s="713"/>
      <c r="AJ675" s="713"/>
      <c r="AK675" s="713"/>
      <c r="AL675" s="713"/>
    </row>
    <row r="676" spans="1:38" ht="27" customHeight="1">
      <c r="A676" s="967" t="s">
        <v>1894</v>
      </c>
      <c r="B676" s="968"/>
      <c r="C676" s="968"/>
      <c r="D676" s="968"/>
      <c r="E676" s="968"/>
      <c r="F676" s="969"/>
      <c r="G676" s="79">
        <f>ROUND(SUM(G674:G675),2)</f>
        <v>101263.74</v>
      </c>
      <c r="H676" s="485"/>
      <c r="I676" s="80"/>
      <c r="M676" s="104"/>
      <c r="N676" s="104"/>
      <c r="O676" s="80"/>
      <c r="P676" s="426"/>
      <c r="Q676" s="80"/>
      <c r="R676" s="80"/>
      <c r="S676" s="80"/>
      <c r="T676" s="80"/>
      <c r="U676" s="80"/>
      <c r="V676" s="80"/>
      <c r="W676" s="104"/>
      <c r="X676" s="104"/>
      <c r="Y676" s="104"/>
      <c r="Z676" s="104"/>
      <c r="AA676" s="104"/>
      <c r="AB676" s="104"/>
      <c r="AC676" s="80"/>
      <c r="AD676" s="80"/>
      <c r="AE676" s="697"/>
      <c r="AF676" s="697"/>
      <c r="AG676" s="697"/>
      <c r="AH676" s="697"/>
      <c r="AI676" s="697"/>
      <c r="AJ676" s="697"/>
      <c r="AK676" s="697"/>
      <c r="AL676" s="697"/>
    </row>
    <row r="677" spans="1:38" ht="36" customHeight="1">
      <c r="A677" s="697"/>
      <c r="B677" s="80"/>
      <c r="C677" s="965"/>
      <c r="D677" s="966"/>
      <c r="E677" s="80"/>
      <c r="F677" s="104"/>
      <c r="G677" s="104"/>
      <c r="H677" s="80"/>
      <c r="I677" s="88" t="s">
        <v>3363</v>
      </c>
      <c r="M677" s="537"/>
      <c r="N677" s="537"/>
      <c r="O677" s="77"/>
      <c r="P677" s="590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</row>
    <row r="678" spans="1:38">
      <c r="A678" s="920" t="s">
        <v>3072</v>
      </c>
      <c r="B678" s="921"/>
      <c r="C678" s="921"/>
      <c r="D678" s="921"/>
      <c r="E678" s="921"/>
      <c r="F678" s="484"/>
      <c r="G678" s="484"/>
      <c r="H678" s="77" t="s">
        <v>3049</v>
      </c>
      <c r="I678" s="77" t="s">
        <v>368</v>
      </c>
      <c r="M678" s="93"/>
      <c r="N678" s="93"/>
      <c r="O678" s="77"/>
      <c r="P678" s="590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</row>
    <row r="679" spans="1:38" ht="28.5">
      <c r="A679" s="984" t="s">
        <v>366</v>
      </c>
      <c r="B679" s="985"/>
      <c r="C679" s="77" t="s">
        <v>3</v>
      </c>
      <c r="D679" s="77" t="s">
        <v>4</v>
      </c>
      <c r="E679" s="77" t="s">
        <v>1826</v>
      </c>
      <c r="F679" s="93" t="s">
        <v>3781</v>
      </c>
      <c r="G679" s="93" t="s">
        <v>3783</v>
      </c>
      <c r="H679" s="77" t="s">
        <v>367</v>
      </c>
      <c r="I679" s="260">
        <f>ROUND(H680*E680,2)</f>
        <v>35606.300000000003</v>
      </c>
      <c r="J679" s="375">
        <v>35606.304499999998</v>
      </c>
      <c r="M679" s="970"/>
      <c r="N679" s="970"/>
      <c r="O679" s="260"/>
      <c r="P679" s="609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  <c r="AD679" s="260"/>
      <c r="AE679" s="262"/>
      <c r="AF679" s="262"/>
      <c r="AG679" s="262"/>
      <c r="AH679" s="262"/>
      <c r="AI679" s="262"/>
      <c r="AJ679" s="262"/>
      <c r="AK679" s="262"/>
      <c r="AL679" s="262"/>
    </row>
    <row r="680" spans="1:38" ht="30">
      <c r="A680" s="172" t="s">
        <v>3356</v>
      </c>
      <c r="B680" s="261" t="s">
        <v>3355</v>
      </c>
      <c r="C680" s="262" t="s">
        <v>3049</v>
      </c>
      <c r="D680" s="262" t="s">
        <v>17</v>
      </c>
      <c r="E680" s="260">
        <v>1</v>
      </c>
      <c r="F680" s="970">
        <v>111832.54</v>
      </c>
      <c r="G680" s="970">
        <f>F680</f>
        <v>111832.54</v>
      </c>
      <c r="H680" s="260">
        <f t="shared" ref="H680:H681" si="166">J679</f>
        <v>35606.304499999998</v>
      </c>
      <c r="I680" s="260">
        <f>ROUND(H681*E681,2)</f>
        <v>91692.800000000003</v>
      </c>
      <c r="J680" s="375">
        <v>45846.399000000005</v>
      </c>
      <c r="M680" s="971"/>
      <c r="N680" s="971"/>
      <c r="O680" s="260"/>
      <c r="P680" s="609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  <c r="AD680" s="260"/>
      <c r="AE680" s="262"/>
      <c r="AF680" s="262"/>
      <c r="AG680" s="262"/>
      <c r="AH680" s="262"/>
      <c r="AI680" s="262"/>
      <c r="AJ680" s="262"/>
      <c r="AK680" s="262"/>
      <c r="AL680" s="262"/>
    </row>
    <row r="681" spans="1:38" ht="15" customHeight="1">
      <c r="A681" s="172" t="s">
        <v>3359</v>
      </c>
      <c r="B681" s="261" t="s">
        <v>3358</v>
      </c>
      <c r="C681" s="262" t="s">
        <v>3049</v>
      </c>
      <c r="D681" s="262" t="s">
        <v>17</v>
      </c>
      <c r="E681" s="260">
        <v>2</v>
      </c>
      <c r="F681" s="971"/>
      <c r="G681" s="971"/>
      <c r="H681" s="260">
        <f t="shared" si="166"/>
        <v>45846.399000000005</v>
      </c>
      <c r="I681" s="79">
        <f>ROUND(SUM(I679:I680),2)</f>
        <v>127299.1</v>
      </c>
      <c r="M681" s="375"/>
      <c r="N681" s="79"/>
      <c r="O681" s="535"/>
      <c r="P681" s="594"/>
      <c r="Q681" s="543"/>
      <c r="R681" s="543"/>
      <c r="S681" s="543"/>
      <c r="T681" s="569"/>
      <c r="U681" s="569"/>
      <c r="V681" s="653"/>
      <c r="W681" s="713"/>
      <c r="X681" s="704"/>
      <c r="Y681" s="713"/>
      <c r="Z681" s="713"/>
      <c r="AA681" s="704"/>
      <c r="AB681" s="704"/>
      <c r="AC681" s="653"/>
      <c r="AD681" s="674"/>
      <c r="AE681" s="713"/>
      <c r="AF681" s="713"/>
      <c r="AG681" s="713"/>
      <c r="AH681" s="713"/>
      <c r="AI681" s="713"/>
      <c r="AJ681" s="713"/>
      <c r="AK681" s="713"/>
      <c r="AL681" s="713"/>
    </row>
    <row r="682" spans="1:38" ht="23.25" customHeight="1">
      <c r="A682" s="967" t="s">
        <v>1894</v>
      </c>
      <c r="B682" s="968"/>
      <c r="C682" s="968"/>
      <c r="D682" s="968"/>
      <c r="E682" s="968"/>
      <c r="F682" s="969"/>
      <c r="G682" s="79">
        <f>ROUND(SUM(G680:G681),2)</f>
        <v>111832.54</v>
      </c>
      <c r="H682" s="485"/>
      <c r="I682" s="80"/>
      <c r="M682" s="104"/>
      <c r="N682" s="104"/>
      <c r="O682" s="80"/>
      <c r="P682" s="426"/>
      <c r="Q682" s="80"/>
      <c r="R682" s="80"/>
      <c r="S682" s="80"/>
      <c r="T682" s="80"/>
      <c r="U682" s="80"/>
      <c r="V682" s="80"/>
      <c r="W682" s="104"/>
      <c r="X682" s="104"/>
      <c r="Y682" s="104"/>
      <c r="Z682" s="104"/>
      <c r="AA682" s="104"/>
      <c r="AB682" s="104"/>
      <c r="AC682" s="80"/>
      <c r="AD682" s="80"/>
      <c r="AE682" s="697"/>
      <c r="AF682" s="697"/>
      <c r="AG682" s="697"/>
      <c r="AH682" s="697"/>
      <c r="AI682" s="697"/>
      <c r="AJ682" s="697"/>
      <c r="AK682" s="697"/>
      <c r="AL682" s="697"/>
    </row>
    <row r="683" spans="1:38" ht="40.5" customHeight="1">
      <c r="A683" s="697"/>
      <c r="B683" s="80"/>
      <c r="C683" s="965"/>
      <c r="D683" s="966"/>
      <c r="E683" s="80"/>
      <c r="F683" s="104"/>
      <c r="G683" s="104"/>
      <c r="H683" s="80"/>
      <c r="I683" s="88" t="s">
        <v>3364</v>
      </c>
      <c r="M683" s="537"/>
      <c r="N683" s="537"/>
      <c r="O683" s="77"/>
      <c r="P683" s="590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</row>
    <row r="684" spans="1:38">
      <c r="A684" s="920" t="s">
        <v>3073</v>
      </c>
      <c r="B684" s="921"/>
      <c r="C684" s="921"/>
      <c r="D684" s="921"/>
      <c r="E684" s="922"/>
      <c r="F684" s="484"/>
      <c r="G684" s="484"/>
      <c r="H684" s="77" t="s">
        <v>3049</v>
      </c>
      <c r="I684" s="77" t="s">
        <v>368</v>
      </c>
      <c r="M684" s="93"/>
      <c r="N684" s="93"/>
      <c r="O684" s="77"/>
      <c r="P684" s="590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</row>
    <row r="685" spans="1:38" ht="28.5">
      <c r="A685" s="984" t="s">
        <v>366</v>
      </c>
      <c r="B685" s="985"/>
      <c r="C685" s="77" t="s">
        <v>3</v>
      </c>
      <c r="D685" s="77" t="s">
        <v>4</v>
      </c>
      <c r="E685" s="77" t="s">
        <v>1826</v>
      </c>
      <c r="F685" s="93" t="s">
        <v>3781</v>
      </c>
      <c r="G685" s="93" t="s">
        <v>3783</v>
      </c>
      <c r="H685" s="77" t="s">
        <v>367</v>
      </c>
      <c r="I685" s="260">
        <f>ROUND(H686*E686,2)</f>
        <v>41140.47</v>
      </c>
      <c r="J685" s="375">
        <v>41140.467499999999</v>
      </c>
      <c r="M685" s="970"/>
      <c r="N685" s="970"/>
      <c r="O685" s="260"/>
      <c r="P685" s="609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  <c r="AA685" s="260"/>
      <c r="AB685" s="260"/>
      <c r="AC685" s="260"/>
      <c r="AD685" s="260"/>
      <c r="AE685" s="262"/>
      <c r="AF685" s="262"/>
      <c r="AG685" s="262"/>
      <c r="AH685" s="262"/>
      <c r="AI685" s="262"/>
      <c r="AJ685" s="262"/>
      <c r="AK685" s="262"/>
      <c r="AL685" s="262"/>
    </row>
    <row r="686" spans="1:38" ht="30">
      <c r="A686" s="172" t="s">
        <v>3354</v>
      </c>
      <c r="B686" s="261" t="s">
        <v>3352</v>
      </c>
      <c r="C686" s="262" t="s">
        <v>3049</v>
      </c>
      <c r="D686" s="262" t="s">
        <v>17</v>
      </c>
      <c r="E686" s="260">
        <v>1</v>
      </c>
      <c r="F686" s="970">
        <v>116726.17</v>
      </c>
      <c r="G686" s="970">
        <f>F686</f>
        <v>116726.17</v>
      </c>
      <c r="H686" s="260">
        <f t="shared" ref="H686:H687" si="167">J685</f>
        <v>41140.467499999999</v>
      </c>
      <c r="I686" s="260">
        <f>ROUND(H687*E687,2)</f>
        <v>91692.800000000003</v>
      </c>
      <c r="J686" s="375">
        <v>45846.399000000005</v>
      </c>
      <c r="M686" s="971"/>
      <c r="N686" s="971"/>
      <c r="O686" s="260"/>
      <c r="P686" s="609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  <c r="AD686" s="260"/>
      <c r="AE686" s="262"/>
      <c r="AF686" s="262"/>
      <c r="AG686" s="262"/>
      <c r="AH686" s="262"/>
      <c r="AI686" s="262"/>
      <c r="AJ686" s="262"/>
      <c r="AK686" s="262"/>
      <c r="AL686" s="262"/>
    </row>
    <row r="687" spans="1:38" ht="15" customHeight="1">
      <c r="A687" s="172" t="s">
        <v>3359</v>
      </c>
      <c r="B687" s="261" t="s">
        <v>3358</v>
      </c>
      <c r="C687" s="262" t="s">
        <v>3049</v>
      </c>
      <c r="D687" s="262" t="s">
        <v>17</v>
      </c>
      <c r="E687" s="260">
        <v>2</v>
      </c>
      <c r="F687" s="971"/>
      <c r="G687" s="971"/>
      <c r="H687" s="260">
        <f t="shared" si="167"/>
        <v>45846.399000000005</v>
      </c>
      <c r="I687" s="79">
        <f>ROUND(SUM(I685:I686),2)</f>
        <v>132833.26999999999</v>
      </c>
      <c r="M687" s="375"/>
      <c r="N687" s="79"/>
      <c r="O687" s="535"/>
      <c r="P687" s="594"/>
      <c r="Q687" s="543"/>
      <c r="R687" s="543"/>
      <c r="S687" s="543"/>
      <c r="T687" s="569"/>
      <c r="U687" s="569"/>
      <c r="V687" s="653"/>
      <c r="W687" s="713"/>
      <c r="X687" s="704"/>
      <c r="Y687" s="713"/>
      <c r="Z687" s="713"/>
      <c r="AA687" s="704"/>
      <c r="AB687" s="704"/>
      <c r="AC687" s="653"/>
      <c r="AD687" s="674"/>
      <c r="AE687" s="713"/>
      <c r="AF687" s="713"/>
      <c r="AG687" s="713"/>
      <c r="AH687" s="713"/>
      <c r="AI687" s="713"/>
      <c r="AJ687" s="713"/>
      <c r="AK687" s="713"/>
      <c r="AL687" s="713"/>
    </row>
    <row r="688" spans="1:38" ht="27.75" customHeight="1">
      <c r="A688" s="967" t="s">
        <v>1894</v>
      </c>
      <c r="B688" s="968"/>
      <c r="C688" s="968"/>
      <c r="D688" s="968"/>
      <c r="E688" s="968"/>
      <c r="F688" s="969"/>
      <c r="G688" s="79">
        <f>ROUND(SUM(G686:G687),2)</f>
        <v>116726.17</v>
      </c>
      <c r="H688" s="485"/>
      <c r="I688" s="80"/>
      <c r="M688" s="104"/>
      <c r="N688" s="104"/>
      <c r="O688" s="80"/>
      <c r="P688" s="426"/>
      <c r="Q688" s="80"/>
      <c r="R688" s="80"/>
      <c r="S688" s="80"/>
      <c r="T688" s="80"/>
      <c r="U688" s="80"/>
      <c r="V688" s="80"/>
      <c r="W688" s="104"/>
      <c r="X688" s="104"/>
      <c r="Y688" s="104"/>
      <c r="Z688" s="104"/>
      <c r="AA688" s="104"/>
      <c r="AB688" s="104"/>
      <c r="AC688" s="80"/>
      <c r="AD688" s="80"/>
      <c r="AE688" s="697"/>
      <c r="AF688" s="697"/>
      <c r="AG688" s="697"/>
      <c r="AH688" s="697"/>
      <c r="AI688" s="697"/>
      <c r="AJ688" s="697"/>
      <c r="AK688" s="697"/>
      <c r="AL688" s="697"/>
    </row>
    <row r="689" spans="1:38" ht="30" customHeight="1">
      <c r="A689" s="697"/>
      <c r="B689" s="80"/>
      <c r="C689" s="965"/>
      <c r="D689" s="966"/>
      <c r="E689" s="80"/>
      <c r="F689" s="104"/>
      <c r="G689" s="104"/>
      <c r="H689" s="80"/>
      <c r="I689" s="483" t="s">
        <v>3336</v>
      </c>
      <c r="M689" s="537"/>
      <c r="N689" s="537"/>
      <c r="O689" s="77"/>
      <c r="P689" s="590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</row>
    <row r="690" spans="1:38">
      <c r="A690" s="920" t="s">
        <v>3366</v>
      </c>
      <c r="B690" s="921"/>
      <c r="C690" s="921"/>
      <c r="D690" s="921"/>
      <c r="E690" s="922"/>
      <c r="F690" s="484"/>
      <c r="G690" s="484"/>
      <c r="H690" s="77" t="s">
        <v>3049</v>
      </c>
      <c r="I690" s="77" t="s">
        <v>368</v>
      </c>
      <c r="M690" s="93"/>
      <c r="N690" s="93"/>
      <c r="O690" s="77"/>
      <c r="P690" s="590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</row>
    <row r="691" spans="1:38" ht="28.5">
      <c r="A691" s="984" t="s">
        <v>366</v>
      </c>
      <c r="B691" s="985"/>
      <c r="C691" s="77" t="s">
        <v>3</v>
      </c>
      <c r="D691" s="77" t="s">
        <v>4</v>
      </c>
      <c r="E691" s="77" t="s">
        <v>1826</v>
      </c>
      <c r="F691" s="93" t="s">
        <v>3781</v>
      </c>
      <c r="G691" s="93" t="s">
        <v>3783</v>
      </c>
      <c r="H691" s="77" t="s">
        <v>367</v>
      </c>
      <c r="I691" s="26">
        <f>ROUND(H692*E692,2)</f>
        <v>3875.35</v>
      </c>
      <c r="J691" s="375">
        <v>3875.3539999999998</v>
      </c>
      <c r="M691" s="163"/>
      <c r="N691" s="26"/>
      <c r="O691" s="26"/>
      <c r="P691" s="595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5"/>
      <c r="AF691" s="25"/>
      <c r="AG691" s="25"/>
      <c r="AH691" s="25"/>
      <c r="AI691" s="25"/>
      <c r="AJ691" s="25"/>
      <c r="AK691" s="25"/>
      <c r="AL691" s="25"/>
    </row>
    <row r="692" spans="1:38" ht="15" customHeight="1">
      <c r="A692" s="24" t="s">
        <v>3339</v>
      </c>
      <c r="B692" s="78" t="s">
        <v>2526</v>
      </c>
      <c r="C692" s="25" t="s">
        <v>3049</v>
      </c>
      <c r="D692" s="25" t="s">
        <v>17</v>
      </c>
      <c r="E692" s="26">
        <v>1</v>
      </c>
      <c r="F692" s="163">
        <v>4546.82</v>
      </c>
      <c r="G692" s="26">
        <f>ROUND(F692*E692,2)</f>
        <v>4546.82</v>
      </c>
      <c r="H692" s="26">
        <f t="shared" ref="H692" si="168">J691</f>
        <v>3875.3539999999998</v>
      </c>
      <c r="I692" s="79">
        <f>ROUND(SUM(I691:I691),2)</f>
        <v>3875.35</v>
      </c>
      <c r="M692" s="375"/>
      <c r="N692" s="79"/>
      <c r="O692" s="535"/>
      <c r="P692" s="594"/>
      <c r="Q692" s="543"/>
      <c r="R692" s="543"/>
      <c r="S692" s="543"/>
      <c r="T692" s="569"/>
      <c r="U692" s="569"/>
      <c r="V692" s="653"/>
      <c r="W692" s="713"/>
      <c r="X692" s="704"/>
      <c r="Y692" s="713"/>
      <c r="Z692" s="713"/>
      <c r="AA692" s="704"/>
      <c r="AB692" s="704"/>
      <c r="AC692" s="653"/>
      <c r="AD692" s="674"/>
      <c r="AE692" s="713"/>
      <c r="AF692" s="713"/>
      <c r="AG692" s="713"/>
      <c r="AH692" s="713"/>
      <c r="AI692" s="713"/>
      <c r="AJ692" s="713"/>
      <c r="AK692" s="713"/>
      <c r="AL692" s="713"/>
    </row>
    <row r="693" spans="1:38" ht="30.75" customHeight="1">
      <c r="A693" s="967" t="s">
        <v>1894</v>
      </c>
      <c r="B693" s="968"/>
      <c r="C693" s="968"/>
      <c r="D693" s="968"/>
      <c r="E693" s="968"/>
      <c r="F693" s="969"/>
      <c r="G693" s="79">
        <f>ROUND(SUM(G692:G692),2)</f>
        <v>4546.82</v>
      </c>
      <c r="H693" s="485"/>
      <c r="I693" s="80"/>
      <c r="M693" s="104"/>
      <c r="N693" s="104"/>
      <c r="O693" s="80"/>
      <c r="P693" s="426"/>
      <c r="Q693" s="80"/>
      <c r="R693" s="80"/>
      <c r="S693" s="80"/>
      <c r="T693" s="80"/>
      <c r="U693" s="80"/>
      <c r="V693" s="80"/>
      <c r="W693" s="104"/>
      <c r="X693" s="104"/>
      <c r="Y693" s="104"/>
      <c r="Z693" s="104"/>
      <c r="AA693" s="104"/>
      <c r="AB693" s="104"/>
      <c r="AC693" s="80"/>
      <c r="AD693" s="80"/>
      <c r="AE693" s="697"/>
      <c r="AF693" s="697"/>
      <c r="AG693" s="697"/>
      <c r="AH693" s="697"/>
      <c r="AI693" s="697"/>
      <c r="AJ693" s="697"/>
      <c r="AK693" s="697"/>
      <c r="AL693" s="697"/>
    </row>
    <row r="694" spans="1:38" ht="35.25" customHeight="1">
      <c r="A694" s="697"/>
      <c r="B694" s="80"/>
      <c r="C694" s="965"/>
      <c r="D694" s="966"/>
      <c r="E694" s="80"/>
      <c r="F694" s="104"/>
      <c r="G694" s="104"/>
      <c r="H694" s="80"/>
      <c r="I694" s="483" t="s">
        <v>3335</v>
      </c>
      <c r="M694" s="537"/>
      <c r="N694" s="537"/>
      <c r="O694" s="77"/>
      <c r="P694" s="590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</row>
    <row r="695" spans="1:38">
      <c r="A695" s="920" t="s">
        <v>3367</v>
      </c>
      <c r="B695" s="921"/>
      <c r="C695" s="921"/>
      <c r="D695" s="921"/>
      <c r="E695" s="922"/>
      <c r="F695" s="484"/>
      <c r="G695" s="484"/>
      <c r="H695" s="77" t="s">
        <v>3049</v>
      </c>
      <c r="I695" s="77" t="s">
        <v>368</v>
      </c>
      <c r="M695" s="93"/>
      <c r="N695" s="93"/>
      <c r="O695" s="77"/>
      <c r="P695" s="590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</row>
    <row r="696" spans="1:38" ht="28.5">
      <c r="A696" s="984" t="s">
        <v>366</v>
      </c>
      <c r="B696" s="985"/>
      <c r="C696" s="77" t="s">
        <v>3</v>
      </c>
      <c r="D696" s="77" t="s">
        <v>4</v>
      </c>
      <c r="E696" s="77" t="s">
        <v>1826</v>
      </c>
      <c r="F696" s="93" t="s">
        <v>3781</v>
      </c>
      <c r="G696" s="93" t="s">
        <v>3783</v>
      </c>
      <c r="H696" s="77" t="s">
        <v>367</v>
      </c>
      <c r="I696" s="26">
        <f>ROUND(H697*E697,2)</f>
        <v>3752.27</v>
      </c>
      <c r="J696" s="375">
        <v>3752.2655000000004</v>
      </c>
      <c r="M696" s="163"/>
      <c r="N696" s="26"/>
      <c r="O696" s="26"/>
      <c r="P696" s="595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5"/>
      <c r="AF696" s="25"/>
      <c r="AG696" s="25"/>
      <c r="AH696" s="25"/>
      <c r="AI696" s="25"/>
      <c r="AJ696" s="25"/>
      <c r="AK696" s="25"/>
      <c r="AL696" s="25"/>
    </row>
    <row r="697" spans="1:38" ht="15" customHeight="1">
      <c r="A697" s="24" t="s">
        <v>3338</v>
      </c>
      <c r="B697" s="78" t="s">
        <v>2621</v>
      </c>
      <c r="C697" s="25" t="s">
        <v>3049</v>
      </c>
      <c r="D697" s="25" t="s">
        <v>17</v>
      </c>
      <c r="E697" s="26">
        <v>1</v>
      </c>
      <c r="F697" s="163">
        <v>4149.95</v>
      </c>
      <c r="G697" s="26">
        <f>ROUND(F697*E697,2)</f>
        <v>4149.95</v>
      </c>
      <c r="H697" s="26">
        <f t="shared" ref="H697" si="169">J696</f>
        <v>3752.2655000000004</v>
      </c>
      <c r="I697" s="79">
        <f>ROUND(SUM(I696:I696),2)</f>
        <v>3752.27</v>
      </c>
      <c r="M697" s="375"/>
      <c r="N697" s="79"/>
      <c r="O697" s="535"/>
      <c r="P697" s="594"/>
      <c r="Q697" s="543"/>
      <c r="R697" s="543"/>
      <c r="S697" s="543"/>
      <c r="T697" s="569"/>
      <c r="U697" s="569"/>
      <c r="V697" s="653"/>
      <c r="W697" s="713"/>
      <c r="X697" s="704"/>
      <c r="Y697" s="713"/>
      <c r="Z697" s="713"/>
      <c r="AA697" s="704"/>
      <c r="AB697" s="704"/>
      <c r="AC697" s="653"/>
      <c r="AD697" s="674"/>
      <c r="AE697" s="713"/>
      <c r="AF697" s="713"/>
      <c r="AG697" s="713"/>
      <c r="AH697" s="713"/>
      <c r="AI697" s="713"/>
      <c r="AJ697" s="713"/>
      <c r="AK697" s="713"/>
      <c r="AL697" s="713"/>
    </row>
    <row r="698" spans="1:38" ht="27" customHeight="1">
      <c r="A698" s="967" t="s">
        <v>1894</v>
      </c>
      <c r="B698" s="968"/>
      <c r="C698" s="968"/>
      <c r="D698" s="968"/>
      <c r="E698" s="968"/>
      <c r="F698" s="969"/>
      <c r="G698" s="79">
        <f>ROUND(SUM(G697:G697),2)</f>
        <v>4149.95</v>
      </c>
      <c r="H698" s="485"/>
      <c r="I698" s="80"/>
      <c r="M698" s="104"/>
      <c r="N698" s="104"/>
      <c r="O698" s="80"/>
      <c r="P698" s="426"/>
      <c r="Q698" s="80"/>
      <c r="R698" s="80"/>
      <c r="S698" s="80"/>
      <c r="T698" s="80"/>
      <c r="U698" s="80"/>
      <c r="V698" s="80"/>
      <c r="W698" s="104"/>
      <c r="X698" s="104"/>
      <c r="Y698" s="104"/>
      <c r="Z698" s="104"/>
      <c r="AA698" s="104"/>
      <c r="AB698" s="104"/>
      <c r="AC698" s="80"/>
      <c r="AD698" s="80"/>
      <c r="AE698" s="697"/>
      <c r="AF698" s="697"/>
      <c r="AG698" s="697"/>
      <c r="AH698" s="697"/>
      <c r="AI698" s="697"/>
      <c r="AJ698" s="697"/>
      <c r="AK698" s="697"/>
      <c r="AL698" s="697"/>
    </row>
    <row r="699" spans="1:38" ht="30.75" customHeight="1">
      <c r="A699" s="697"/>
      <c r="B699" s="80"/>
      <c r="C699" s="965"/>
      <c r="D699" s="966"/>
      <c r="E699" s="80"/>
      <c r="F699" s="104"/>
      <c r="G699" s="104"/>
      <c r="H699" s="80"/>
      <c r="I699" s="483" t="s">
        <v>3334</v>
      </c>
      <c r="M699" s="537"/>
      <c r="N699" s="537"/>
      <c r="O699" s="77"/>
      <c r="P699" s="590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</row>
    <row r="700" spans="1:38">
      <c r="A700" s="920" t="s">
        <v>3450</v>
      </c>
      <c r="B700" s="921"/>
      <c r="C700" s="921"/>
      <c r="D700" s="921"/>
      <c r="E700" s="921"/>
      <c r="F700" s="484"/>
      <c r="G700" s="484"/>
      <c r="H700" s="77" t="s">
        <v>3049</v>
      </c>
      <c r="I700" s="77" t="s">
        <v>368</v>
      </c>
      <c r="M700" s="93"/>
      <c r="N700" s="93"/>
      <c r="O700" s="77"/>
      <c r="P700" s="590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</row>
    <row r="701" spans="1:38" ht="28.5">
      <c r="A701" s="984" t="s">
        <v>366</v>
      </c>
      <c r="B701" s="985"/>
      <c r="C701" s="77" t="s">
        <v>3</v>
      </c>
      <c r="D701" s="77" t="s">
        <v>4</v>
      </c>
      <c r="E701" s="77" t="s">
        <v>1826</v>
      </c>
      <c r="F701" s="93" t="s">
        <v>3781</v>
      </c>
      <c r="G701" s="93" t="s">
        <v>3783</v>
      </c>
      <c r="H701" s="77" t="s">
        <v>367</v>
      </c>
      <c r="I701" s="26">
        <f>ROUND(H702*E702,2)</f>
        <v>3457.07</v>
      </c>
      <c r="J701" s="375">
        <v>3457.069</v>
      </c>
      <c r="M701" s="163"/>
      <c r="N701" s="26"/>
      <c r="O701" s="26"/>
      <c r="P701" s="595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5"/>
      <c r="AF701" s="25"/>
      <c r="AG701" s="25"/>
      <c r="AH701" s="25"/>
      <c r="AI701" s="25"/>
      <c r="AJ701" s="25"/>
      <c r="AK701" s="25"/>
      <c r="AL701" s="25"/>
    </row>
    <row r="702" spans="1:38" ht="15" customHeight="1">
      <c r="A702" s="24" t="s">
        <v>3337</v>
      </c>
      <c r="B702" s="78" t="s">
        <v>3451</v>
      </c>
      <c r="C702" s="25" t="s">
        <v>3049</v>
      </c>
      <c r="D702" s="25" t="s">
        <v>17</v>
      </c>
      <c r="E702" s="26">
        <v>1</v>
      </c>
      <c r="F702" s="163">
        <v>4051.47</v>
      </c>
      <c r="G702" s="26">
        <f>ROUND(F702*E702,2)</f>
        <v>4051.47</v>
      </c>
      <c r="H702" s="26">
        <f t="shared" ref="H702" si="170">J701</f>
        <v>3457.069</v>
      </c>
      <c r="I702" s="79">
        <f>ROUND(SUM(I701:I701),2)</f>
        <v>3457.07</v>
      </c>
      <c r="M702" s="375"/>
      <c r="N702" s="79"/>
      <c r="O702" s="535"/>
      <c r="P702" s="594"/>
      <c r="Q702" s="543"/>
      <c r="R702" s="543"/>
      <c r="S702" s="543"/>
      <c r="T702" s="569"/>
      <c r="U702" s="569"/>
      <c r="V702" s="653"/>
      <c r="W702" s="713"/>
      <c r="X702" s="704"/>
      <c r="Y702" s="713"/>
      <c r="Z702" s="713"/>
      <c r="AA702" s="704"/>
      <c r="AB702" s="704"/>
      <c r="AC702" s="653"/>
      <c r="AD702" s="674"/>
      <c r="AE702" s="713"/>
      <c r="AF702" s="713"/>
      <c r="AG702" s="713"/>
      <c r="AH702" s="713"/>
      <c r="AI702" s="713"/>
      <c r="AJ702" s="713"/>
      <c r="AK702" s="713"/>
      <c r="AL702" s="713"/>
    </row>
    <row r="703" spans="1:38" ht="24" customHeight="1">
      <c r="A703" s="967" t="s">
        <v>1894</v>
      </c>
      <c r="B703" s="968"/>
      <c r="C703" s="968"/>
      <c r="D703" s="968"/>
      <c r="E703" s="968"/>
      <c r="F703" s="969"/>
      <c r="G703" s="79">
        <f>ROUND(SUM(G702:G702),2)</f>
        <v>4051.47</v>
      </c>
      <c r="H703" s="485"/>
      <c r="I703" s="80"/>
      <c r="M703" s="104"/>
      <c r="N703" s="104"/>
      <c r="O703" s="80"/>
      <c r="P703" s="426"/>
      <c r="Q703" s="80"/>
      <c r="R703" s="80"/>
      <c r="S703" s="80"/>
      <c r="T703" s="80"/>
      <c r="U703" s="80"/>
      <c r="V703" s="80"/>
      <c r="W703" s="104"/>
      <c r="X703" s="104"/>
      <c r="Y703" s="104"/>
      <c r="Z703" s="104"/>
      <c r="AA703" s="104"/>
      <c r="AB703" s="104"/>
      <c r="AC703" s="80"/>
      <c r="AD703" s="80"/>
      <c r="AE703" s="697"/>
      <c r="AF703" s="697"/>
      <c r="AG703" s="697"/>
      <c r="AH703" s="697"/>
      <c r="AI703" s="697"/>
      <c r="AJ703" s="697"/>
      <c r="AK703" s="697"/>
      <c r="AL703" s="697"/>
    </row>
    <row r="704" spans="1:38" ht="29.25" customHeight="1">
      <c r="A704" s="697"/>
      <c r="B704" s="80"/>
      <c r="C704" s="965"/>
      <c r="D704" s="966"/>
      <c r="E704" s="80"/>
      <c r="F704" s="104"/>
      <c r="G704" s="104"/>
      <c r="H704" s="80"/>
      <c r="I704" s="483" t="s">
        <v>3330</v>
      </c>
      <c r="M704" s="537"/>
      <c r="N704" s="537"/>
      <c r="O704" s="77"/>
      <c r="P704" s="590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</row>
    <row r="705" spans="1:38">
      <c r="A705" s="920" t="s">
        <v>3804</v>
      </c>
      <c r="B705" s="921"/>
      <c r="C705" s="921"/>
      <c r="D705" s="921"/>
      <c r="E705" s="929"/>
      <c r="F705" s="484"/>
      <c r="G705" s="484"/>
      <c r="H705" s="77" t="s">
        <v>3049</v>
      </c>
      <c r="I705" s="77" t="s">
        <v>368</v>
      </c>
      <c r="M705" s="93"/>
      <c r="N705" s="93"/>
      <c r="O705" s="77"/>
      <c r="P705" s="590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</row>
    <row r="706" spans="1:38" ht="35.25" customHeight="1">
      <c r="A706" s="920" t="s">
        <v>366</v>
      </c>
      <c r="B706" s="922"/>
      <c r="C706" s="77" t="s">
        <v>3</v>
      </c>
      <c r="D706" s="77" t="s">
        <v>4</v>
      </c>
      <c r="E706" s="77" t="s">
        <v>1826</v>
      </c>
      <c r="F706" s="93" t="s">
        <v>3781</v>
      </c>
      <c r="G706" s="93" t="s">
        <v>3783</v>
      </c>
      <c r="H706" s="77" t="s">
        <v>367</v>
      </c>
      <c r="I706" s="26">
        <f>ROUND(H707*E707,2)</f>
        <v>3828.92</v>
      </c>
      <c r="J706" s="375">
        <v>3828.9184999999998</v>
      </c>
      <c r="M706" s="26"/>
      <c r="N706" s="26"/>
      <c r="O706" s="26"/>
      <c r="P706" s="595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5"/>
      <c r="AF706" s="25"/>
      <c r="AG706" s="25"/>
      <c r="AH706" s="25"/>
      <c r="AI706" s="25"/>
      <c r="AJ706" s="25"/>
      <c r="AK706" s="25"/>
      <c r="AL706" s="25"/>
    </row>
    <row r="707" spans="1:38" ht="15" customHeight="1">
      <c r="A707" s="24" t="s">
        <v>3332</v>
      </c>
      <c r="B707" s="98" t="s">
        <v>3805</v>
      </c>
      <c r="C707" s="25" t="s">
        <v>3049</v>
      </c>
      <c r="D707" s="25" t="s">
        <v>17</v>
      </c>
      <c r="E707" s="26">
        <v>1</v>
      </c>
      <c r="F707" s="26">
        <v>2913.98</v>
      </c>
      <c r="G707" s="26">
        <f>F707</f>
        <v>2913.98</v>
      </c>
      <c r="H707" s="26">
        <f t="shared" ref="H707" si="171">J706</f>
        <v>3828.9184999999998</v>
      </c>
      <c r="I707" s="79">
        <f>ROUND(SUM(I706:I706),2)</f>
        <v>3828.92</v>
      </c>
      <c r="M707" s="375"/>
      <c r="N707" s="79"/>
      <c r="O707" s="497"/>
      <c r="P707" s="601"/>
      <c r="Q707" s="497"/>
      <c r="R707" s="497"/>
      <c r="S707" s="497"/>
      <c r="T707" s="497"/>
      <c r="U707" s="497"/>
      <c r="V707" s="497"/>
      <c r="W707" s="497"/>
      <c r="X707" s="497"/>
      <c r="Y707" s="497"/>
      <c r="Z707" s="497"/>
      <c r="AA707" s="497"/>
      <c r="AB707" s="497"/>
      <c r="AC707" s="497"/>
      <c r="AD707" s="497"/>
      <c r="AE707" s="710"/>
      <c r="AF707" s="710"/>
      <c r="AG707" s="710"/>
      <c r="AH707" s="710"/>
      <c r="AI707" s="710"/>
      <c r="AJ707" s="710"/>
      <c r="AK707" s="710"/>
      <c r="AL707" s="710"/>
    </row>
    <row r="708" spans="1:38" ht="22.5" customHeight="1">
      <c r="A708" s="917" t="s">
        <v>1894</v>
      </c>
      <c r="B708" s="918"/>
      <c r="C708" s="918"/>
      <c r="D708" s="918"/>
      <c r="E708" s="918"/>
      <c r="F708" s="926"/>
      <c r="G708" s="79">
        <f>G707</f>
        <v>2913.98</v>
      </c>
      <c r="H708" s="497"/>
      <c r="I708" s="80"/>
      <c r="M708" s="104"/>
      <c r="N708" s="104"/>
      <c r="O708" s="80"/>
      <c r="P708" s="426"/>
      <c r="Q708" s="80"/>
      <c r="R708" s="80"/>
      <c r="S708" s="80"/>
      <c r="T708" s="80"/>
      <c r="U708" s="80"/>
      <c r="V708" s="80"/>
      <c r="W708" s="104"/>
      <c r="X708" s="104"/>
      <c r="Y708" s="104"/>
      <c r="Z708" s="104"/>
      <c r="AA708" s="104"/>
      <c r="AB708" s="104"/>
      <c r="AC708" s="80"/>
      <c r="AD708" s="80"/>
      <c r="AE708" s="697"/>
      <c r="AF708" s="697"/>
      <c r="AG708" s="697"/>
      <c r="AH708" s="697"/>
      <c r="AI708" s="697"/>
      <c r="AJ708" s="697"/>
      <c r="AK708" s="697"/>
      <c r="AL708" s="697"/>
    </row>
    <row r="709" spans="1:38" ht="33" customHeight="1">
      <c r="A709" s="697"/>
      <c r="B709" s="80"/>
      <c r="C709" s="998"/>
      <c r="D709" s="998"/>
      <c r="E709" s="80"/>
      <c r="F709" s="104"/>
      <c r="G709" s="104"/>
      <c r="H709" s="80"/>
      <c r="I709" s="483" t="s">
        <v>3331</v>
      </c>
      <c r="M709" s="537"/>
      <c r="N709" s="537"/>
      <c r="O709" s="77"/>
      <c r="P709" s="590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</row>
    <row r="710" spans="1:38">
      <c r="A710" s="920" t="s">
        <v>3328</v>
      </c>
      <c r="B710" s="921"/>
      <c r="C710" s="921"/>
      <c r="D710" s="921"/>
      <c r="E710" s="922"/>
      <c r="F710" s="484"/>
      <c r="G710" s="484"/>
      <c r="H710" s="77" t="s">
        <v>3049</v>
      </c>
      <c r="I710" s="77" t="s">
        <v>368</v>
      </c>
      <c r="M710" s="93"/>
      <c r="N710" s="93"/>
      <c r="O710" s="77"/>
      <c r="P710" s="590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</row>
    <row r="711" spans="1:38" ht="28.5">
      <c r="A711" s="920" t="s">
        <v>366</v>
      </c>
      <c r="B711" s="959"/>
      <c r="C711" s="77" t="s">
        <v>3</v>
      </c>
      <c r="D711" s="77" t="s">
        <v>4</v>
      </c>
      <c r="E711" s="77" t="s">
        <v>1826</v>
      </c>
      <c r="F711" s="93" t="s">
        <v>3781</v>
      </c>
      <c r="G711" s="93" t="s">
        <v>3783</v>
      </c>
      <c r="H711" s="77" t="s">
        <v>367</v>
      </c>
      <c r="I711" s="26">
        <f>ROUND(H712*E712,2)</f>
        <v>2961.67</v>
      </c>
      <c r="J711" s="375">
        <v>2961.672</v>
      </c>
      <c r="M711" s="26"/>
      <c r="N711" s="26"/>
      <c r="O711" s="26"/>
      <c r="P711" s="595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5"/>
      <c r="AF711" s="25"/>
      <c r="AG711" s="25"/>
      <c r="AH711" s="25"/>
      <c r="AI711" s="25"/>
      <c r="AJ711" s="25"/>
      <c r="AK711" s="25"/>
      <c r="AL711" s="25"/>
    </row>
    <row r="712" spans="1:38" ht="15" customHeight="1">
      <c r="A712" s="24" t="s">
        <v>3333</v>
      </c>
      <c r="B712" s="99" t="s">
        <v>2623</v>
      </c>
      <c r="C712" s="25" t="s">
        <v>3049</v>
      </c>
      <c r="D712" s="25" t="s">
        <v>17</v>
      </c>
      <c r="E712" s="26">
        <v>1</v>
      </c>
      <c r="F712" s="26">
        <v>2639.19</v>
      </c>
      <c r="G712" s="26">
        <f>F712</f>
        <v>2639.19</v>
      </c>
      <c r="H712" s="26">
        <f t="shared" ref="H712" si="172">J711</f>
        <v>2961.672</v>
      </c>
      <c r="I712" s="79">
        <f>ROUND(SUM(I711:I711),2)</f>
        <v>2961.67</v>
      </c>
      <c r="M712" s="375"/>
      <c r="N712" s="79"/>
      <c r="O712" s="497"/>
      <c r="P712" s="601"/>
      <c r="Q712" s="497"/>
      <c r="R712" s="497"/>
      <c r="S712" s="497"/>
      <c r="T712" s="497"/>
      <c r="U712" s="497"/>
      <c r="V712" s="497"/>
      <c r="W712" s="497"/>
      <c r="X712" s="497"/>
      <c r="Y712" s="497"/>
      <c r="Z712" s="497"/>
      <c r="AA712" s="497"/>
      <c r="AB712" s="497"/>
      <c r="AC712" s="497"/>
      <c r="AD712" s="497"/>
      <c r="AE712" s="710"/>
      <c r="AF712" s="710"/>
      <c r="AG712" s="710"/>
      <c r="AH712" s="710"/>
      <c r="AI712" s="710"/>
      <c r="AJ712" s="710"/>
      <c r="AK712" s="710"/>
      <c r="AL712" s="710"/>
    </row>
    <row r="713" spans="1:38" ht="24.75" customHeight="1">
      <c r="A713" s="917" t="s">
        <v>1894</v>
      </c>
      <c r="B713" s="918"/>
      <c r="C713" s="918"/>
      <c r="D713" s="918"/>
      <c r="E713" s="918"/>
      <c r="F713" s="926"/>
      <c r="G713" s="79">
        <f>ROUND(SUM(G712:G712),2)</f>
        <v>2639.19</v>
      </c>
      <c r="H713" s="497"/>
      <c r="I713" s="80"/>
      <c r="M713" s="104"/>
      <c r="N713" s="104"/>
      <c r="O713" s="80"/>
      <c r="P713" s="426"/>
      <c r="Q713" s="80"/>
      <c r="R713" s="80"/>
      <c r="S713" s="80"/>
      <c r="T713" s="80"/>
      <c r="U713" s="80"/>
      <c r="V713" s="80"/>
      <c r="W713" s="104"/>
      <c r="X713" s="104"/>
      <c r="Y713" s="104"/>
      <c r="Z713" s="104"/>
      <c r="AA713" s="104"/>
      <c r="AB713" s="104"/>
      <c r="AC713" s="80"/>
      <c r="AD713" s="80"/>
      <c r="AE713" s="697"/>
      <c r="AF713" s="697"/>
      <c r="AG713" s="697"/>
      <c r="AH713" s="697"/>
      <c r="AI713" s="697"/>
      <c r="AJ713" s="697"/>
      <c r="AK713" s="697"/>
      <c r="AL713" s="697"/>
    </row>
    <row r="714" spans="1:38" ht="46.5" customHeight="1">
      <c r="A714" s="697"/>
      <c r="B714" s="80"/>
      <c r="C714" s="965"/>
      <c r="D714" s="966"/>
      <c r="E714" s="80"/>
      <c r="F714" s="104"/>
      <c r="G714" s="104"/>
      <c r="H714" s="80"/>
      <c r="I714" s="88"/>
      <c r="M714" s="537"/>
      <c r="N714" s="537"/>
      <c r="O714" s="75"/>
      <c r="P714" s="589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  <c r="AJ714" s="75"/>
      <c r="AK714" s="75"/>
      <c r="AL714" s="75"/>
    </row>
    <row r="715" spans="1:38">
      <c r="A715" s="920" t="s">
        <v>2379</v>
      </c>
      <c r="B715" s="921"/>
      <c r="C715" s="921"/>
      <c r="D715" s="921"/>
      <c r="E715" s="929"/>
      <c r="F715" s="484"/>
      <c r="G715" s="484"/>
      <c r="H715" s="75" t="s">
        <v>44</v>
      </c>
      <c r="I715" s="77" t="s">
        <v>368</v>
      </c>
      <c r="M715" s="93"/>
      <c r="N715" s="93"/>
      <c r="O715" s="77"/>
      <c r="P715" s="590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</row>
    <row r="716" spans="1:38" s="45" customFormat="1" ht="28.5">
      <c r="A716" s="984" t="s">
        <v>1917</v>
      </c>
      <c r="B716" s="985"/>
      <c r="C716" s="77" t="s">
        <v>3</v>
      </c>
      <c r="D716" s="77" t="s">
        <v>4</v>
      </c>
      <c r="E716" s="77" t="s">
        <v>1826</v>
      </c>
      <c r="F716" s="93" t="s">
        <v>3781</v>
      </c>
      <c r="G716" s="93" t="s">
        <v>3783</v>
      </c>
      <c r="H716" s="77" t="s">
        <v>367</v>
      </c>
      <c r="I716" s="26">
        <f>ROUND(H717*E717,2)</f>
        <v>7342.16</v>
      </c>
      <c r="J716" s="364">
        <v>7342.1640000000007</v>
      </c>
      <c r="K716" s="45" t="e">
        <f>IF(A717&lt;&gt;0,VLOOKUP(A717,#REF!,2,FALSE),"")</f>
        <v>#REF!</v>
      </c>
      <c r="L716" s="364"/>
      <c r="M716" s="26"/>
      <c r="N716" s="26"/>
      <c r="O716" s="26"/>
      <c r="P716" s="595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5"/>
      <c r="AF716" s="25"/>
      <c r="AG716" s="25"/>
      <c r="AH716" s="25"/>
      <c r="AI716" s="25"/>
      <c r="AJ716" s="25"/>
      <c r="AK716" s="25"/>
      <c r="AL716" s="25"/>
    </row>
    <row r="717" spans="1:38" ht="45">
      <c r="A717" s="24">
        <v>11103</v>
      </c>
      <c r="B717" s="78" t="s">
        <v>2378</v>
      </c>
      <c r="C717" s="25" t="s">
        <v>44</v>
      </c>
      <c r="D717" s="25" t="s">
        <v>17</v>
      </c>
      <c r="E717" s="26">
        <v>1</v>
      </c>
      <c r="F717" s="26"/>
      <c r="G717" s="26"/>
      <c r="H717" s="26">
        <f t="shared" ref="H717" si="173">J716</f>
        <v>7342.1640000000007</v>
      </c>
      <c r="I717" s="79">
        <f>ROUND(SUM(I716:I716),2)</f>
        <v>7342.16</v>
      </c>
      <c r="M717" s="375"/>
      <c r="N717" s="375"/>
      <c r="O717" s="375"/>
      <c r="P717" s="587"/>
      <c r="Q717" s="375"/>
      <c r="R717" s="375"/>
      <c r="S717" s="375"/>
      <c r="T717" s="375"/>
      <c r="U717" s="375"/>
      <c r="V717" s="375"/>
      <c r="W717" s="375"/>
      <c r="X717" s="375"/>
      <c r="Y717" s="375"/>
      <c r="Z717" s="375"/>
      <c r="AA717" s="375"/>
      <c r="AB717" s="375"/>
      <c r="AC717" s="375"/>
      <c r="AD717" s="375"/>
      <c r="AE717" s="237"/>
      <c r="AF717" s="237"/>
      <c r="AG717" s="237"/>
      <c r="AH717" s="237"/>
      <c r="AI717" s="237"/>
      <c r="AJ717" s="237"/>
      <c r="AK717" s="237"/>
      <c r="AL717" s="237"/>
    </row>
    <row r="718" spans="1:38">
      <c r="A718" s="986" t="s">
        <v>1894</v>
      </c>
      <c r="B718" s="986"/>
      <c r="C718" s="986"/>
      <c r="D718" s="986"/>
      <c r="E718" s="986"/>
      <c r="F718" s="986"/>
      <c r="G718" s="986"/>
      <c r="H718" s="986"/>
      <c r="I718" s="27"/>
      <c r="M718" s="27"/>
      <c r="N718" s="27"/>
      <c r="O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108"/>
      <c r="AF718" s="108"/>
      <c r="AG718" s="108"/>
      <c r="AH718" s="108"/>
      <c r="AI718" s="108"/>
      <c r="AJ718" s="108"/>
      <c r="AK718" s="108"/>
      <c r="AL718" s="108"/>
    </row>
    <row r="719" spans="1:38">
      <c r="A719" s="108"/>
      <c r="B719" s="27"/>
      <c r="C719" s="27"/>
      <c r="D719" s="27"/>
      <c r="E719" s="27"/>
      <c r="F719" s="27"/>
      <c r="G719" s="27"/>
      <c r="H719" s="27"/>
      <c r="I719" s="27"/>
      <c r="M719" s="27"/>
      <c r="N719" s="27"/>
      <c r="O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108"/>
      <c r="AF719" s="108"/>
      <c r="AG719" s="108"/>
      <c r="AH719" s="108"/>
      <c r="AI719" s="108"/>
      <c r="AJ719" s="108"/>
      <c r="AK719" s="108"/>
      <c r="AL719" s="108"/>
    </row>
    <row r="720" spans="1:38" ht="51" customHeight="1">
      <c r="A720" s="108"/>
      <c r="B720" s="27"/>
      <c r="C720" s="27"/>
      <c r="D720" s="27"/>
      <c r="E720" s="27"/>
      <c r="F720" s="27"/>
      <c r="G720" s="27"/>
      <c r="H720" s="27"/>
      <c r="I720" s="88"/>
      <c r="M720" s="537"/>
      <c r="N720" s="537"/>
      <c r="O720" s="75"/>
      <c r="P720" s="589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  <c r="AJ720" s="75"/>
      <c r="AK720" s="75"/>
      <c r="AL720" s="75"/>
    </row>
    <row r="721" spans="1:38">
      <c r="A721" s="920" t="s">
        <v>2384</v>
      </c>
      <c r="B721" s="921"/>
      <c r="C721" s="921"/>
      <c r="D721" s="921"/>
      <c r="E721" s="929"/>
      <c r="F721" s="484"/>
      <c r="G721" s="484"/>
      <c r="H721" s="75" t="s">
        <v>44</v>
      </c>
      <c r="I721" s="77" t="s">
        <v>368</v>
      </c>
      <c r="M721" s="93"/>
      <c r="N721" s="93"/>
      <c r="O721" s="77"/>
      <c r="P721" s="590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</row>
    <row r="722" spans="1:38" s="45" customFormat="1" ht="28.5">
      <c r="A722" s="77" t="s">
        <v>1917</v>
      </c>
      <c r="B722" s="486"/>
      <c r="C722" s="77" t="s">
        <v>3</v>
      </c>
      <c r="D722" s="77" t="s">
        <v>4</v>
      </c>
      <c r="E722" s="77" t="s">
        <v>1826</v>
      </c>
      <c r="F722" s="93" t="s">
        <v>3781</v>
      </c>
      <c r="G722" s="93" t="s">
        <v>3783</v>
      </c>
      <c r="H722" s="77" t="s">
        <v>367</v>
      </c>
      <c r="I722" s="26">
        <f>ROUND(H723*E723,2)</f>
        <v>5100</v>
      </c>
      <c r="J722" s="364">
        <v>5100</v>
      </c>
      <c r="K722" s="45" t="e">
        <f>IF(A723&lt;&gt;0,VLOOKUP(A723,#REF!,2,FALSE),"")</f>
        <v>#REF!</v>
      </c>
      <c r="L722" s="364"/>
      <c r="M722" s="26"/>
      <c r="N722" s="26"/>
      <c r="O722" s="26"/>
      <c r="P722" s="595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5"/>
      <c r="AF722" s="25"/>
      <c r="AG722" s="25"/>
      <c r="AH722" s="25"/>
      <c r="AI722" s="25"/>
      <c r="AJ722" s="25"/>
      <c r="AK722" s="25"/>
      <c r="AL722" s="25"/>
    </row>
    <row r="723" spans="1:38" ht="15" customHeight="1">
      <c r="A723" s="24">
        <v>12955</v>
      </c>
      <c r="B723" s="78" t="s">
        <v>2383</v>
      </c>
      <c r="C723" s="25" t="s">
        <v>44</v>
      </c>
      <c r="D723" s="25" t="s">
        <v>17</v>
      </c>
      <c r="E723" s="26">
        <v>1</v>
      </c>
      <c r="F723" s="26">
        <v>4434.3900000000003</v>
      </c>
      <c r="G723" s="26">
        <f>F723</f>
        <v>4434.3900000000003</v>
      </c>
      <c r="H723" s="26">
        <f t="shared" ref="H723" si="174">J722</f>
        <v>5100</v>
      </c>
      <c r="I723" s="79">
        <f>ROUND(SUM(I722:I722),2)</f>
        <v>5100</v>
      </c>
      <c r="M723" s="375"/>
      <c r="N723" s="79"/>
      <c r="O723" s="497"/>
      <c r="P723" s="601"/>
      <c r="Q723" s="497"/>
      <c r="R723" s="497"/>
      <c r="S723" s="497"/>
      <c r="T723" s="497"/>
      <c r="U723" s="497"/>
      <c r="V723" s="497"/>
      <c r="W723" s="497"/>
      <c r="X723" s="497"/>
      <c r="Y723" s="497"/>
      <c r="Z723" s="497"/>
      <c r="AA723" s="497"/>
      <c r="AB723" s="497"/>
      <c r="AC723" s="497"/>
      <c r="AD723" s="497"/>
      <c r="AE723" s="710"/>
      <c r="AF723" s="710"/>
      <c r="AG723" s="710"/>
      <c r="AH723" s="710"/>
      <c r="AI723" s="710"/>
      <c r="AJ723" s="710"/>
      <c r="AK723" s="710"/>
      <c r="AL723" s="710"/>
    </row>
    <row r="724" spans="1:38">
      <c r="A724" s="917" t="s">
        <v>1894</v>
      </c>
      <c r="B724" s="918"/>
      <c r="C724" s="918"/>
      <c r="D724" s="918"/>
      <c r="E724" s="918"/>
      <c r="F724" s="926"/>
      <c r="G724" s="79">
        <f>ROUND(SUM(G723:G723),2)</f>
        <v>4434.3900000000003</v>
      </c>
      <c r="H724" s="497"/>
      <c r="I724" s="27"/>
      <c r="M724" s="27"/>
      <c r="N724" s="27"/>
      <c r="O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108"/>
      <c r="AF724" s="108"/>
      <c r="AG724" s="108"/>
      <c r="AH724" s="108"/>
      <c r="AI724" s="108"/>
      <c r="AJ724" s="108"/>
      <c r="AK724" s="108"/>
      <c r="AL724" s="108"/>
    </row>
    <row r="725" spans="1:38">
      <c r="A725" s="108"/>
      <c r="B725" s="27"/>
      <c r="C725" s="27"/>
      <c r="D725" s="27"/>
      <c r="E725" s="27"/>
      <c r="F725" s="27"/>
      <c r="G725" s="27"/>
      <c r="H725" s="27"/>
      <c r="I725" s="27"/>
      <c r="M725" s="27"/>
      <c r="N725" s="27"/>
      <c r="O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108"/>
      <c r="AF725" s="108"/>
      <c r="AG725" s="108"/>
      <c r="AH725" s="108"/>
      <c r="AI725" s="108"/>
      <c r="AJ725" s="108"/>
      <c r="AK725" s="108"/>
      <c r="AL725" s="108"/>
    </row>
    <row r="726" spans="1:38" ht="30.75" customHeight="1">
      <c r="A726" s="108"/>
      <c r="B726" s="27"/>
      <c r="C726" s="27"/>
      <c r="D726" s="27"/>
      <c r="E726" s="27"/>
      <c r="F726" s="27"/>
      <c r="G726" s="27"/>
      <c r="H726" s="27"/>
      <c r="I726" s="486"/>
      <c r="M726" s="537"/>
      <c r="N726" s="537"/>
      <c r="O726" s="75"/>
      <c r="P726" s="589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  <c r="AJ726" s="75"/>
      <c r="AK726" s="75"/>
      <c r="AL726" s="75"/>
    </row>
    <row r="727" spans="1:38">
      <c r="A727" s="920" t="s">
        <v>2405</v>
      </c>
      <c r="B727" s="921"/>
      <c r="C727" s="921"/>
      <c r="D727" s="921"/>
      <c r="E727" s="929"/>
      <c r="F727" s="484"/>
      <c r="G727" s="484"/>
      <c r="H727" s="75" t="s">
        <v>1915</v>
      </c>
      <c r="I727" s="77" t="s">
        <v>368</v>
      </c>
      <c r="M727" s="93"/>
      <c r="N727" s="93"/>
      <c r="O727" s="77"/>
      <c r="P727" s="590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</row>
    <row r="728" spans="1:38" ht="28.5">
      <c r="A728" s="77" t="s">
        <v>1917</v>
      </c>
      <c r="B728" s="486"/>
      <c r="C728" s="77" t="s">
        <v>3</v>
      </c>
      <c r="D728" s="77" t="s">
        <v>4</v>
      </c>
      <c r="E728" s="77" t="s">
        <v>1826</v>
      </c>
      <c r="F728" s="93" t="s">
        <v>3781</v>
      </c>
      <c r="G728" s="93" t="s">
        <v>3783</v>
      </c>
      <c r="H728" s="77" t="s">
        <v>367</v>
      </c>
      <c r="I728" s="26">
        <f>ROUND(H729*E729,2)</f>
        <v>59.03</v>
      </c>
      <c r="J728" s="375">
        <v>59.032499999999999</v>
      </c>
      <c r="M728" s="26"/>
      <c r="N728" s="26"/>
      <c r="O728" s="26"/>
      <c r="P728" s="595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5"/>
      <c r="AF728" s="25"/>
      <c r="AG728" s="25"/>
      <c r="AH728" s="25"/>
      <c r="AI728" s="25"/>
      <c r="AJ728" s="25"/>
      <c r="AK728" s="25"/>
      <c r="AL728" s="25"/>
    </row>
    <row r="729" spans="1:38" ht="30">
      <c r="A729" s="24"/>
      <c r="B729" s="78" t="s">
        <v>2406</v>
      </c>
      <c r="C729" s="24" t="s">
        <v>2015</v>
      </c>
      <c r="D729" s="25" t="s">
        <v>52</v>
      </c>
      <c r="E729" s="26">
        <v>1</v>
      </c>
      <c r="F729" s="26">
        <v>74.02</v>
      </c>
      <c r="G729" s="26">
        <f>ROUND(F729*E729,2)</f>
        <v>74.02</v>
      </c>
      <c r="H729" s="26">
        <f t="shared" ref="H729:H731" si="175">J728</f>
        <v>59.032499999999999</v>
      </c>
      <c r="I729" s="26">
        <f>ROUND(H730*E730,2)</f>
        <v>1.18</v>
      </c>
      <c r="J729" s="375">
        <v>11.798000000000002</v>
      </c>
      <c r="K729" s="28" t="e">
        <f>IF(A730&lt;&gt;0,VLOOKUP(A730,#REF!,2,FALSE),"")</f>
        <v>#REF!</v>
      </c>
      <c r="M729" s="26"/>
      <c r="N729" s="26"/>
      <c r="O729" s="26"/>
      <c r="P729" s="595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5"/>
      <c r="AF729" s="25"/>
      <c r="AG729" s="25"/>
      <c r="AH729" s="25"/>
      <c r="AI729" s="25"/>
      <c r="AJ729" s="25"/>
      <c r="AK729" s="25"/>
      <c r="AL729" s="25"/>
    </row>
    <row r="730" spans="1:38">
      <c r="A730" s="24">
        <v>88316</v>
      </c>
      <c r="B730" s="78" t="s">
        <v>377</v>
      </c>
      <c r="C730" s="25" t="s">
        <v>12</v>
      </c>
      <c r="D730" s="25" t="s">
        <v>19</v>
      </c>
      <c r="E730" s="26">
        <v>0.1</v>
      </c>
      <c r="F730" s="505">
        <f>13.88*0.85*'PLANILHA ORÇA - CORREGEDORIA'!$BH$19</f>
        <v>13.143070685953276</v>
      </c>
      <c r="G730" s="26">
        <f>ROUND(F730*E730,2)</f>
        <v>1.31</v>
      </c>
      <c r="H730" s="26">
        <f t="shared" si="175"/>
        <v>11.798000000000002</v>
      </c>
      <c r="I730" s="26">
        <f>ROUND(H731*E731,2)</f>
        <v>1.52</v>
      </c>
      <c r="J730" s="375">
        <v>15.249000000000001</v>
      </c>
      <c r="K730" s="28" t="e">
        <f>IF(A731&lt;&gt;0,VLOOKUP(A731,#REF!,2,FALSE),"")</f>
        <v>#REF!</v>
      </c>
      <c r="M730" s="26"/>
      <c r="N730" s="26"/>
      <c r="O730" s="26"/>
      <c r="P730" s="595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5"/>
      <c r="AF730" s="25"/>
      <c r="AG730" s="25"/>
      <c r="AH730" s="25"/>
      <c r="AI730" s="25"/>
      <c r="AJ730" s="25"/>
      <c r="AK730" s="25"/>
      <c r="AL730" s="25"/>
    </row>
    <row r="731" spans="1:38" ht="15" customHeight="1">
      <c r="A731" s="24">
        <v>88264</v>
      </c>
      <c r="B731" s="78" t="s">
        <v>379</v>
      </c>
      <c r="C731" s="25" t="s">
        <v>12</v>
      </c>
      <c r="D731" s="25" t="s">
        <v>19</v>
      </c>
      <c r="E731" s="26">
        <v>0.1</v>
      </c>
      <c r="F731" s="505">
        <f>17.94*0.85*'PLANILHA ORÇA - CORREGEDORIA'!$BH$19</f>
        <v>16.987513552305604</v>
      </c>
      <c r="G731" s="26">
        <f>ROUND(F731*E731,2)</f>
        <v>1.7</v>
      </c>
      <c r="H731" s="26">
        <f t="shared" si="175"/>
        <v>15.249000000000001</v>
      </c>
      <c r="I731" s="79">
        <f>ROUND(SUM(I728:I730),2)</f>
        <v>61.73</v>
      </c>
      <c r="M731" s="375"/>
      <c r="N731" s="79"/>
      <c r="O731" s="535"/>
      <c r="P731" s="594"/>
      <c r="Q731" s="543"/>
      <c r="R731" s="543"/>
      <c r="S731" s="543"/>
      <c r="T731" s="569"/>
      <c r="U731" s="569"/>
      <c r="V731" s="653"/>
      <c r="W731" s="713"/>
      <c r="X731" s="704"/>
      <c r="Y731" s="713"/>
      <c r="Z731" s="713"/>
      <c r="AA731" s="704"/>
      <c r="AB731" s="704"/>
      <c r="AC731" s="653"/>
      <c r="AD731" s="674"/>
      <c r="AE731" s="713"/>
      <c r="AF731" s="713"/>
      <c r="AG731" s="713"/>
      <c r="AH731" s="713"/>
      <c r="AI731" s="713"/>
      <c r="AJ731" s="713"/>
      <c r="AK731" s="713"/>
      <c r="AL731" s="713"/>
    </row>
    <row r="732" spans="1:38">
      <c r="A732" s="917" t="s">
        <v>1894</v>
      </c>
      <c r="B732" s="918"/>
      <c r="C732" s="918"/>
      <c r="D732" s="918"/>
      <c r="E732" s="918"/>
      <c r="F732" s="926"/>
      <c r="G732" s="79">
        <f>ROUND(SUM(G729:G731),2)</f>
        <v>77.03</v>
      </c>
      <c r="H732" s="485"/>
      <c r="I732" s="27"/>
      <c r="M732" s="27"/>
      <c r="N732" s="27"/>
      <c r="O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108"/>
      <c r="AF732" s="108"/>
      <c r="AG732" s="108"/>
      <c r="AH732" s="108"/>
      <c r="AI732" s="108"/>
      <c r="AJ732" s="108"/>
      <c r="AK732" s="108"/>
      <c r="AL732" s="108"/>
    </row>
    <row r="733" spans="1:38">
      <c r="A733" s="108"/>
      <c r="B733" s="27"/>
      <c r="C733" s="27"/>
      <c r="D733" s="27"/>
      <c r="E733" s="27"/>
      <c r="F733" s="27"/>
      <c r="G733" s="27"/>
      <c r="H733" s="27"/>
      <c r="I733" s="27"/>
      <c r="M733" s="27"/>
      <c r="N733" s="27"/>
      <c r="O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108"/>
      <c r="AF733" s="108"/>
      <c r="AG733" s="108"/>
      <c r="AH733" s="108"/>
      <c r="AI733" s="108"/>
      <c r="AJ733" s="108"/>
      <c r="AK733" s="108"/>
      <c r="AL733" s="108"/>
    </row>
    <row r="734" spans="1:38" ht="27" customHeight="1">
      <c r="A734" s="108"/>
      <c r="B734" s="27"/>
      <c r="C734" s="27"/>
      <c r="D734" s="27"/>
      <c r="E734" s="27"/>
      <c r="F734" s="27"/>
      <c r="G734" s="27"/>
      <c r="H734" s="27"/>
      <c r="I734" s="118">
        <v>539</v>
      </c>
      <c r="K734" s="29"/>
      <c r="M734" s="537"/>
      <c r="N734" s="537"/>
      <c r="O734" s="539"/>
      <c r="P734" s="604"/>
      <c r="Q734" s="546"/>
      <c r="R734" s="546"/>
      <c r="S734" s="546"/>
      <c r="T734" s="572"/>
      <c r="U734" s="572"/>
      <c r="V734" s="656"/>
      <c r="W734" s="719"/>
      <c r="X734" s="707"/>
      <c r="Y734" s="719"/>
      <c r="Z734" s="719"/>
      <c r="AA734" s="707"/>
      <c r="AB734" s="707"/>
      <c r="AC734" s="656"/>
      <c r="AD734" s="678"/>
      <c r="AE734" s="719"/>
      <c r="AF734" s="719"/>
      <c r="AG734" s="719"/>
      <c r="AH734" s="719"/>
      <c r="AI734" s="719"/>
      <c r="AJ734" s="719"/>
      <c r="AK734" s="719"/>
      <c r="AL734" s="719"/>
    </row>
    <row r="735" spans="1:38">
      <c r="A735" s="953" t="s">
        <v>1931</v>
      </c>
      <c r="B735" s="954"/>
      <c r="C735" s="954"/>
      <c r="D735" s="954"/>
      <c r="E735" s="955"/>
      <c r="F735" s="484"/>
      <c r="G735" s="484"/>
      <c r="H735" s="489" t="s">
        <v>44</v>
      </c>
      <c r="I735" s="77" t="s">
        <v>368</v>
      </c>
      <c r="K735" s="29"/>
      <c r="M735" s="93"/>
      <c r="N735" s="93"/>
      <c r="O735" s="77"/>
      <c r="P735" s="590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</row>
    <row r="736" spans="1:38" ht="28.5">
      <c r="A736" s="77" t="s">
        <v>1917</v>
      </c>
      <c r="B736" s="486"/>
      <c r="C736" s="77" t="s">
        <v>3</v>
      </c>
      <c r="D736" s="77" t="s">
        <v>4</v>
      </c>
      <c r="E736" s="77" t="s">
        <v>1826</v>
      </c>
      <c r="F736" s="93" t="s">
        <v>3781</v>
      </c>
      <c r="G736" s="93" t="s">
        <v>3783</v>
      </c>
      <c r="H736" s="77" t="s">
        <v>367</v>
      </c>
      <c r="I736" s="129">
        <f>ROUND((E737*H737),2)</f>
        <v>35.53</v>
      </c>
      <c r="J736" s="375">
        <v>17.765000000000001</v>
      </c>
      <c r="K736" s="28" t="e">
        <f>IF(A737&lt;&gt;0,VLOOKUP(A737,#REF!,2,FALSE),"")</f>
        <v>#REF!</v>
      </c>
      <c r="M736" s="990"/>
      <c r="N736" s="990"/>
      <c r="O736" s="122"/>
      <c r="P736" s="610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11"/>
      <c r="AF736" s="111"/>
      <c r="AG736" s="111"/>
      <c r="AH736" s="111"/>
      <c r="AI736" s="111"/>
      <c r="AJ736" s="111"/>
      <c r="AK736" s="111"/>
      <c r="AL736" s="111"/>
    </row>
    <row r="737" spans="1:38" s="45" customFormat="1">
      <c r="A737" s="100">
        <v>39387</v>
      </c>
      <c r="B737" s="109" t="s">
        <v>1932</v>
      </c>
      <c r="C737" s="25" t="s">
        <v>12</v>
      </c>
      <c r="D737" s="126" t="s">
        <v>17</v>
      </c>
      <c r="E737" s="127">
        <v>2</v>
      </c>
      <c r="F737" s="990">
        <v>220.37</v>
      </c>
      <c r="G737" s="990">
        <f>F737</f>
        <v>220.37</v>
      </c>
      <c r="H737" s="122">
        <f>J736</f>
        <v>17.765000000000001</v>
      </c>
      <c r="I737" s="123">
        <f>ROUND((E738*H738),2)</f>
        <v>126.58</v>
      </c>
      <c r="J737" s="364">
        <v>126.58199999999999</v>
      </c>
      <c r="K737" s="45" t="e">
        <f>IF(A738&lt;&gt;0,VLOOKUP(A738,#REF!,2,FALSE),"")</f>
        <v>#REF!</v>
      </c>
      <c r="L737" s="364"/>
      <c r="M737" s="991"/>
      <c r="N737" s="991"/>
      <c r="O737" s="122"/>
      <c r="P737" s="610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11"/>
      <c r="AF737" s="111"/>
      <c r="AG737" s="111"/>
      <c r="AH737" s="111"/>
      <c r="AI737" s="111"/>
      <c r="AJ737" s="111"/>
      <c r="AK737" s="111"/>
      <c r="AL737" s="111"/>
    </row>
    <row r="738" spans="1:38" ht="30">
      <c r="A738" s="100">
        <v>1366</v>
      </c>
      <c r="B738" s="109" t="s">
        <v>1933</v>
      </c>
      <c r="C738" s="25" t="s">
        <v>44</v>
      </c>
      <c r="D738" s="126" t="s">
        <v>17</v>
      </c>
      <c r="E738" s="127">
        <v>1</v>
      </c>
      <c r="F738" s="991"/>
      <c r="G738" s="991"/>
      <c r="H738" s="122">
        <f>J737</f>
        <v>126.58199999999999</v>
      </c>
      <c r="I738" s="123">
        <f>ROUND((E739*H739),2)</f>
        <v>11.91</v>
      </c>
      <c r="J738" s="375">
        <v>11.9085</v>
      </c>
      <c r="K738" s="28" t="e">
        <f>IF(A739&lt;&gt;0,VLOOKUP(A739,#REF!,2,FALSE),"")</f>
        <v>#REF!</v>
      </c>
      <c r="M738" s="26"/>
      <c r="N738" s="26"/>
      <c r="O738" s="122"/>
      <c r="P738" s="610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11"/>
      <c r="AF738" s="111"/>
      <c r="AG738" s="111"/>
      <c r="AH738" s="111"/>
      <c r="AI738" s="111"/>
      <c r="AJ738" s="111"/>
      <c r="AK738" s="111"/>
      <c r="AL738" s="111"/>
    </row>
    <row r="739" spans="1:38" ht="30">
      <c r="A739" s="100">
        <v>88247</v>
      </c>
      <c r="B739" s="109" t="s">
        <v>510</v>
      </c>
      <c r="C739" s="25" t="s">
        <v>12</v>
      </c>
      <c r="D739" s="126" t="s">
        <v>19</v>
      </c>
      <c r="E739" s="127">
        <v>1</v>
      </c>
      <c r="F739" s="505">
        <f>14.01*0.85*'PLANILHA ORÇA - CORREGEDORIA'!$BH$19</f>
        <v>13.266168610245346</v>
      </c>
      <c r="G739" s="26">
        <f>ROUND(F739*E739,2)</f>
        <v>13.27</v>
      </c>
      <c r="H739" s="122">
        <f>J738</f>
        <v>11.9085</v>
      </c>
      <c r="I739" s="123">
        <f>ROUND((E740*H740),2)</f>
        <v>15.25</v>
      </c>
      <c r="J739" s="375">
        <v>15.249000000000001</v>
      </c>
      <c r="K739" s="28" t="e">
        <f>IF(A740&lt;&gt;0,VLOOKUP(A740,#REF!,2,FALSE),"")</f>
        <v>#REF!</v>
      </c>
      <c r="M739" s="26"/>
      <c r="N739" s="26"/>
      <c r="O739" s="122"/>
      <c r="P739" s="610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11"/>
      <c r="AF739" s="111"/>
      <c r="AG739" s="111"/>
      <c r="AH739" s="111"/>
      <c r="AI739" s="111"/>
      <c r="AJ739" s="111"/>
      <c r="AK739" s="111"/>
      <c r="AL739" s="111"/>
    </row>
    <row r="740" spans="1:38" ht="30">
      <c r="A740" s="100">
        <v>88264</v>
      </c>
      <c r="B740" s="109" t="s">
        <v>379</v>
      </c>
      <c r="C740" s="25" t="s">
        <v>12</v>
      </c>
      <c r="D740" s="126" t="s">
        <v>19</v>
      </c>
      <c r="E740" s="127">
        <v>1</v>
      </c>
      <c r="F740" s="505">
        <f>17.94*0.85*'PLANILHA ORÇA - CORREGEDORIA'!$BH$19</f>
        <v>16.987513552305604</v>
      </c>
      <c r="G740" s="26">
        <f>ROUND(F740*E740,2)</f>
        <v>16.989999999999998</v>
      </c>
      <c r="H740" s="122">
        <f>J739</f>
        <v>15.249000000000001</v>
      </c>
      <c r="I740" s="130">
        <f>ROUND(SUM(I736:I739),2)</f>
        <v>189.27</v>
      </c>
      <c r="K740" s="29"/>
      <c r="M740" s="375"/>
      <c r="N740" s="130"/>
      <c r="O740" s="538"/>
      <c r="P740" s="606"/>
      <c r="Q740" s="542"/>
      <c r="R740" s="542"/>
      <c r="S740" s="542"/>
      <c r="T740" s="568"/>
      <c r="U740" s="568"/>
      <c r="V740" s="652"/>
      <c r="W740" s="718"/>
      <c r="X740" s="706"/>
      <c r="Y740" s="718"/>
      <c r="Z740" s="718"/>
      <c r="AA740" s="706"/>
      <c r="AB740" s="706"/>
      <c r="AC740" s="652"/>
      <c r="AD740" s="677"/>
      <c r="AE740" s="718"/>
      <c r="AF740" s="718"/>
      <c r="AG740" s="718"/>
      <c r="AH740" s="718"/>
      <c r="AI740" s="718"/>
      <c r="AJ740" s="718"/>
      <c r="AK740" s="718"/>
      <c r="AL740" s="718"/>
    </row>
    <row r="741" spans="1:38" ht="30.75" customHeight="1">
      <c r="A741" s="956" t="s">
        <v>1894</v>
      </c>
      <c r="B741" s="957"/>
      <c r="C741" s="957"/>
      <c r="D741" s="957"/>
      <c r="E741" s="957"/>
      <c r="F741" s="957"/>
      <c r="G741" s="130">
        <f>ROUND(SUM(G737:G740),2)</f>
        <v>250.63</v>
      </c>
      <c r="H741" s="487"/>
      <c r="I741" s="27"/>
      <c r="M741" s="27"/>
      <c r="N741" s="27"/>
      <c r="O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108"/>
      <c r="AF741" s="108"/>
      <c r="AG741" s="108"/>
      <c r="AH741" s="108"/>
      <c r="AI741" s="108"/>
      <c r="AJ741" s="108"/>
      <c r="AK741" s="108"/>
      <c r="AL741" s="108"/>
    </row>
    <row r="742" spans="1:38" s="45" customFormat="1" ht="45" customHeight="1">
      <c r="A742" s="108"/>
      <c r="B742" s="27"/>
      <c r="C742" s="27"/>
      <c r="D742" s="27"/>
      <c r="E742" s="27"/>
      <c r="F742" s="27"/>
      <c r="G742" s="27"/>
      <c r="H742" s="27"/>
      <c r="I742" s="118">
        <v>5057</v>
      </c>
      <c r="J742" s="364"/>
      <c r="K742" s="166"/>
      <c r="L742" s="364"/>
      <c r="M742" s="537"/>
      <c r="N742" s="537"/>
      <c r="O742" s="539"/>
      <c r="P742" s="604"/>
      <c r="Q742" s="546"/>
      <c r="R742" s="546"/>
      <c r="S742" s="546"/>
      <c r="T742" s="572"/>
      <c r="U742" s="572"/>
      <c r="V742" s="656"/>
      <c r="W742" s="719"/>
      <c r="X742" s="707"/>
      <c r="Y742" s="719"/>
      <c r="Z742" s="719"/>
      <c r="AA742" s="707"/>
      <c r="AB742" s="707"/>
      <c r="AC742" s="656"/>
      <c r="AD742" s="678"/>
      <c r="AE742" s="719"/>
      <c r="AF742" s="719"/>
      <c r="AG742" s="719"/>
      <c r="AH742" s="719"/>
      <c r="AI742" s="719"/>
      <c r="AJ742" s="719"/>
      <c r="AK742" s="719"/>
      <c r="AL742" s="719"/>
    </row>
    <row r="743" spans="1:38" s="45" customFormat="1">
      <c r="A743" s="953" t="s">
        <v>1996</v>
      </c>
      <c r="B743" s="954"/>
      <c r="C743" s="954"/>
      <c r="D743" s="954"/>
      <c r="E743" s="955"/>
      <c r="F743" s="484"/>
      <c r="G743" s="484"/>
      <c r="H743" s="489" t="s">
        <v>44</v>
      </c>
      <c r="I743" s="77" t="s">
        <v>368</v>
      </c>
      <c r="J743" s="364"/>
      <c r="K743" s="166"/>
      <c r="L743" s="364"/>
      <c r="M743" s="93"/>
      <c r="N743" s="93"/>
      <c r="O743" s="77"/>
      <c r="P743" s="590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</row>
    <row r="744" spans="1:38" s="45" customFormat="1" ht="28.5">
      <c r="A744" s="77" t="s">
        <v>1917</v>
      </c>
      <c r="B744" s="486"/>
      <c r="C744" s="77" t="s">
        <v>3</v>
      </c>
      <c r="D744" s="77" t="s">
        <v>4</v>
      </c>
      <c r="E744" s="77" t="s">
        <v>1826</v>
      </c>
      <c r="F744" s="93" t="s">
        <v>3781</v>
      </c>
      <c r="G744" s="93" t="s">
        <v>3783</v>
      </c>
      <c r="H744" s="77" t="s">
        <v>367</v>
      </c>
      <c r="I744" s="123">
        <f>ROUND((E745*H745),2)</f>
        <v>390</v>
      </c>
      <c r="J744" s="364">
        <v>389.99700000000001</v>
      </c>
      <c r="K744" s="45" t="e">
        <f>IF(A745&lt;&gt;0,VLOOKUP(A745,#REF!,2,FALSE),"")</f>
        <v>#REF!</v>
      </c>
      <c r="L744" s="364"/>
      <c r="M744" s="180"/>
      <c r="N744" s="112"/>
      <c r="O744" s="122"/>
      <c r="P744" s="610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11"/>
      <c r="AF744" s="111"/>
      <c r="AG744" s="111"/>
      <c r="AH744" s="111"/>
      <c r="AI744" s="111"/>
      <c r="AJ744" s="111"/>
      <c r="AK744" s="111"/>
      <c r="AL744" s="111"/>
    </row>
    <row r="745" spans="1:38" s="45" customFormat="1" ht="75">
      <c r="A745" s="120">
        <v>4974</v>
      </c>
      <c r="B745" s="109" t="s">
        <v>1997</v>
      </c>
      <c r="C745" s="25" t="s">
        <v>44</v>
      </c>
      <c r="D745" s="111" t="s">
        <v>26</v>
      </c>
      <c r="E745" s="180">
        <v>1</v>
      </c>
      <c r="F745" s="180"/>
      <c r="G745" s="112">
        <f>ROUND(F745*E745,2)</f>
        <v>0</v>
      </c>
      <c r="H745" s="122">
        <f>J744</f>
        <v>389.99700000000001</v>
      </c>
      <c r="I745" s="115">
        <f>ROUND(SUM(I744:I744),2)</f>
        <v>390</v>
      </c>
      <c r="J745" s="364"/>
      <c r="K745" s="166"/>
      <c r="L745" s="364"/>
      <c r="M745" s="364"/>
      <c r="N745" s="115"/>
      <c r="O745" s="507"/>
      <c r="P745" s="611"/>
      <c r="Q745" s="507"/>
      <c r="R745" s="507"/>
      <c r="S745" s="507"/>
      <c r="T745" s="507"/>
      <c r="U745" s="507"/>
      <c r="V745" s="507"/>
      <c r="W745" s="507"/>
      <c r="X745" s="507"/>
      <c r="Y745" s="507"/>
      <c r="Z745" s="507"/>
      <c r="AA745" s="507"/>
      <c r="AB745" s="507"/>
      <c r="AC745" s="507"/>
      <c r="AD745" s="507"/>
      <c r="AE745" s="711"/>
      <c r="AF745" s="711"/>
      <c r="AG745" s="711"/>
      <c r="AH745" s="711"/>
      <c r="AI745" s="711"/>
      <c r="AJ745" s="711"/>
      <c r="AK745" s="711"/>
      <c r="AL745" s="711"/>
    </row>
    <row r="746" spans="1:38">
      <c r="A746" s="956" t="s">
        <v>1894</v>
      </c>
      <c r="B746" s="957"/>
      <c r="C746" s="957"/>
      <c r="D746" s="957"/>
      <c r="E746" s="957"/>
      <c r="F746" s="958"/>
      <c r="G746" s="115">
        <f>ROUND(SUM(G745:G745),2)</f>
        <v>0</v>
      </c>
      <c r="H746" s="507"/>
      <c r="I746" s="131"/>
      <c r="K746" s="29"/>
      <c r="M746" s="131"/>
      <c r="N746" s="131"/>
      <c r="O746" s="133"/>
      <c r="P746" s="612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2"/>
      <c r="AF746" s="132"/>
      <c r="AG746" s="132"/>
      <c r="AH746" s="132"/>
      <c r="AI746" s="132"/>
      <c r="AJ746" s="132"/>
      <c r="AK746" s="132"/>
      <c r="AL746" s="132"/>
    </row>
    <row r="747" spans="1:38">
      <c r="A747" s="132"/>
      <c r="B747" s="132"/>
      <c r="C747" s="131"/>
      <c r="D747" s="131"/>
      <c r="E747" s="131"/>
      <c r="F747" s="131"/>
      <c r="G747" s="131"/>
      <c r="H747" s="133"/>
      <c r="I747" s="131"/>
      <c r="K747" s="29"/>
      <c r="M747" s="131"/>
      <c r="N747" s="131"/>
      <c r="O747" s="133"/>
      <c r="P747" s="612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2"/>
      <c r="AF747" s="132"/>
      <c r="AG747" s="132"/>
      <c r="AH747" s="132"/>
      <c r="AI747" s="132"/>
      <c r="AJ747" s="132"/>
      <c r="AK747" s="132"/>
      <c r="AL747" s="132"/>
    </row>
    <row r="748" spans="1:38" s="45" customFormat="1" ht="47.25" customHeight="1">
      <c r="A748" s="132"/>
      <c r="B748" s="132"/>
      <c r="C748" s="131"/>
      <c r="D748" s="131"/>
      <c r="E748" s="131"/>
      <c r="F748" s="131"/>
      <c r="G748" s="131"/>
      <c r="H748" s="133"/>
      <c r="I748" s="118">
        <v>7967</v>
      </c>
      <c r="J748" s="364"/>
      <c r="K748" s="166"/>
      <c r="L748" s="364"/>
      <c r="M748" s="537"/>
      <c r="N748" s="537"/>
      <c r="O748" s="539"/>
      <c r="P748" s="604"/>
      <c r="Q748" s="546"/>
      <c r="R748" s="546"/>
      <c r="S748" s="546"/>
      <c r="T748" s="572"/>
      <c r="U748" s="572"/>
      <c r="V748" s="656"/>
      <c r="W748" s="719"/>
      <c r="X748" s="707"/>
      <c r="Y748" s="719"/>
      <c r="Z748" s="719"/>
      <c r="AA748" s="707"/>
      <c r="AB748" s="707"/>
      <c r="AC748" s="656"/>
      <c r="AD748" s="678"/>
      <c r="AE748" s="719"/>
      <c r="AF748" s="719"/>
      <c r="AG748" s="719"/>
      <c r="AH748" s="719"/>
      <c r="AI748" s="719"/>
      <c r="AJ748" s="719"/>
      <c r="AK748" s="719"/>
      <c r="AL748" s="719"/>
    </row>
    <row r="749" spans="1:38" s="45" customFormat="1">
      <c r="A749" s="953" t="s">
        <v>350</v>
      </c>
      <c r="B749" s="954"/>
      <c r="C749" s="954"/>
      <c r="D749" s="954"/>
      <c r="E749" s="955"/>
      <c r="F749" s="484"/>
      <c r="G749" s="484"/>
      <c r="H749" s="489" t="s">
        <v>44</v>
      </c>
      <c r="I749" s="77" t="s">
        <v>368</v>
      </c>
      <c r="J749" s="364"/>
      <c r="K749" s="166"/>
      <c r="L749" s="364"/>
      <c r="M749" s="93"/>
      <c r="N749" s="93"/>
      <c r="O749" s="77"/>
      <c r="P749" s="590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</row>
    <row r="750" spans="1:38" s="45" customFormat="1" ht="28.5">
      <c r="A750" s="77" t="s">
        <v>1917</v>
      </c>
      <c r="B750" s="486"/>
      <c r="C750" s="77" t="s">
        <v>3</v>
      </c>
      <c r="D750" s="77" t="s">
        <v>4</v>
      </c>
      <c r="E750" s="77" t="s">
        <v>1826</v>
      </c>
      <c r="F750" s="93" t="s">
        <v>3781</v>
      </c>
      <c r="G750" s="93" t="s">
        <v>3783</v>
      </c>
      <c r="H750" s="77" t="s">
        <v>367</v>
      </c>
      <c r="I750" s="123">
        <f>ROUND((E751*H751),2)</f>
        <v>6.53</v>
      </c>
      <c r="J750" s="364">
        <v>0.81599999999999995</v>
      </c>
      <c r="K750" s="45" t="e">
        <f>IF(A751&lt;&gt;0,VLOOKUP(A751,#REF!,2,FALSE),"")</f>
        <v>#REF!</v>
      </c>
      <c r="L750" s="364"/>
      <c r="M750" s="180"/>
      <c r="N750" s="26"/>
      <c r="O750" s="122"/>
      <c r="P750" s="610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11"/>
      <c r="AF750" s="111"/>
      <c r="AG750" s="111"/>
      <c r="AH750" s="111"/>
      <c r="AI750" s="111"/>
      <c r="AJ750" s="111"/>
      <c r="AK750" s="111"/>
      <c r="AL750" s="111"/>
    </row>
    <row r="751" spans="1:38" s="45" customFormat="1" ht="30">
      <c r="A751" s="781">
        <v>1689</v>
      </c>
      <c r="B751" s="782" t="s">
        <v>589</v>
      </c>
      <c r="C751" s="729" t="s">
        <v>44</v>
      </c>
      <c r="D751" s="781" t="s">
        <v>383</v>
      </c>
      <c r="E751" s="783">
        <v>8</v>
      </c>
      <c r="F751" s="783">
        <v>0.96</v>
      </c>
      <c r="G751" s="731">
        <f>ROUND(F751*E751,2)</f>
        <v>7.68</v>
      </c>
      <c r="H751" s="122">
        <f>J750</f>
        <v>0.81599999999999995</v>
      </c>
      <c r="I751" s="123">
        <f>ROUND((E752*H752),2)</f>
        <v>588.48</v>
      </c>
      <c r="J751" s="364">
        <v>588.48050000000001</v>
      </c>
      <c r="K751" s="45" t="e">
        <f>IF(A752&lt;&gt;0,VLOOKUP(A752,#REF!,2,FALSE),"")</f>
        <v>#REF!</v>
      </c>
      <c r="L751" s="364"/>
      <c r="M751" s="180"/>
      <c r="N751" s="26"/>
      <c r="O751" s="122"/>
      <c r="P751" s="610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11"/>
      <c r="AF751" s="111"/>
      <c r="AG751" s="111"/>
      <c r="AH751" s="111"/>
      <c r="AI751" s="111"/>
      <c r="AJ751" s="111"/>
      <c r="AK751" s="111"/>
      <c r="AL751" s="111"/>
    </row>
    <row r="752" spans="1:38" s="45" customFormat="1" ht="60">
      <c r="A752" s="781">
        <v>7938</v>
      </c>
      <c r="B752" s="782" t="s">
        <v>623</v>
      </c>
      <c r="C752" s="729" t="s">
        <v>44</v>
      </c>
      <c r="D752" s="781" t="s">
        <v>52</v>
      </c>
      <c r="E752" s="783">
        <v>1</v>
      </c>
      <c r="F752" s="783">
        <v>692.33</v>
      </c>
      <c r="G752" s="731">
        <f t="shared" ref="G752:G754" si="176">ROUND(F752*E752,2)</f>
        <v>692.33</v>
      </c>
      <c r="H752" s="122">
        <f>J751</f>
        <v>588.48050000000001</v>
      </c>
      <c r="I752" s="123">
        <f>ROUND((E753*H753),2)</f>
        <v>11.8</v>
      </c>
      <c r="J752" s="364">
        <v>11.798000000000002</v>
      </c>
      <c r="K752" s="45" t="e">
        <f>IF(A753&lt;&gt;0,VLOOKUP(A753,#REF!,2,FALSE),"")</f>
        <v>#REF!</v>
      </c>
      <c r="L752" s="364"/>
      <c r="M752" s="180"/>
      <c r="N752" s="26"/>
      <c r="O752" s="122"/>
      <c r="P752" s="610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11"/>
      <c r="AF752" s="111"/>
      <c r="AG752" s="111"/>
      <c r="AH752" s="111"/>
      <c r="AI752" s="111"/>
      <c r="AJ752" s="111"/>
      <c r="AK752" s="111"/>
      <c r="AL752" s="111"/>
    </row>
    <row r="753" spans="1:38" s="45" customFormat="1">
      <c r="A753" s="641">
        <v>88316</v>
      </c>
      <c r="B753" s="642" t="s">
        <v>377</v>
      </c>
      <c r="C753" s="504" t="s">
        <v>12</v>
      </c>
      <c r="D753" s="643" t="s">
        <v>19</v>
      </c>
      <c r="E753" s="644">
        <v>1</v>
      </c>
      <c r="F753" s="505">
        <f>13.88*0.85*'PLANILHA ORÇA - CORREGEDORIA'!$BH$19</f>
        <v>13.143070685953276</v>
      </c>
      <c r="G753" s="505">
        <f t="shared" si="176"/>
        <v>13.14</v>
      </c>
      <c r="H753" s="122">
        <f>J752</f>
        <v>11.798000000000002</v>
      </c>
      <c r="I753" s="123">
        <f>ROUND((E754*H754),2)</f>
        <v>15.12</v>
      </c>
      <c r="J753" s="364">
        <v>15.121499999999999</v>
      </c>
      <c r="K753" s="45" t="e">
        <f>IF(A754&lt;&gt;0,VLOOKUP(A754,#REF!,2,FALSE),"")</f>
        <v>#REF!</v>
      </c>
      <c r="L753" s="364"/>
      <c r="M753" s="180"/>
      <c r="N753" s="26"/>
      <c r="O753" s="122"/>
      <c r="P753" s="610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11"/>
      <c r="AF753" s="111"/>
      <c r="AG753" s="111"/>
      <c r="AH753" s="111"/>
      <c r="AI753" s="111"/>
      <c r="AJ753" s="111"/>
      <c r="AK753" s="111"/>
      <c r="AL753" s="111"/>
    </row>
    <row r="754" spans="1:38" s="45" customFormat="1">
      <c r="A754" s="641">
        <v>88309</v>
      </c>
      <c r="B754" s="642" t="s">
        <v>390</v>
      </c>
      <c r="C754" s="504" t="s">
        <v>12</v>
      </c>
      <c r="D754" s="643" t="s">
        <v>19</v>
      </c>
      <c r="E754" s="644">
        <v>1</v>
      </c>
      <c r="F754" s="505">
        <f>17.79*0.85*'PLANILHA ORÇA - CORREGEDORIA'!$BH$19</f>
        <v>16.845477485814751</v>
      </c>
      <c r="G754" s="505">
        <f t="shared" si="176"/>
        <v>16.850000000000001</v>
      </c>
      <c r="H754" s="122">
        <f>J753</f>
        <v>15.121499999999999</v>
      </c>
      <c r="I754" s="115">
        <f>ROUND(SUM(I750:I753),2)</f>
        <v>621.92999999999995</v>
      </c>
      <c r="J754" s="364"/>
      <c r="K754" s="166"/>
      <c r="L754" s="364"/>
      <c r="M754" s="364"/>
      <c r="N754" s="115"/>
      <c r="O754" s="507"/>
      <c r="P754" s="611"/>
      <c r="Q754" s="507"/>
      <c r="R754" s="507"/>
      <c r="S754" s="507"/>
      <c r="T754" s="507"/>
      <c r="U754" s="507"/>
      <c r="V754" s="507"/>
      <c r="W754" s="507"/>
      <c r="X754" s="507"/>
      <c r="Y754" s="507"/>
      <c r="Z754" s="507"/>
      <c r="AA754" s="507"/>
      <c r="AB754" s="507"/>
      <c r="AC754" s="507"/>
      <c r="AD754" s="507"/>
      <c r="AE754" s="711"/>
      <c r="AF754" s="711"/>
      <c r="AG754" s="711"/>
      <c r="AH754" s="711"/>
      <c r="AI754" s="711"/>
      <c r="AJ754" s="711"/>
      <c r="AK754" s="711"/>
      <c r="AL754" s="711"/>
    </row>
    <row r="755" spans="1:38">
      <c r="A755" s="956" t="s">
        <v>1894</v>
      </c>
      <c r="B755" s="957"/>
      <c r="C755" s="957"/>
      <c r="D755" s="957"/>
      <c r="E755" s="957"/>
      <c r="F755" s="958"/>
      <c r="G755" s="115">
        <f>ROUND(SUM(G751:G754),2)</f>
        <v>730</v>
      </c>
      <c r="H755" s="507"/>
      <c r="I755" s="131"/>
      <c r="K755" s="29"/>
      <c r="M755" s="131"/>
      <c r="N755" s="131"/>
      <c r="O755" s="133"/>
      <c r="P755" s="612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2"/>
      <c r="AF755" s="132"/>
      <c r="AG755" s="132"/>
      <c r="AH755" s="132"/>
      <c r="AI755" s="132"/>
      <c r="AJ755" s="132"/>
      <c r="AK755" s="132"/>
      <c r="AL755" s="132"/>
    </row>
    <row r="756" spans="1:38">
      <c r="A756" s="132"/>
      <c r="B756" s="132"/>
      <c r="C756" s="131"/>
      <c r="D756" s="131"/>
      <c r="E756" s="131"/>
      <c r="F756" s="131"/>
      <c r="G756" s="131"/>
      <c r="H756" s="133"/>
      <c r="I756" s="131"/>
      <c r="K756" s="29"/>
      <c r="M756" s="131"/>
      <c r="N756" s="131"/>
      <c r="O756" s="133"/>
      <c r="P756" s="612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2"/>
      <c r="AF756" s="132"/>
      <c r="AG756" s="132"/>
      <c r="AH756" s="132"/>
      <c r="AI756" s="132"/>
      <c r="AJ756" s="132"/>
      <c r="AK756" s="132"/>
      <c r="AL756" s="132"/>
    </row>
    <row r="757" spans="1:38" s="45" customFormat="1" ht="42.75" customHeight="1">
      <c r="A757" s="132"/>
      <c r="B757" s="132"/>
      <c r="C757" s="131"/>
      <c r="D757" s="131"/>
      <c r="E757" s="131"/>
      <c r="F757" s="131"/>
      <c r="G757" s="131"/>
      <c r="H757" s="133"/>
      <c r="I757" s="118">
        <v>9744</v>
      </c>
      <c r="J757" s="364"/>
      <c r="L757" s="364"/>
      <c r="M757" s="537"/>
      <c r="N757" s="537"/>
      <c r="O757" s="539"/>
      <c r="P757" s="604"/>
      <c r="Q757" s="546"/>
      <c r="R757" s="546"/>
      <c r="S757" s="546"/>
      <c r="T757" s="572"/>
      <c r="U757" s="572"/>
      <c r="V757" s="656"/>
      <c r="W757" s="719"/>
      <c r="X757" s="707"/>
      <c r="Y757" s="719"/>
      <c r="Z757" s="719"/>
      <c r="AA757" s="707"/>
      <c r="AB757" s="707"/>
      <c r="AC757" s="656"/>
      <c r="AD757" s="678"/>
      <c r="AE757" s="719"/>
      <c r="AF757" s="719"/>
      <c r="AG757" s="719"/>
      <c r="AH757" s="719"/>
      <c r="AI757" s="719"/>
      <c r="AJ757" s="719"/>
      <c r="AK757" s="719"/>
      <c r="AL757" s="719"/>
    </row>
    <row r="758" spans="1:38" s="45" customFormat="1">
      <c r="A758" s="972" t="s">
        <v>3024</v>
      </c>
      <c r="B758" s="973"/>
      <c r="C758" s="973"/>
      <c r="D758" s="973"/>
      <c r="E758" s="974"/>
      <c r="F758" s="484"/>
      <c r="G758" s="484"/>
      <c r="H758" s="489" t="s">
        <v>44</v>
      </c>
      <c r="I758" s="77" t="s">
        <v>368</v>
      </c>
      <c r="J758" s="364"/>
      <c r="L758" s="364"/>
      <c r="M758" s="93"/>
      <c r="N758" s="93"/>
      <c r="O758" s="77"/>
      <c r="P758" s="590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</row>
    <row r="759" spans="1:38" s="45" customFormat="1" ht="28.5">
      <c r="A759" s="77" t="s">
        <v>1917</v>
      </c>
      <c r="B759" s="486"/>
      <c r="C759" s="77" t="s">
        <v>3</v>
      </c>
      <c r="D759" s="77" t="s">
        <v>4</v>
      </c>
      <c r="E759" s="77" t="s">
        <v>1826</v>
      </c>
      <c r="F759" s="93" t="s">
        <v>3781</v>
      </c>
      <c r="G759" s="93" t="s">
        <v>3783</v>
      </c>
      <c r="H759" s="77" t="s">
        <v>367</v>
      </c>
      <c r="I759" s="123">
        <f>ROUND((E760*H760),2)</f>
        <v>80750</v>
      </c>
      <c r="J759" s="364">
        <v>80750</v>
      </c>
      <c r="K759" s="45" t="e">
        <f>IF(A760&lt;&gt;0,VLOOKUP(A760,#REF!,2,FALSE),"")</f>
        <v>#REF!</v>
      </c>
      <c r="L759" s="364"/>
      <c r="M759" s="123"/>
      <c r="N759" s="123"/>
      <c r="O759" s="177"/>
      <c r="P759" s="613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  <c r="AA759" s="177"/>
      <c r="AB759" s="177"/>
      <c r="AC759" s="177"/>
      <c r="AD759" s="177"/>
      <c r="AE759" s="178"/>
      <c r="AF759" s="178"/>
      <c r="AG759" s="178"/>
      <c r="AH759" s="178"/>
      <c r="AI759" s="178"/>
      <c r="AJ759" s="178"/>
      <c r="AK759" s="178"/>
      <c r="AL759" s="178"/>
    </row>
    <row r="760" spans="1:38" s="45" customFormat="1" ht="75">
      <c r="A760" s="120">
        <v>9744</v>
      </c>
      <c r="B760" s="109" t="s">
        <v>2030</v>
      </c>
      <c r="C760" s="25" t="s">
        <v>44</v>
      </c>
      <c r="D760" s="111" t="s">
        <v>17</v>
      </c>
      <c r="E760" s="112">
        <v>1</v>
      </c>
      <c r="F760" s="123">
        <v>182678.16</v>
      </c>
      <c r="G760" s="123">
        <f>F760*E760</f>
        <v>182678.16</v>
      </c>
      <c r="H760" s="177">
        <f>J759</f>
        <v>80750</v>
      </c>
      <c r="I760" s="115">
        <f>ROUND(SUM(I759:I759),2)</f>
        <v>80750</v>
      </c>
      <c r="J760" s="364"/>
      <c r="L760" s="364"/>
      <c r="M760" s="364"/>
      <c r="N760" s="115"/>
      <c r="O760" s="538"/>
      <c r="P760" s="606"/>
      <c r="Q760" s="542"/>
      <c r="R760" s="542"/>
      <c r="S760" s="542"/>
      <c r="T760" s="568"/>
      <c r="U760" s="568"/>
      <c r="V760" s="652"/>
      <c r="W760" s="718"/>
      <c r="X760" s="706"/>
      <c r="Y760" s="718"/>
      <c r="Z760" s="718"/>
      <c r="AA760" s="706"/>
      <c r="AB760" s="706"/>
      <c r="AC760" s="652"/>
      <c r="AD760" s="677"/>
      <c r="AE760" s="718"/>
      <c r="AF760" s="718"/>
      <c r="AG760" s="718"/>
      <c r="AH760" s="718"/>
      <c r="AI760" s="718"/>
      <c r="AJ760" s="718"/>
      <c r="AK760" s="718"/>
      <c r="AL760" s="718"/>
    </row>
    <row r="761" spans="1:38" ht="28.5" customHeight="1">
      <c r="A761" s="956" t="s">
        <v>1894</v>
      </c>
      <c r="B761" s="957"/>
      <c r="C761" s="957"/>
      <c r="D761" s="957"/>
      <c r="E761" s="957"/>
      <c r="F761" s="958"/>
      <c r="G761" s="115">
        <f>ROUND(SUM(G760:G760),2)</f>
        <v>182678.16</v>
      </c>
      <c r="H761" s="487"/>
      <c r="I761" s="131"/>
      <c r="M761" s="131"/>
      <c r="N761" s="131"/>
      <c r="O761" s="133"/>
      <c r="P761" s="612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2"/>
      <c r="AF761" s="132"/>
      <c r="AG761" s="132"/>
      <c r="AH761" s="132"/>
      <c r="AI761" s="132"/>
      <c r="AJ761" s="132"/>
      <c r="AK761" s="132"/>
      <c r="AL761" s="132"/>
    </row>
    <row r="762" spans="1:38" s="45" customFormat="1">
      <c r="A762" s="132"/>
      <c r="B762" s="132"/>
      <c r="C762" s="131"/>
      <c r="D762" s="131"/>
      <c r="E762" s="131"/>
      <c r="F762" s="131"/>
      <c r="G762" s="131"/>
      <c r="H762" s="133"/>
      <c r="I762" s="118">
        <v>1843</v>
      </c>
      <c r="J762" s="364"/>
      <c r="L762" s="364"/>
      <c r="M762" s="537"/>
      <c r="N762" s="537"/>
      <c r="O762" s="539"/>
      <c r="P762" s="604"/>
      <c r="Q762" s="546"/>
      <c r="R762" s="546"/>
      <c r="S762" s="546"/>
      <c r="T762" s="572"/>
      <c r="U762" s="572"/>
      <c r="V762" s="656"/>
      <c r="W762" s="719"/>
      <c r="X762" s="707"/>
      <c r="Y762" s="719"/>
      <c r="Z762" s="719"/>
      <c r="AA762" s="707"/>
      <c r="AB762" s="707"/>
      <c r="AC762" s="656"/>
      <c r="AD762" s="678"/>
      <c r="AE762" s="719"/>
      <c r="AF762" s="719"/>
      <c r="AG762" s="719"/>
      <c r="AH762" s="719"/>
      <c r="AI762" s="719"/>
      <c r="AJ762" s="719"/>
      <c r="AK762" s="719"/>
      <c r="AL762" s="719"/>
    </row>
    <row r="763" spans="1:38" s="45" customFormat="1">
      <c r="A763" s="953" t="s">
        <v>2687</v>
      </c>
      <c r="B763" s="954"/>
      <c r="C763" s="954"/>
      <c r="D763" s="954"/>
      <c r="E763" s="955"/>
      <c r="F763" s="484"/>
      <c r="G763" s="484"/>
      <c r="H763" s="489" t="s">
        <v>44</v>
      </c>
      <c r="I763" s="77" t="s">
        <v>368</v>
      </c>
      <c r="J763" s="364"/>
      <c r="L763" s="364"/>
      <c r="M763" s="93"/>
      <c r="N763" s="93"/>
      <c r="O763" s="77"/>
      <c r="P763" s="590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</row>
    <row r="764" spans="1:38" s="45" customFormat="1" ht="28.5">
      <c r="A764" s="77" t="s">
        <v>1917</v>
      </c>
      <c r="B764" s="486"/>
      <c r="C764" s="77" t="s">
        <v>3</v>
      </c>
      <c r="D764" s="77" t="s">
        <v>4</v>
      </c>
      <c r="E764" s="77" t="s">
        <v>1826</v>
      </c>
      <c r="F764" s="93" t="s">
        <v>3781</v>
      </c>
      <c r="G764" s="93" t="s">
        <v>3783</v>
      </c>
      <c r="H764" s="77" t="s">
        <v>367</v>
      </c>
      <c r="I764" s="123">
        <f>ROUND((E765*H765),2)</f>
        <v>8421.61</v>
      </c>
      <c r="J764" s="364">
        <v>8421.6130000000012</v>
      </c>
      <c r="K764" s="45" t="e">
        <f>IF(A765&lt;&gt;0,VLOOKUP(A765,#REF!,2,FALSE),"")</f>
        <v>#REF!</v>
      </c>
      <c r="L764" s="364"/>
      <c r="M764" s="123"/>
      <c r="N764" s="123"/>
      <c r="O764" s="123"/>
      <c r="P764" s="614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254"/>
      <c r="AF764" s="254"/>
      <c r="AG764" s="254"/>
      <c r="AH764" s="254"/>
      <c r="AI764" s="254"/>
      <c r="AJ764" s="254"/>
      <c r="AK764" s="254"/>
      <c r="AL764" s="254"/>
    </row>
    <row r="765" spans="1:38" s="45" customFormat="1" ht="30">
      <c r="A765" s="120">
        <v>1843</v>
      </c>
      <c r="B765" s="109" t="s">
        <v>2688</v>
      </c>
      <c r="C765" s="25" t="s">
        <v>44</v>
      </c>
      <c r="D765" s="111" t="s">
        <v>17</v>
      </c>
      <c r="E765" s="112">
        <v>1</v>
      </c>
      <c r="F765" s="123">
        <v>12353.6</v>
      </c>
      <c r="G765" s="123">
        <f>F765</f>
        <v>12353.6</v>
      </c>
      <c r="H765" s="123">
        <f>J764</f>
        <v>8421.6130000000012</v>
      </c>
      <c r="I765" s="115">
        <f>ROUND(SUM(I764:I764),2)</f>
        <v>8421.61</v>
      </c>
      <c r="J765" s="364"/>
      <c r="L765" s="364"/>
      <c r="M765" s="364"/>
      <c r="N765" s="115"/>
      <c r="O765" s="534"/>
      <c r="P765" s="615"/>
      <c r="Q765" s="541"/>
      <c r="R765" s="541"/>
      <c r="S765" s="541"/>
      <c r="T765" s="567"/>
      <c r="U765" s="567"/>
      <c r="V765" s="651"/>
      <c r="W765" s="711"/>
      <c r="X765" s="703"/>
      <c r="Y765" s="711"/>
      <c r="Z765" s="711"/>
      <c r="AA765" s="703"/>
      <c r="AB765" s="703"/>
      <c r="AC765" s="651"/>
      <c r="AD765" s="673"/>
      <c r="AE765" s="711"/>
      <c r="AF765" s="711"/>
      <c r="AG765" s="711"/>
      <c r="AH765" s="711"/>
      <c r="AI765" s="711"/>
      <c r="AJ765" s="711"/>
      <c r="AK765" s="711"/>
      <c r="AL765" s="711"/>
    </row>
    <row r="766" spans="1:38" ht="27.75" customHeight="1">
      <c r="A766" s="956" t="s">
        <v>1894</v>
      </c>
      <c r="B766" s="957"/>
      <c r="C766" s="957"/>
      <c r="D766" s="957"/>
      <c r="E766" s="957"/>
      <c r="F766" s="958"/>
      <c r="G766" s="115">
        <f>ROUND(SUM(G765:G765),2)</f>
        <v>12353.6</v>
      </c>
      <c r="H766" s="494"/>
      <c r="I766" s="131"/>
      <c r="M766" s="131"/>
      <c r="N766" s="131"/>
      <c r="O766" s="133"/>
      <c r="P766" s="612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2"/>
      <c r="AF766" s="132"/>
      <c r="AG766" s="132"/>
      <c r="AH766" s="132"/>
      <c r="AI766" s="132"/>
      <c r="AJ766" s="132"/>
      <c r="AK766" s="132"/>
      <c r="AL766" s="132"/>
    </row>
    <row r="767" spans="1:38" s="45" customFormat="1" ht="49.5" customHeight="1">
      <c r="A767" s="132"/>
      <c r="B767" s="132"/>
      <c r="C767" s="131"/>
      <c r="D767" s="131"/>
      <c r="E767" s="131"/>
      <c r="F767" s="131"/>
      <c r="G767" s="131"/>
      <c r="H767" s="133"/>
      <c r="I767" s="118">
        <v>11064</v>
      </c>
      <c r="J767" s="364"/>
      <c r="L767" s="364"/>
      <c r="M767" s="537"/>
      <c r="N767" s="537"/>
      <c r="O767" s="539"/>
      <c r="P767" s="604"/>
      <c r="Q767" s="546"/>
      <c r="R767" s="546"/>
      <c r="S767" s="546"/>
      <c r="T767" s="572"/>
      <c r="U767" s="572"/>
      <c r="V767" s="656"/>
      <c r="W767" s="719"/>
      <c r="X767" s="707"/>
      <c r="Y767" s="719"/>
      <c r="Z767" s="719"/>
      <c r="AA767" s="707"/>
      <c r="AB767" s="707"/>
      <c r="AC767" s="656"/>
      <c r="AD767" s="678"/>
      <c r="AE767" s="719"/>
      <c r="AF767" s="719"/>
      <c r="AG767" s="719"/>
      <c r="AH767" s="719"/>
      <c r="AI767" s="719"/>
      <c r="AJ767" s="719"/>
      <c r="AK767" s="719"/>
      <c r="AL767" s="719"/>
    </row>
    <row r="768" spans="1:38" s="45" customFormat="1">
      <c r="A768" s="953" t="s">
        <v>2209</v>
      </c>
      <c r="B768" s="954"/>
      <c r="C768" s="954"/>
      <c r="D768" s="954"/>
      <c r="E768" s="955"/>
      <c r="F768" s="484"/>
      <c r="G768" s="484"/>
      <c r="H768" s="489" t="s">
        <v>44</v>
      </c>
      <c r="I768" s="77" t="s">
        <v>368</v>
      </c>
      <c r="J768" s="364"/>
      <c r="L768" s="364"/>
      <c r="M768" s="93"/>
      <c r="N768" s="93"/>
      <c r="O768" s="77"/>
      <c r="P768" s="590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</row>
    <row r="769" spans="1:38" s="45" customFormat="1" ht="28.5">
      <c r="A769" s="77" t="s">
        <v>1917</v>
      </c>
      <c r="B769" s="486"/>
      <c r="C769" s="77" t="s">
        <v>3</v>
      </c>
      <c r="D769" s="77" t="s">
        <v>4</v>
      </c>
      <c r="E769" s="77" t="s">
        <v>1826</v>
      </c>
      <c r="F769" s="93" t="s">
        <v>3781</v>
      </c>
      <c r="G769" s="93" t="s">
        <v>3783</v>
      </c>
      <c r="H769" s="77" t="s">
        <v>367</v>
      </c>
      <c r="I769" s="123">
        <f>ROUND((E770*H770),2)</f>
        <v>17600.150000000001</v>
      </c>
      <c r="J769" s="364">
        <v>17600.151000000002</v>
      </c>
      <c r="K769" s="45" t="e">
        <f>IF(A770&lt;&gt;0,VLOOKUP(A770,#REF!,2,FALSE),"")</f>
        <v>#REF!</v>
      </c>
      <c r="L769" s="364"/>
      <c r="M769" s="112"/>
      <c r="N769" s="112"/>
      <c r="O769" s="177"/>
      <c r="P769" s="613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  <c r="AA769" s="177"/>
      <c r="AB769" s="177"/>
      <c r="AC769" s="177"/>
      <c r="AD769" s="177"/>
      <c r="AE769" s="178"/>
      <c r="AF769" s="178"/>
      <c r="AG769" s="178"/>
      <c r="AH769" s="178"/>
      <c r="AI769" s="178"/>
      <c r="AJ769" s="178"/>
      <c r="AK769" s="178"/>
      <c r="AL769" s="178"/>
    </row>
    <row r="770" spans="1:38" s="45" customFormat="1" ht="60">
      <c r="A770" s="120">
        <v>11064</v>
      </c>
      <c r="B770" s="109" t="s">
        <v>2582</v>
      </c>
      <c r="C770" s="25" t="s">
        <v>44</v>
      </c>
      <c r="D770" s="111" t="s">
        <v>17</v>
      </c>
      <c r="E770" s="112">
        <v>1</v>
      </c>
      <c r="F770" s="123">
        <v>8300</v>
      </c>
      <c r="G770" s="123">
        <f>F770</f>
        <v>8300</v>
      </c>
      <c r="H770" s="177">
        <f>J769</f>
        <v>17600.151000000002</v>
      </c>
      <c r="I770" s="115">
        <f>ROUND(SUM(I769:I769),2)</f>
        <v>17600.150000000001</v>
      </c>
      <c r="J770" s="364"/>
      <c r="L770" s="364"/>
      <c r="M770" s="364"/>
      <c r="N770" s="364"/>
      <c r="O770" s="364"/>
      <c r="P770" s="587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  <c r="AA770" s="364"/>
      <c r="AB770" s="364"/>
      <c r="AC770" s="364"/>
      <c r="AD770" s="364"/>
      <c r="AE770" s="724"/>
      <c r="AF770" s="724"/>
      <c r="AG770" s="724"/>
      <c r="AH770" s="724"/>
      <c r="AI770" s="724"/>
      <c r="AJ770" s="724"/>
      <c r="AK770" s="724"/>
      <c r="AL770" s="724"/>
    </row>
    <row r="771" spans="1:38" ht="28.5" customHeight="1">
      <c r="A771" s="956" t="s">
        <v>1894</v>
      </c>
      <c r="B771" s="957"/>
      <c r="C771" s="957"/>
      <c r="D771" s="957"/>
      <c r="E771" s="957"/>
      <c r="F771" s="958"/>
      <c r="G771" s="115">
        <f>ROUND(SUM(G770:G770),2)</f>
        <v>8300</v>
      </c>
      <c r="H771" s="507"/>
      <c r="I771" s="131"/>
      <c r="M771" s="131"/>
      <c r="N771" s="131"/>
      <c r="O771" s="133"/>
      <c r="P771" s="612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2"/>
      <c r="AF771" s="132"/>
      <c r="AG771" s="132"/>
      <c r="AH771" s="132"/>
      <c r="AI771" s="132"/>
      <c r="AJ771" s="132"/>
      <c r="AK771" s="132"/>
      <c r="AL771" s="132"/>
    </row>
    <row r="772" spans="1:38" s="45" customFormat="1" ht="46.5" customHeight="1">
      <c r="A772" s="132"/>
      <c r="B772" s="132"/>
      <c r="C772" s="131"/>
      <c r="D772" s="131"/>
      <c r="E772" s="131"/>
      <c r="F772" s="131"/>
      <c r="G772" s="131"/>
      <c r="H772" s="133"/>
      <c r="I772" s="118">
        <v>10481</v>
      </c>
      <c r="J772" s="364"/>
      <c r="L772" s="364"/>
      <c r="M772" s="537"/>
      <c r="N772" s="537"/>
      <c r="O772" s="539"/>
      <c r="P772" s="604"/>
      <c r="Q772" s="546"/>
      <c r="R772" s="546"/>
      <c r="S772" s="546"/>
      <c r="T772" s="572"/>
      <c r="U772" s="572"/>
      <c r="V772" s="656"/>
      <c r="W772" s="719"/>
      <c r="X772" s="707"/>
      <c r="Y772" s="719"/>
      <c r="Z772" s="719"/>
      <c r="AA772" s="707"/>
      <c r="AB772" s="707"/>
      <c r="AC772" s="656"/>
      <c r="AD772" s="678"/>
      <c r="AE772" s="719"/>
      <c r="AF772" s="719"/>
      <c r="AG772" s="719"/>
      <c r="AH772" s="719"/>
      <c r="AI772" s="719"/>
      <c r="AJ772" s="719"/>
      <c r="AK772" s="719"/>
      <c r="AL772" s="719"/>
    </row>
    <row r="773" spans="1:38" s="45" customFormat="1">
      <c r="A773" s="953" t="s">
        <v>2561</v>
      </c>
      <c r="B773" s="954"/>
      <c r="C773" s="954"/>
      <c r="D773" s="954"/>
      <c r="E773" s="954"/>
      <c r="F773" s="484"/>
      <c r="G773" s="484"/>
      <c r="H773" s="489" t="s">
        <v>44</v>
      </c>
      <c r="I773" s="200" t="s">
        <v>1894</v>
      </c>
      <c r="J773" s="364"/>
      <c r="L773" s="364"/>
      <c r="M773" s="93"/>
      <c r="N773" s="93"/>
      <c r="O773" s="199"/>
      <c r="P773" s="616"/>
      <c r="Q773" s="199"/>
      <c r="R773" s="199"/>
      <c r="S773" s="199"/>
      <c r="T773" s="199"/>
      <c r="U773" s="199"/>
      <c r="V773" s="199"/>
      <c r="W773" s="199"/>
      <c r="X773" s="199"/>
      <c r="Y773" s="199"/>
      <c r="Z773" s="199"/>
      <c r="AA773" s="199"/>
      <c r="AB773" s="199"/>
      <c r="AC773" s="199"/>
      <c r="AD773" s="199"/>
      <c r="AE773" s="200"/>
      <c r="AF773" s="200"/>
      <c r="AG773" s="200"/>
      <c r="AH773" s="200"/>
      <c r="AI773" s="200"/>
      <c r="AJ773" s="200"/>
      <c r="AK773" s="200"/>
      <c r="AL773" s="200"/>
    </row>
    <row r="774" spans="1:38" s="45" customFormat="1" ht="28.5">
      <c r="A774" s="983" t="s">
        <v>1916</v>
      </c>
      <c r="B774" s="983"/>
      <c r="C774" s="197" t="s">
        <v>1917</v>
      </c>
      <c r="D774" s="197" t="s">
        <v>1893</v>
      </c>
      <c r="E774" s="198" t="s">
        <v>1918</v>
      </c>
      <c r="F774" s="93" t="s">
        <v>3781</v>
      </c>
      <c r="G774" s="93" t="s">
        <v>3783</v>
      </c>
      <c r="H774" s="199" t="s">
        <v>372</v>
      </c>
      <c r="I774" s="123">
        <f>ROUND((E775*H775),2)</f>
        <v>4369.8</v>
      </c>
      <c r="J774" s="364">
        <v>4369.799</v>
      </c>
      <c r="K774" s="45" t="e">
        <f>IF(A775&lt;&gt;0,VLOOKUP(A775,#REF!,2,FALSE),"")</f>
        <v>#REF!</v>
      </c>
      <c r="L774" s="364"/>
      <c r="M774" s="123"/>
      <c r="N774" s="123"/>
      <c r="O774" s="123"/>
      <c r="P774" s="614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254"/>
      <c r="AF774" s="254"/>
      <c r="AG774" s="254"/>
      <c r="AH774" s="254"/>
      <c r="AI774" s="254"/>
      <c r="AJ774" s="254"/>
      <c r="AK774" s="254"/>
      <c r="AL774" s="254"/>
    </row>
    <row r="775" spans="1:38" s="45" customFormat="1" ht="45">
      <c r="A775" s="120">
        <v>10481</v>
      </c>
      <c r="B775" s="109" t="s">
        <v>2560</v>
      </c>
      <c r="C775" s="25" t="s">
        <v>44</v>
      </c>
      <c r="D775" s="111" t="s">
        <v>238</v>
      </c>
      <c r="E775" s="112">
        <v>1</v>
      </c>
      <c r="F775" s="123">
        <v>943.48</v>
      </c>
      <c r="G775" s="123">
        <f>ROUND(F775*E775,2)</f>
        <v>943.48</v>
      </c>
      <c r="H775" s="123">
        <f>J774</f>
        <v>4369.799</v>
      </c>
      <c r="I775" s="25">
        <f>ROUND(H776*E776,2)</f>
        <v>15.25</v>
      </c>
      <c r="J775" s="364">
        <v>15.249000000000001</v>
      </c>
      <c r="K775" s="45" t="e">
        <f>IF(A776&lt;&gt;0,VLOOKUP(A776,#REF!,2,FALSE),"")</f>
        <v>#REF!</v>
      </c>
      <c r="L775" s="364"/>
      <c r="M775" s="26"/>
      <c r="N775" s="26"/>
      <c r="O775" s="25"/>
      <c r="P775" s="617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s="45" customFormat="1" ht="30">
      <c r="A776" s="100">
        <v>88264</v>
      </c>
      <c r="B776" s="109" t="s">
        <v>379</v>
      </c>
      <c r="C776" s="25" t="s">
        <v>12</v>
      </c>
      <c r="D776" s="25" t="s">
        <v>19</v>
      </c>
      <c r="E776" s="25">
        <v>1</v>
      </c>
      <c r="F776" s="505">
        <f>17.94*0.85*'PLANILHA ORÇA - CORREGEDORIA'!$BH$19</f>
        <v>16.987513552305604</v>
      </c>
      <c r="G776" s="26">
        <f>ROUND(F776*E776,2)</f>
        <v>16.989999999999998</v>
      </c>
      <c r="H776" s="25">
        <f t="shared" ref="H776" si="177">J775</f>
        <v>15.249000000000001</v>
      </c>
      <c r="I776" s="115">
        <f>ROUND(SUM(I774:I775),2)</f>
        <v>4385.05</v>
      </c>
      <c r="J776" s="364"/>
      <c r="L776" s="364"/>
      <c r="M776" s="364"/>
      <c r="N776" s="115"/>
      <c r="O776" s="507"/>
      <c r="P776" s="611"/>
      <c r="Q776" s="507"/>
      <c r="R776" s="507"/>
      <c r="S776" s="507"/>
      <c r="T776" s="507"/>
      <c r="U776" s="507"/>
      <c r="V776" s="507"/>
      <c r="W776" s="507"/>
      <c r="X776" s="507"/>
      <c r="Y776" s="507"/>
      <c r="Z776" s="507"/>
      <c r="AA776" s="507"/>
      <c r="AB776" s="507"/>
      <c r="AC776" s="507"/>
      <c r="AD776" s="507"/>
      <c r="AE776" s="711"/>
      <c r="AF776" s="711"/>
      <c r="AG776" s="711"/>
      <c r="AH776" s="711"/>
      <c r="AI776" s="711"/>
      <c r="AJ776" s="711"/>
      <c r="AK776" s="711"/>
      <c r="AL776" s="711"/>
    </row>
    <row r="777" spans="1:38" ht="28.5" customHeight="1">
      <c r="A777" s="956" t="s">
        <v>1894</v>
      </c>
      <c r="B777" s="957"/>
      <c r="C777" s="957"/>
      <c r="D777" s="957"/>
      <c r="E777" s="957"/>
      <c r="F777" s="958"/>
      <c r="G777" s="115">
        <f>ROUND(SUM(G775:G776),2)</f>
        <v>960.47</v>
      </c>
      <c r="H777" s="507"/>
      <c r="I777" s="27"/>
      <c r="M777" s="27"/>
      <c r="N777" s="27"/>
      <c r="O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108"/>
      <c r="AF777" s="108"/>
      <c r="AG777" s="108"/>
      <c r="AH777" s="108"/>
      <c r="AI777" s="108"/>
      <c r="AJ777" s="108"/>
      <c r="AK777" s="108"/>
      <c r="AL777" s="108"/>
    </row>
    <row r="778" spans="1:38" s="45" customFormat="1">
      <c r="A778" s="108"/>
      <c r="B778" s="27"/>
      <c r="C778" s="27"/>
      <c r="D778" s="27"/>
      <c r="E778" s="27"/>
      <c r="F778" s="27"/>
      <c r="G778" s="27"/>
      <c r="H778" s="27"/>
      <c r="I778" s="118" t="s">
        <v>2569</v>
      </c>
      <c r="J778" s="364"/>
      <c r="K778" s="166"/>
      <c r="L778" s="364"/>
      <c r="M778" s="537"/>
      <c r="N778" s="537"/>
      <c r="O778" s="539"/>
      <c r="P778" s="604"/>
      <c r="Q778" s="546"/>
      <c r="R778" s="546"/>
      <c r="S778" s="546"/>
      <c r="T778" s="572"/>
      <c r="U778" s="572"/>
      <c r="V778" s="656"/>
      <c r="W778" s="719"/>
      <c r="X778" s="707"/>
      <c r="Y778" s="719"/>
      <c r="Z778" s="719"/>
      <c r="AA778" s="707"/>
      <c r="AB778" s="707"/>
      <c r="AC778" s="656"/>
      <c r="AD778" s="678"/>
      <c r="AE778" s="719"/>
      <c r="AF778" s="719"/>
      <c r="AG778" s="719"/>
      <c r="AH778" s="719"/>
      <c r="AI778" s="719"/>
      <c r="AJ778" s="719"/>
      <c r="AK778" s="719"/>
      <c r="AL778" s="719"/>
    </row>
    <row r="779" spans="1:38" s="45" customFormat="1">
      <c r="A779" s="953" t="s">
        <v>2572</v>
      </c>
      <c r="B779" s="954"/>
      <c r="C779" s="954"/>
      <c r="D779" s="954"/>
      <c r="E779" s="955"/>
      <c r="F779" s="484"/>
      <c r="G779" s="484"/>
      <c r="H779" s="489" t="s">
        <v>1915</v>
      </c>
      <c r="I779" s="77" t="s">
        <v>368</v>
      </c>
      <c r="J779" s="364"/>
      <c r="K779" s="166"/>
      <c r="L779" s="364"/>
      <c r="M779" s="93"/>
      <c r="N779" s="93"/>
      <c r="O779" s="77"/>
      <c r="P779" s="590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</row>
    <row r="780" spans="1:38" s="45" customFormat="1" ht="28.5">
      <c r="A780" s="77" t="s">
        <v>1917</v>
      </c>
      <c r="B780" s="486"/>
      <c r="C780" s="77" t="s">
        <v>3</v>
      </c>
      <c r="D780" s="77" t="s">
        <v>4</v>
      </c>
      <c r="E780" s="77" t="s">
        <v>1826</v>
      </c>
      <c r="F780" s="93" t="s">
        <v>3781</v>
      </c>
      <c r="G780" s="93" t="s">
        <v>3783</v>
      </c>
      <c r="H780" s="77" t="s">
        <v>367</v>
      </c>
      <c r="I780" s="129">
        <f>ROUND((E781*H781),2)</f>
        <v>39969.550000000003</v>
      </c>
      <c r="J780" s="364">
        <v>39969.550000000003</v>
      </c>
      <c r="K780" s="166"/>
      <c r="L780" s="364"/>
      <c r="M780" s="129"/>
      <c r="N780" s="129"/>
      <c r="O780" s="129"/>
      <c r="P780" s="618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</row>
    <row r="781" spans="1:38" s="45" customFormat="1" ht="30">
      <c r="A781" s="110" t="s">
        <v>1920</v>
      </c>
      <c r="B781" s="183" t="s">
        <v>2668</v>
      </c>
      <c r="C781" s="25" t="s">
        <v>634</v>
      </c>
      <c r="D781" s="126" t="s">
        <v>238</v>
      </c>
      <c r="E781" s="127">
        <v>1</v>
      </c>
      <c r="F781" s="129">
        <v>38678.550000000003</v>
      </c>
      <c r="G781" s="129">
        <f>F781</f>
        <v>38678.550000000003</v>
      </c>
      <c r="H781" s="129">
        <f>J780</f>
        <v>39969.550000000003</v>
      </c>
      <c r="I781" s="130">
        <f>ROUND(I780,2)</f>
        <v>39969.550000000003</v>
      </c>
      <c r="J781" s="364"/>
      <c r="K781" s="166"/>
      <c r="L781" s="364"/>
      <c r="M781" s="364"/>
      <c r="N781" s="130"/>
      <c r="O781" s="534"/>
      <c r="P781" s="615"/>
      <c r="Q781" s="541"/>
      <c r="R781" s="541"/>
      <c r="S781" s="541"/>
      <c r="T781" s="567"/>
      <c r="U781" s="567"/>
      <c r="V781" s="651"/>
      <c r="W781" s="711"/>
      <c r="X781" s="703"/>
      <c r="Y781" s="711"/>
      <c r="Z781" s="711"/>
      <c r="AA781" s="703"/>
      <c r="AB781" s="703"/>
      <c r="AC781" s="651"/>
      <c r="AD781" s="673"/>
      <c r="AE781" s="711"/>
      <c r="AF781" s="711"/>
      <c r="AG781" s="711"/>
      <c r="AH781" s="711"/>
      <c r="AI781" s="711"/>
      <c r="AJ781" s="711"/>
      <c r="AK781" s="711"/>
      <c r="AL781" s="711"/>
    </row>
    <row r="782" spans="1:38" ht="23.25" customHeight="1">
      <c r="A782" s="956" t="s">
        <v>1894</v>
      </c>
      <c r="B782" s="957"/>
      <c r="C782" s="957"/>
      <c r="D782" s="957"/>
      <c r="E782" s="957"/>
      <c r="F782" s="957"/>
      <c r="G782" s="130">
        <f>ROUND(G781,2)</f>
        <v>38678.550000000003</v>
      </c>
      <c r="H782" s="488"/>
      <c r="I782" s="27"/>
      <c r="M782" s="27"/>
      <c r="N782" s="27"/>
      <c r="O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108"/>
      <c r="AF782" s="108"/>
      <c r="AG782" s="108"/>
      <c r="AH782" s="108"/>
      <c r="AI782" s="108"/>
      <c r="AJ782" s="108"/>
      <c r="AK782" s="108"/>
      <c r="AL782" s="108"/>
    </row>
    <row r="783" spans="1:38" s="45" customFormat="1">
      <c r="A783" s="108"/>
      <c r="B783" s="27"/>
      <c r="C783" s="27"/>
      <c r="D783" s="27"/>
      <c r="E783" s="27"/>
      <c r="F783" s="27"/>
      <c r="G783" s="27"/>
      <c r="H783" s="27"/>
      <c r="I783" s="118" t="s">
        <v>2570</v>
      </c>
      <c r="J783" s="364"/>
      <c r="L783" s="364"/>
      <c r="M783" s="537"/>
      <c r="N783" s="537"/>
      <c r="O783" s="539"/>
      <c r="P783" s="604"/>
      <c r="Q783" s="546"/>
      <c r="R783" s="546"/>
      <c r="S783" s="546"/>
      <c r="T783" s="572"/>
      <c r="U783" s="572"/>
      <c r="V783" s="656"/>
      <c r="W783" s="719"/>
      <c r="X783" s="707"/>
      <c r="Y783" s="719"/>
      <c r="Z783" s="719"/>
      <c r="AA783" s="707"/>
      <c r="AB783" s="707"/>
      <c r="AC783" s="656"/>
      <c r="AD783" s="678"/>
      <c r="AE783" s="719"/>
      <c r="AF783" s="719"/>
      <c r="AG783" s="719"/>
      <c r="AH783" s="719"/>
      <c r="AI783" s="719"/>
      <c r="AJ783" s="719"/>
      <c r="AK783" s="719"/>
      <c r="AL783" s="719"/>
    </row>
    <row r="784" spans="1:38" s="45" customFormat="1">
      <c r="A784" s="953" t="s">
        <v>2573</v>
      </c>
      <c r="B784" s="954"/>
      <c r="C784" s="954"/>
      <c r="D784" s="954"/>
      <c r="E784" s="955"/>
      <c r="F784" s="484"/>
      <c r="G784" s="484"/>
      <c r="H784" s="489" t="s">
        <v>1915</v>
      </c>
      <c r="I784" s="77" t="s">
        <v>368</v>
      </c>
      <c r="J784" s="364"/>
      <c r="L784" s="364"/>
      <c r="M784" s="93"/>
      <c r="N784" s="93"/>
      <c r="O784" s="77"/>
      <c r="P784" s="590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</row>
    <row r="785" spans="1:38" s="45" customFormat="1" ht="28.5">
      <c r="A785" s="77" t="s">
        <v>1917</v>
      </c>
      <c r="B785" s="486"/>
      <c r="C785" s="77" t="s">
        <v>3</v>
      </c>
      <c r="D785" s="77" t="s">
        <v>4</v>
      </c>
      <c r="E785" s="77" t="s">
        <v>1826</v>
      </c>
      <c r="F785" s="93" t="s">
        <v>3781</v>
      </c>
      <c r="G785" s="93" t="s">
        <v>3783</v>
      </c>
      <c r="H785" s="77" t="s">
        <v>367</v>
      </c>
      <c r="I785" s="129">
        <f>ROUND((E786*H786),2)</f>
        <v>28041.5</v>
      </c>
      <c r="J785" s="364">
        <v>28041.5</v>
      </c>
      <c r="L785" s="364"/>
      <c r="M785" s="480"/>
      <c r="N785" s="480"/>
      <c r="O785" s="177"/>
      <c r="P785" s="613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  <c r="AA785" s="177"/>
      <c r="AB785" s="177"/>
      <c r="AC785" s="177"/>
      <c r="AD785" s="177"/>
      <c r="AE785" s="178"/>
      <c r="AF785" s="178"/>
      <c r="AG785" s="178"/>
      <c r="AH785" s="178"/>
      <c r="AI785" s="178"/>
      <c r="AJ785" s="178"/>
      <c r="AK785" s="178"/>
      <c r="AL785" s="178"/>
    </row>
    <row r="786" spans="1:38" s="45" customFormat="1" ht="30">
      <c r="A786" s="110" t="s">
        <v>1920</v>
      </c>
      <c r="B786" s="183" t="s">
        <v>2576</v>
      </c>
      <c r="C786" s="25" t="s">
        <v>634</v>
      </c>
      <c r="D786" s="126" t="s">
        <v>238</v>
      </c>
      <c r="E786" s="127">
        <v>1</v>
      </c>
      <c r="F786" s="480">
        <v>42843.05</v>
      </c>
      <c r="G786" s="480">
        <f>F786</f>
        <v>42843.05</v>
      </c>
      <c r="H786" s="177">
        <f>J785</f>
        <v>28041.5</v>
      </c>
      <c r="I786" s="130">
        <f>ROUND(I785,2)</f>
        <v>28041.5</v>
      </c>
      <c r="J786" s="364"/>
      <c r="L786" s="364"/>
      <c r="M786" s="364"/>
      <c r="N786" s="130"/>
      <c r="O786" s="534"/>
      <c r="P786" s="615"/>
      <c r="Q786" s="541"/>
      <c r="R786" s="541"/>
      <c r="S786" s="541"/>
      <c r="T786" s="567"/>
      <c r="U786" s="567"/>
      <c r="V786" s="651"/>
      <c r="W786" s="711"/>
      <c r="X786" s="703"/>
      <c r="Y786" s="711"/>
      <c r="Z786" s="711"/>
      <c r="AA786" s="703"/>
      <c r="AB786" s="703"/>
      <c r="AC786" s="651"/>
      <c r="AD786" s="673"/>
      <c r="AE786" s="711"/>
      <c r="AF786" s="711"/>
      <c r="AG786" s="711"/>
      <c r="AH786" s="711"/>
      <c r="AI786" s="711"/>
      <c r="AJ786" s="711"/>
      <c r="AK786" s="711"/>
      <c r="AL786" s="711"/>
    </row>
    <row r="787" spans="1:38" ht="24.75" customHeight="1">
      <c r="A787" s="956" t="s">
        <v>1894</v>
      </c>
      <c r="B787" s="957"/>
      <c r="C787" s="957"/>
      <c r="D787" s="957"/>
      <c r="E787" s="957"/>
      <c r="F787" s="957"/>
      <c r="G787" s="130">
        <f>ROUND(G786,2)</f>
        <v>42843.05</v>
      </c>
      <c r="H787" s="488"/>
      <c r="I787" s="27"/>
      <c r="M787" s="27"/>
      <c r="N787" s="27"/>
      <c r="O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108"/>
      <c r="AF787" s="108"/>
      <c r="AG787" s="108"/>
      <c r="AH787" s="108"/>
      <c r="AI787" s="108"/>
      <c r="AJ787" s="108"/>
      <c r="AK787" s="108"/>
      <c r="AL787" s="108"/>
    </row>
    <row r="788" spans="1:38" s="45" customFormat="1">
      <c r="A788" s="108"/>
      <c r="B788" s="27"/>
      <c r="C788" s="27"/>
      <c r="D788" s="27"/>
      <c r="E788" s="27"/>
      <c r="F788" s="27"/>
      <c r="G788" s="27"/>
      <c r="H788" s="27"/>
      <c r="I788" s="118" t="s">
        <v>2571</v>
      </c>
      <c r="J788" s="364"/>
      <c r="L788" s="364"/>
      <c r="M788" s="537"/>
      <c r="N788" s="537"/>
      <c r="O788" s="539"/>
      <c r="P788" s="604"/>
      <c r="Q788" s="546"/>
      <c r="R788" s="546"/>
      <c r="S788" s="546"/>
      <c r="T788" s="572"/>
      <c r="U788" s="572"/>
      <c r="V788" s="656"/>
      <c r="W788" s="719"/>
      <c r="X788" s="707"/>
      <c r="Y788" s="719"/>
      <c r="Z788" s="719"/>
      <c r="AA788" s="707"/>
      <c r="AB788" s="707"/>
      <c r="AC788" s="656"/>
      <c r="AD788" s="678"/>
      <c r="AE788" s="719"/>
      <c r="AF788" s="719"/>
      <c r="AG788" s="719"/>
      <c r="AH788" s="719"/>
      <c r="AI788" s="719"/>
      <c r="AJ788" s="719"/>
      <c r="AK788" s="719"/>
      <c r="AL788" s="719"/>
    </row>
    <row r="789" spans="1:38" s="45" customFormat="1">
      <c r="A789" s="953" t="s">
        <v>2574</v>
      </c>
      <c r="B789" s="954"/>
      <c r="C789" s="954"/>
      <c r="D789" s="954"/>
      <c r="E789" s="955"/>
      <c r="F789" s="484"/>
      <c r="G789" s="484"/>
      <c r="H789" s="489" t="s">
        <v>1915</v>
      </c>
      <c r="I789" s="77" t="s">
        <v>368</v>
      </c>
      <c r="J789" s="364"/>
      <c r="L789" s="364"/>
      <c r="M789" s="93"/>
      <c r="N789" s="93"/>
      <c r="O789" s="77"/>
      <c r="P789" s="590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</row>
    <row r="790" spans="1:38" s="45" customFormat="1" ht="28.5">
      <c r="A790" s="77" t="s">
        <v>1917</v>
      </c>
      <c r="B790" s="486"/>
      <c r="C790" s="77" t="s">
        <v>3</v>
      </c>
      <c r="D790" s="77" t="s">
        <v>4</v>
      </c>
      <c r="E790" s="77" t="s">
        <v>1826</v>
      </c>
      <c r="F790" s="93" t="s">
        <v>3781</v>
      </c>
      <c r="G790" s="93" t="s">
        <v>3783</v>
      </c>
      <c r="H790" s="77" t="s">
        <v>367</v>
      </c>
      <c r="I790" s="129">
        <f>ROUND((E791*H791),2)</f>
        <v>21038.35</v>
      </c>
      <c r="J790" s="364">
        <v>21038.35</v>
      </c>
      <c r="L790" s="364"/>
      <c r="M790" s="480"/>
      <c r="N790" s="480"/>
      <c r="O790" s="177"/>
      <c r="P790" s="613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  <c r="AA790" s="177"/>
      <c r="AB790" s="177"/>
      <c r="AC790" s="177"/>
      <c r="AD790" s="177"/>
      <c r="AE790" s="178"/>
      <c r="AF790" s="178"/>
      <c r="AG790" s="178"/>
      <c r="AH790" s="178"/>
      <c r="AI790" s="178"/>
      <c r="AJ790" s="178"/>
      <c r="AK790" s="178"/>
      <c r="AL790" s="178"/>
    </row>
    <row r="791" spans="1:38" s="45" customFormat="1" ht="30">
      <c r="A791" s="110" t="s">
        <v>1920</v>
      </c>
      <c r="B791" s="183" t="s">
        <v>2577</v>
      </c>
      <c r="C791" s="25" t="s">
        <v>634</v>
      </c>
      <c r="D791" s="126" t="s">
        <v>238</v>
      </c>
      <c r="E791" s="127">
        <v>1</v>
      </c>
      <c r="F791" s="480">
        <v>35500.980000000003</v>
      </c>
      <c r="G791" s="480">
        <f>F791</f>
        <v>35500.980000000003</v>
      </c>
      <c r="H791" s="177">
        <f>J790</f>
        <v>21038.35</v>
      </c>
      <c r="I791" s="130">
        <f>ROUND(I790,2)</f>
        <v>21038.35</v>
      </c>
      <c r="J791" s="364"/>
      <c r="L791" s="364"/>
      <c r="M791" s="364"/>
      <c r="N791" s="130"/>
      <c r="O791" s="534"/>
      <c r="P791" s="615"/>
      <c r="Q791" s="541"/>
      <c r="R791" s="541"/>
      <c r="S791" s="541"/>
      <c r="T791" s="567"/>
      <c r="U791" s="567"/>
      <c r="V791" s="651"/>
      <c r="W791" s="711"/>
      <c r="X791" s="703"/>
      <c r="Y791" s="711"/>
      <c r="Z791" s="711"/>
      <c r="AA791" s="703"/>
      <c r="AB791" s="703"/>
      <c r="AC791" s="651"/>
      <c r="AD791" s="673"/>
      <c r="AE791" s="711"/>
      <c r="AF791" s="711"/>
      <c r="AG791" s="711"/>
      <c r="AH791" s="711"/>
      <c r="AI791" s="711"/>
      <c r="AJ791" s="711"/>
      <c r="AK791" s="711"/>
      <c r="AL791" s="711"/>
    </row>
    <row r="792" spans="1:38" s="45" customFormat="1" ht="21.75" customHeight="1">
      <c r="A792" s="956" t="s">
        <v>1894</v>
      </c>
      <c r="B792" s="957"/>
      <c r="C792" s="957"/>
      <c r="D792" s="957"/>
      <c r="E792" s="957"/>
      <c r="F792" s="958"/>
      <c r="G792" s="130">
        <f>ROUND(G791,2)</f>
        <v>35500.980000000003</v>
      </c>
      <c r="H792" s="488"/>
      <c r="I792" s="501"/>
      <c r="J792" s="364"/>
      <c r="L792" s="364"/>
      <c r="M792" s="500"/>
      <c r="N792" s="501"/>
      <c r="O792" s="500"/>
      <c r="P792" s="607"/>
      <c r="Q792" s="500"/>
      <c r="R792" s="500"/>
      <c r="S792" s="500"/>
      <c r="T792" s="500"/>
      <c r="U792" s="500"/>
      <c r="V792" s="500"/>
      <c r="W792" s="500"/>
      <c r="X792" s="500"/>
      <c r="Y792" s="500"/>
      <c r="Z792" s="500"/>
      <c r="AA792" s="500"/>
      <c r="AB792" s="500"/>
      <c r="AC792" s="500"/>
      <c r="AD792" s="500"/>
      <c r="AE792" s="500"/>
      <c r="AF792" s="500"/>
      <c r="AG792" s="500"/>
      <c r="AH792" s="500"/>
      <c r="AI792" s="500"/>
      <c r="AJ792" s="500"/>
      <c r="AK792" s="500"/>
      <c r="AL792" s="500"/>
    </row>
    <row r="793" spans="1:38" s="45" customFormat="1" ht="43.5" customHeight="1">
      <c r="A793" s="500"/>
      <c r="B793" s="500"/>
      <c r="C793" s="500"/>
      <c r="D793" s="500"/>
      <c r="E793" s="500"/>
      <c r="F793" s="500"/>
      <c r="G793" s="501"/>
      <c r="H793" s="500"/>
      <c r="I793" s="118" t="s">
        <v>2571</v>
      </c>
      <c r="J793" s="364"/>
      <c r="L793" s="364"/>
      <c r="M793" s="537"/>
      <c r="N793" s="537"/>
      <c r="O793" s="539"/>
      <c r="P793" s="604"/>
      <c r="Q793" s="546"/>
      <c r="R793" s="546"/>
      <c r="S793" s="546"/>
      <c r="T793" s="572"/>
      <c r="U793" s="572"/>
      <c r="V793" s="656"/>
      <c r="W793" s="719"/>
      <c r="X793" s="707"/>
      <c r="Y793" s="719"/>
      <c r="Z793" s="719"/>
      <c r="AA793" s="707"/>
      <c r="AB793" s="707"/>
      <c r="AC793" s="656"/>
      <c r="AD793" s="678"/>
      <c r="AE793" s="719"/>
      <c r="AF793" s="719"/>
      <c r="AG793" s="719"/>
      <c r="AH793" s="719"/>
      <c r="AI793" s="719"/>
      <c r="AJ793" s="719"/>
      <c r="AK793" s="719"/>
      <c r="AL793" s="719"/>
    </row>
    <row r="794" spans="1:38" s="45" customFormat="1">
      <c r="A794" s="953" t="s">
        <v>3749</v>
      </c>
      <c r="B794" s="954"/>
      <c r="C794" s="954"/>
      <c r="D794" s="954"/>
      <c r="E794" s="955"/>
      <c r="F794" s="484"/>
      <c r="G794" s="484"/>
      <c r="H794" s="489" t="s">
        <v>12</v>
      </c>
      <c r="I794" s="77" t="s">
        <v>368</v>
      </c>
      <c r="J794" s="364"/>
      <c r="L794" s="364"/>
      <c r="M794" s="93"/>
      <c r="N794" s="93"/>
      <c r="O794" s="77"/>
      <c r="P794" s="590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</row>
    <row r="795" spans="1:38" s="45" customFormat="1" ht="28.5">
      <c r="A795" s="77" t="s">
        <v>1917</v>
      </c>
      <c r="B795" s="486"/>
      <c r="C795" s="77" t="s">
        <v>3</v>
      </c>
      <c r="D795" s="77" t="s">
        <v>4</v>
      </c>
      <c r="E795" s="77" t="s">
        <v>1826</v>
      </c>
      <c r="F795" s="93" t="s">
        <v>3781</v>
      </c>
      <c r="G795" s="93" t="s">
        <v>3783</v>
      </c>
      <c r="H795" s="77" t="s">
        <v>367</v>
      </c>
      <c r="I795" s="129">
        <f>ROUND((E796*H796),2)</f>
        <v>91406.55</v>
      </c>
      <c r="J795" s="364"/>
      <c r="L795" s="364"/>
      <c r="M795" s="480"/>
      <c r="N795" s="480"/>
      <c r="O795" s="177"/>
      <c r="P795" s="613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  <c r="AA795" s="177"/>
      <c r="AB795" s="177"/>
      <c r="AC795" s="177"/>
      <c r="AD795" s="177"/>
      <c r="AE795" s="178"/>
      <c r="AF795" s="178"/>
      <c r="AG795" s="178"/>
      <c r="AH795" s="178"/>
      <c r="AI795" s="178"/>
      <c r="AJ795" s="178"/>
      <c r="AK795" s="178"/>
      <c r="AL795" s="178"/>
    </row>
    <row r="796" spans="1:38" s="45" customFormat="1" ht="15" customHeight="1">
      <c r="A796" s="110" t="s">
        <v>1920</v>
      </c>
      <c r="B796" s="183" t="s">
        <v>3749</v>
      </c>
      <c r="C796" s="25" t="s">
        <v>12</v>
      </c>
      <c r="D796" s="126" t="s">
        <v>238</v>
      </c>
      <c r="E796" s="127">
        <v>1</v>
      </c>
      <c r="F796" s="480">
        <v>70060</v>
      </c>
      <c r="G796" s="480">
        <f>F796</f>
        <v>70060</v>
      </c>
      <c r="H796" s="177">
        <v>91406.551999999996</v>
      </c>
      <c r="I796" s="130">
        <f>ROUND(I795,2)</f>
        <v>91406.55</v>
      </c>
      <c r="J796" s="364"/>
      <c r="L796" s="364"/>
      <c r="M796" s="364"/>
      <c r="N796" s="130"/>
      <c r="O796" s="534"/>
      <c r="P796" s="615"/>
      <c r="Q796" s="541"/>
      <c r="R796" s="541"/>
      <c r="S796" s="541"/>
      <c r="T796" s="567"/>
      <c r="U796" s="567"/>
      <c r="V796" s="651"/>
      <c r="W796" s="711"/>
      <c r="X796" s="703"/>
      <c r="Y796" s="711"/>
      <c r="Z796" s="711"/>
      <c r="AA796" s="703"/>
      <c r="AB796" s="703"/>
      <c r="AC796" s="651"/>
      <c r="AD796" s="673"/>
      <c r="AE796" s="711"/>
      <c r="AF796" s="711"/>
      <c r="AG796" s="711"/>
      <c r="AH796" s="711"/>
      <c r="AI796" s="711"/>
      <c r="AJ796" s="711"/>
      <c r="AK796" s="711"/>
      <c r="AL796" s="711"/>
    </row>
    <row r="797" spans="1:38" s="45" customFormat="1" ht="21.75" customHeight="1">
      <c r="A797" s="956" t="s">
        <v>1894</v>
      </c>
      <c r="B797" s="957"/>
      <c r="C797" s="957"/>
      <c r="D797" s="957"/>
      <c r="E797" s="957"/>
      <c r="F797" s="958"/>
      <c r="G797" s="130">
        <f>ROUND(G796,2)</f>
        <v>70060</v>
      </c>
      <c r="H797" s="488"/>
      <c r="I797" s="501"/>
      <c r="J797" s="364"/>
      <c r="L797" s="364"/>
      <c r="M797" s="500"/>
      <c r="N797" s="501"/>
      <c r="O797" s="500"/>
      <c r="P797" s="607"/>
      <c r="Q797" s="500"/>
      <c r="R797" s="500"/>
      <c r="S797" s="500"/>
      <c r="T797" s="500"/>
      <c r="U797" s="500"/>
      <c r="V797" s="500"/>
      <c r="W797" s="500"/>
      <c r="X797" s="500"/>
      <c r="Y797" s="500"/>
      <c r="Z797" s="500"/>
      <c r="AA797" s="500"/>
      <c r="AB797" s="500"/>
      <c r="AC797" s="500"/>
      <c r="AD797" s="500"/>
      <c r="AE797" s="500"/>
      <c r="AF797" s="500"/>
      <c r="AG797" s="500"/>
      <c r="AH797" s="500"/>
      <c r="AI797" s="500"/>
      <c r="AJ797" s="500"/>
      <c r="AK797" s="500"/>
      <c r="AL797" s="500"/>
    </row>
    <row r="798" spans="1:38" s="45" customFormat="1">
      <c r="A798" s="500"/>
      <c r="B798" s="500"/>
      <c r="C798" s="500"/>
      <c r="D798" s="500"/>
      <c r="E798" s="500"/>
      <c r="F798" s="500"/>
      <c r="G798" s="501"/>
      <c r="H798" s="500"/>
      <c r="I798" s="118" t="s">
        <v>2575</v>
      </c>
      <c r="J798" s="364"/>
      <c r="L798" s="364"/>
      <c r="M798" s="537"/>
      <c r="N798" s="537"/>
      <c r="O798" s="539"/>
      <c r="P798" s="604"/>
      <c r="Q798" s="546"/>
      <c r="R798" s="546"/>
      <c r="S798" s="546"/>
      <c r="T798" s="572"/>
      <c r="U798" s="572"/>
      <c r="V798" s="656"/>
      <c r="W798" s="719"/>
      <c r="X798" s="707"/>
      <c r="Y798" s="719"/>
      <c r="Z798" s="719"/>
      <c r="AA798" s="707"/>
      <c r="AB798" s="707"/>
      <c r="AC798" s="656"/>
      <c r="AD798" s="678"/>
      <c r="AE798" s="719"/>
      <c r="AF798" s="719"/>
      <c r="AG798" s="719"/>
      <c r="AH798" s="719"/>
      <c r="AI798" s="719"/>
      <c r="AJ798" s="719"/>
      <c r="AK798" s="719"/>
      <c r="AL798" s="719"/>
    </row>
    <row r="799" spans="1:38" s="45" customFormat="1">
      <c r="A799" s="953" t="s">
        <v>2559</v>
      </c>
      <c r="B799" s="954"/>
      <c r="C799" s="954"/>
      <c r="D799" s="954"/>
      <c r="E799" s="955"/>
      <c r="F799" s="484"/>
      <c r="G799" s="484"/>
      <c r="H799" s="489" t="s">
        <v>1915</v>
      </c>
      <c r="I799" s="77" t="s">
        <v>368</v>
      </c>
      <c r="J799" s="364"/>
      <c r="L799" s="364"/>
      <c r="M799" s="93"/>
      <c r="N799" s="93"/>
      <c r="O799" s="77"/>
      <c r="P799" s="590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</row>
    <row r="800" spans="1:38" s="45" customFormat="1" ht="28.5">
      <c r="A800" s="77" t="s">
        <v>1917</v>
      </c>
      <c r="B800" s="486"/>
      <c r="C800" s="77" t="s">
        <v>3</v>
      </c>
      <c r="D800" s="77" t="s">
        <v>4</v>
      </c>
      <c r="E800" s="77" t="s">
        <v>1826</v>
      </c>
      <c r="F800" s="93" t="s">
        <v>3781</v>
      </c>
      <c r="G800" s="93" t="s">
        <v>3783</v>
      </c>
      <c r="H800" s="77" t="s">
        <v>367</v>
      </c>
      <c r="I800" s="129">
        <f>ROUND((E801*H801),2)</f>
        <v>1491.75</v>
      </c>
      <c r="J800" s="364">
        <v>1491.75</v>
      </c>
      <c r="L800" s="364"/>
      <c r="M800" s="129"/>
      <c r="N800" s="129"/>
      <c r="O800" s="129"/>
      <c r="P800" s="618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</row>
    <row r="801" spans="1:38" s="45" customFormat="1" ht="30">
      <c r="A801" s="110" t="s">
        <v>1920</v>
      </c>
      <c r="B801" s="183" t="s">
        <v>2559</v>
      </c>
      <c r="C801" s="25" t="s">
        <v>634</v>
      </c>
      <c r="D801" s="126" t="s">
        <v>238</v>
      </c>
      <c r="E801" s="127">
        <v>1</v>
      </c>
      <c r="F801" s="129">
        <v>1993</v>
      </c>
      <c r="G801" s="129">
        <f>F801</f>
        <v>1993</v>
      </c>
      <c r="H801" s="129">
        <f>J800</f>
        <v>1491.75</v>
      </c>
      <c r="I801" s="130">
        <f>ROUND(I800,2)</f>
        <v>1491.75</v>
      </c>
      <c r="J801" s="364"/>
      <c r="L801" s="364"/>
      <c r="M801" s="364"/>
      <c r="N801" s="130"/>
      <c r="O801" s="534"/>
      <c r="P801" s="615"/>
      <c r="Q801" s="541"/>
      <c r="R801" s="541"/>
      <c r="S801" s="541"/>
      <c r="T801" s="567"/>
      <c r="U801" s="567"/>
      <c r="V801" s="651"/>
      <c r="W801" s="711"/>
      <c r="X801" s="703"/>
      <c r="Y801" s="711"/>
      <c r="Z801" s="711"/>
      <c r="AA801" s="703"/>
      <c r="AB801" s="703"/>
      <c r="AC801" s="651"/>
      <c r="AD801" s="673"/>
      <c r="AE801" s="711"/>
      <c r="AF801" s="711"/>
      <c r="AG801" s="711"/>
      <c r="AH801" s="711"/>
      <c r="AI801" s="711"/>
      <c r="AJ801" s="711"/>
      <c r="AK801" s="711"/>
      <c r="AL801" s="711"/>
    </row>
    <row r="802" spans="1:38" ht="23.25" customHeight="1">
      <c r="A802" s="956" t="s">
        <v>1894</v>
      </c>
      <c r="B802" s="957"/>
      <c r="C802" s="957"/>
      <c r="D802" s="957"/>
      <c r="E802" s="957"/>
      <c r="F802" s="958"/>
      <c r="G802" s="130">
        <f>ROUND(G801,2)</f>
        <v>1993</v>
      </c>
      <c r="H802" s="494"/>
      <c r="I802" s="27"/>
      <c r="M802" s="27"/>
      <c r="N802" s="27"/>
      <c r="O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108"/>
      <c r="AF802" s="108"/>
      <c r="AG802" s="108"/>
      <c r="AH802" s="108"/>
      <c r="AI802" s="108"/>
      <c r="AJ802" s="108"/>
      <c r="AK802" s="108"/>
      <c r="AL802" s="108"/>
    </row>
    <row r="803" spans="1:38" s="45" customFormat="1" ht="36.75" customHeight="1">
      <c r="A803" s="108"/>
      <c r="B803" s="27"/>
      <c r="C803" s="27"/>
      <c r="D803" s="27"/>
      <c r="E803" s="27"/>
      <c r="F803" s="27"/>
      <c r="G803" s="27"/>
      <c r="H803" s="27"/>
      <c r="I803" s="483" t="s">
        <v>2676</v>
      </c>
      <c r="J803" s="364"/>
      <c r="L803" s="364"/>
      <c r="M803" s="537"/>
      <c r="N803" s="537"/>
      <c r="O803" s="217"/>
      <c r="P803" s="619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</row>
    <row r="804" spans="1:38" s="45" customFormat="1">
      <c r="A804" s="920" t="s">
        <v>91</v>
      </c>
      <c r="B804" s="921"/>
      <c r="C804" s="921"/>
      <c r="D804" s="921"/>
      <c r="E804" s="929"/>
      <c r="F804" s="484"/>
      <c r="G804" s="484"/>
      <c r="H804" s="217" t="s">
        <v>12</v>
      </c>
      <c r="I804" s="77" t="s">
        <v>368</v>
      </c>
      <c r="J804" s="364"/>
      <c r="L804" s="364"/>
      <c r="M804" s="93"/>
      <c r="N804" s="93"/>
      <c r="O804" s="77"/>
      <c r="P804" s="590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</row>
    <row r="805" spans="1:38" s="45" customFormat="1" ht="28.5">
      <c r="A805" s="920" t="s">
        <v>364</v>
      </c>
      <c r="B805" s="959"/>
      <c r="C805" s="77" t="s">
        <v>3</v>
      </c>
      <c r="D805" s="77" t="s">
        <v>4</v>
      </c>
      <c r="E805" s="77" t="s">
        <v>1826</v>
      </c>
      <c r="F805" s="93" t="s">
        <v>3781</v>
      </c>
      <c r="G805" s="93" t="s">
        <v>3783</v>
      </c>
      <c r="H805" s="77" t="s">
        <v>367</v>
      </c>
      <c r="I805" s="219">
        <f t="shared" ref="I805:I810" si="178">ROUND(H806*E806,2)</f>
        <v>45.29</v>
      </c>
      <c r="J805" s="364">
        <v>29.41</v>
      </c>
      <c r="K805" s="169" t="e">
        <f>IF(A806&lt;&gt;0,VLOOKUP(A806,#REF!,2,FALSE),"")</f>
        <v>#REF!</v>
      </c>
      <c r="L805" s="364"/>
      <c r="M805" s="218"/>
      <c r="N805" s="533"/>
      <c r="O805" s="219"/>
      <c r="P805" s="620"/>
      <c r="Q805" s="219"/>
      <c r="R805" s="219"/>
      <c r="S805" s="219"/>
      <c r="T805" s="219"/>
      <c r="U805" s="219"/>
      <c r="V805" s="219"/>
      <c r="W805" s="219"/>
      <c r="X805" s="219"/>
      <c r="Y805" s="219"/>
      <c r="Z805" s="219"/>
      <c r="AA805" s="219"/>
      <c r="AB805" s="219"/>
      <c r="AC805" s="219"/>
      <c r="AD805" s="786"/>
      <c r="AE805" s="715"/>
      <c r="AF805" s="715"/>
      <c r="AG805" s="715"/>
      <c r="AH805" s="715"/>
      <c r="AI805" s="715"/>
      <c r="AJ805" s="715"/>
      <c r="AK805" s="715"/>
      <c r="AL805" s="715"/>
    </row>
    <row r="806" spans="1:38" s="45" customFormat="1" ht="30">
      <c r="A806" s="727">
        <v>587</v>
      </c>
      <c r="B806" s="728" t="s">
        <v>446</v>
      </c>
      <c r="C806" s="729" t="s">
        <v>12</v>
      </c>
      <c r="D806" s="729" t="s">
        <v>45</v>
      </c>
      <c r="E806" s="733">
        <v>1.54</v>
      </c>
      <c r="F806" s="731">
        <v>34.6</v>
      </c>
      <c r="G806" s="784">
        <f>ROUND(F806*E806,2)</f>
        <v>53.28</v>
      </c>
      <c r="H806" s="219">
        <f t="shared" ref="H806:H811" si="179">J805</f>
        <v>29.41</v>
      </c>
      <c r="I806" s="219">
        <f t="shared" si="178"/>
        <v>25.11</v>
      </c>
      <c r="J806" s="364">
        <v>23.910499999999999</v>
      </c>
      <c r="K806" s="169" t="e">
        <f>IF(A807&lt;&gt;0,VLOOKUP(A807,#REF!,2,FALSE),"")</f>
        <v>#REF!</v>
      </c>
      <c r="L806" s="364"/>
      <c r="M806" s="218"/>
      <c r="N806" s="533"/>
      <c r="O806" s="219"/>
      <c r="P806" s="620"/>
      <c r="Q806" s="219"/>
      <c r="R806" s="219"/>
      <c r="S806" s="219"/>
      <c r="T806" s="219"/>
      <c r="U806" s="219"/>
      <c r="V806" s="219"/>
      <c r="W806" s="219"/>
      <c r="X806" s="219"/>
      <c r="Y806" s="219"/>
      <c r="Z806" s="219"/>
      <c r="AA806" s="219"/>
      <c r="AB806" s="219"/>
      <c r="AC806" s="785"/>
      <c r="AD806" s="726"/>
      <c r="AE806" s="726"/>
      <c r="AF806" s="726"/>
      <c r="AG806" s="726"/>
      <c r="AH806" s="726"/>
      <c r="AI806" s="726"/>
      <c r="AJ806" s="726"/>
      <c r="AK806" s="726"/>
      <c r="AL806" s="726"/>
    </row>
    <row r="807" spans="1:38" s="45" customFormat="1" ht="45">
      <c r="A807" s="727">
        <v>1360</v>
      </c>
      <c r="B807" s="728" t="s">
        <v>447</v>
      </c>
      <c r="C807" s="729" t="s">
        <v>12</v>
      </c>
      <c r="D807" s="729" t="s">
        <v>26</v>
      </c>
      <c r="E807" s="733">
        <v>1.05</v>
      </c>
      <c r="F807" s="731">
        <v>28.13</v>
      </c>
      <c r="G807" s="784">
        <f t="shared" ref="G807:G811" si="180">ROUND(F807*E807,2)</f>
        <v>29.54</v>
      </c>
      <c r="H807" s="219">
        <f t="shared" si="179"/>
        <v>23.910499999999999</v>
      </c>
      <c r="I807" s="219">
        <f t="shared" si="178"/>
        <v>2.14</v>
      </c>
      <c r="J807" s="364">
        <v>11.866000000000001</v>
      </c>
      <c r="K807" s="169" t="e">
        <f>IF(A808&lt;&gt;0,VLOOKUP(A808,#REF!,2,FALSE),"")</f>
        <v>#REF!</v>
      </c>
      <c r="L807" s="364"/>
      <c r="M807" s="218"/>
      <c r="N807" s="533"/>
      <c r="O807" s="219"/>
      <c r="P807" s="620"/>
      <c r="Q807" s="219"/>
      <c r="R807" s="219"/>
      <c r="S807" s="219"/>
      <c r="T807" s="219"/>
      <c r="U807" s="219"/>
      <c r="V807" s="219"/>
      <c r="W807" s="219"/>
      <c r="X807" s="219"/>
      <c r="Y807" s="219"/>
      <c r="Z807" s="219"/>
      <c r="AA807" s="219"/>
      <c r="AB807" s="219"/>
      <c r="AC807" s="219"/>
      <c r="AD807" s="1018">
        <v>405</v>
      </c>
      <c r="AE807" s="726"/>
      <c r="AF807" s="726"/>
      <c r="AG807" s="726"/>
      <c r="AH807" s="726"/>
      <c r="AI807" s="726"/>
      <c r="AJ807" s="726"/>
      <c r="AK807" s="726"/>
      <c r="AL807" s="726"/>
    </row>
    <row r="808" spans="1:38" s="45" customFormat="1" ht="45">
      <c r="A808" s="24">
        <v>7334</v>
      </c>
      <c r="B808" s="78" t="s">
        <v>448</v>
      </c>
      <c r="C808" s="25" t="s">
        <v>12</v>
      </c>
      <c r="D808" s="25" t="s">
        <v>381</v>
      </c>
      <c r="E808" s="218">
        <v>0.18</v>
      </c>
      <c r="F808" s="26">
        <f>AVERAGE(M808:AL808)</f>
        <v>15.096500000000001</v>
      </c>
      <c r="G808" s="533">
        <f t="shared" si="180"/>
        <v>2.72</v>
      </c>
      <c r="H808" s="219">
        <f t="shared" si="179"/>
        <v>11.866000000000001</v>
      </c>
      <c r="I808" s="219">
        <f t="shared" si="178"/>
        <v>389.86</v>
      </c>
      <c r="J808" s="364">
        <v>389.86099999999999</v>
      </c>
      <c r="K808" s="169" t="e">
        <f>IF(A809&lt;&gt;0,VLOOKUP(A809,#REF!,2,FALSE),"")</f>
        <v>#REF!</v>
      </c>
      <c r="L808" s="364"/>
      <c r="M808" s="218"/>
      <c r="N808" s="533"/>
      <c r="O808" s="219">
        <v>18.21</v>
      </c>
      <c r="P808" s="620">
        <v>11.983000000000001</v>
      </c>
      <c r="Q808" s="219"/>
      <c r="R808" s="219"/>
      <c r="S808" s="219"/>
      <c r="T808" s="219"/>
      <c r="U808" s="219"/>
      <c r="V808" s="219"/>
      <c r="W808" s="219"/>
      <c r="X808" s="219"/>
      <c r="Y808" s="219"/>
      <c r="Z808" s="219"/>
      <c r="AA808" s="219"/>
      <c r="AB808" s="219"/>
      <c r="AC808" s="219"/>
      <c r="AD808" s="1018"/>
      <c r="AE808" s="726"/>
      <c r="AF808" s="726"/>
      <c r="AG808" s="726"/>
      <c r="AH808" s="726"/>
      <c r="AI808" s="726"/>
      <c r="AJ808" s="726"/>
      <c r="AK808" s="726"/>
      <c r="AL808" s="726"/>
    </row>
    <row r="809" spans="1:38" s="45" customFormat="1">
      <c r="A809" s="727">
        <v>11186</v>
      </c>
      <c r="B809" s="728" t="s">
        <v>449</v>
      </c>
      <c r="C809" s="729" t="s">
        <v>12</v>
      </c>
      <c r="D809" s="729" t="s">
        <v>26</v>
      </c>
      <c r="E809" s="733">
        <v>1</v>
      </c>
      <c r="F809" s="731">
        <v>458.66</v>
      </c>
      <c r="G809" s="784">
        <f t="shared" si="180"/>
        <v>458.66</v>
      </c>
      <c r="H809" s="219">
        <f t="shared" si="179"/>
        <v>389.86099999999999</v>
      </c>
      <c r="I809" s="219">
        <f t="shared" si="178"/>
        <v>22.72</v>
      </c>
      <c r="J809" s="364">
        <v>12.622499999999999</v>
      </c>
      <c r="K809" s="45" t="e">
        <f>IF(A810&lt;&gt;0,VLOOKUP(A810,#REF!,2,FALSE),"")</f>
        <v>#REF!</v>
      </c>
      <c r="L809" s="364"/>
      <c r="M809" s="218"/>
      <c r="N809" s="533"/>
      <c r="O809" s="219"/>
      <c r="P809" s="620"/>
      <c r="Q809" s="219"/>
      <c r="R809" s="219"/>
      <c r="S809" s="219"/>
      <c r="T809" s="219"/>
      <c r="U809" s="219"/>
      <c r="V809" s="219"/>
      <c r="W809" s="219"/>
      <c r="X809" s="219"/>
      <c r="Y809" s="219"/>
      <c r="Z809" s="219"/>
      <c r="AA809" s="219"/>
      <c r="AB809" s="219"/>
      <c r="AC809" s="219"/>
      <c r="AD809" s="1018"/>
      <c r="AE809" s="726"/>
      <c r="AF809" s="726"/>
      <c r="AG809" s="726"/>
      <c r="AH809" s="726"/>
      <c r="AI809" s="726"/>
      <c r="AJ809" s="726"/>
      <c r="AK809" s="726"/>
      <c r="AL809" s="726"/>
    </row>
    <row r="810" spans="1:38" s="45" customFormat="1" ht="30">
      <c r="A810" s="503">
        <v>88239</v>
      </c>
      <c r="B810" s="628" t="s">
        <v>393</v>
      </c>
      <c r="C810" s="504" t="s">
        <v>12</v>
      </c>
      <c r="D810" s="504" t="s">
        <v>19</v>
      </c>
      <c r="E810" s="632">
        <v>1.8</v>
      </c>
      <c r="F810" s="505">
        <f>14.85*0.85*'PLANILHA ORÇA - CORREGEDORIA'!$BH$19</f>
        <v>14.061570582594101</v>
      </c>
      <c r="G810" s="645">
        <f t="shared" si="180"/>
        <v>25.31</v>
      </c>
      <c r="H810" s="219">
        <f t="shared" si="179"/>
        <v>12.622499999999999</v>
      </c>
      <c r="I810" s="219">
        <f t="shared" si="178"/>
        <v>22.86</v>
      </c>
      <c r="J810" s="364">
        <v>12.699</v>
      </c>
      <c r="K810" s="45" t="e">
        <f>IF(A811&lt;&gt;0,VLOOKUP(A811,#REF!,2,FALSE),"")</f>
        <v>#REF!</v>
      </c>
      <c r="L810" s="364"/>
      <c r="M810" s="218"/>
      <c r="N810" s="533"/>
      <c r="O810" s="219"/>
      <c r="P810" s="620"/>
      <c r="Q810" s="219"/>
      <c r="R810" s="219"/>
      <c r="S810" s="219"/>
      <c r="T810" s="219"/>
      <c r="U810" s="219"/>
      <c r="V810" s="219"/>
      <c r="W810" s="219"/>
      <c r="X810" s="219"/>
      <c r="Y810" s="219"/>
      <c r="Z810" s="219"/>
      <c r="AA810" s="219"/>
      <c r="AB810" s="219"/>
      <c r="AC810" s="219"/>
      <c r="AD810" s="1018"/>
      <c r="AE810" s="726"/>
      <c r="AF810" s="726"/>
      <c r="AG810" s="726"/>
      <c r="AH810" s="726"/>
      <c r="AI810" s="726"/>
      <c r="AJ810" s="726"/>
      <c r="AK810" s="726"/>
      <c r="AL810" s="726"/>
    </row>
    <row r="811" spans="1:38" s="45" customFormat="1" ht="15" customHeight="1">
      <c r="A811" s="503">
        <v>88325</v>
      </c>
      <c r="B811" s="628" t="s">
        <v>450</v>
      </c>
      <c r="C811" s="504" t="s">
        <v>12</v>
      </c>
      <c r="D811" s="504" t="s">
        <v>19</v>
      </c>
      <c r="E811" s="632">
        <v>1.8</v>
      </c>
      <c r="F811" s="505">
        <f>14.94*0.85*'PLANILHA ORÇA - CORREGEDORIA'!$BH$19</f>
        <v>14.146792222488612</v>
      </c>
      <c r="G811" s="645">
        <f t="shared" si="180"/>
        <v>25.46</v>
      </c>
      <c r="H811" s="219">
        <f t="shared" si="179"/>
        <v>12.699</v>
      </c>
      <c r="I811" s="220">
        <f>ROUND(SUM(I805:I810),2)</f>
        <v>507.98</v>
      </c>
      <c r="J811" s="364"/>
      <c r="L811" s="364"/>
      <c r="M811" s="364"/>
      <c r="N811" s="220"/>
      <c r="O811" s="498"/>
      <c r="P811" s="621"/>
      <c r="Q811" s="498"/>
      <c r="R811" s="498"/>
      <c r="S811" s="498"/>
      <c r="T811" s="498"/>
      <c r="U811" s="498"/>
      <c r="V811" s="498"/>
      <c r="W811" s="498"/>
      <c r="X811" s="498"/>
      <c r="Y811" s="498"/>
      <c r="Z811" s="498"/>
      <c r="AA811" s="498"/>
      <c r="AB811" s="498"/>
      <c r="AC811" s="498"/>
      <c r="AD811" s="1019"/>
      <c r="AE811" s="726"/>
      <c r="AF811" s="726"/>
      <c r="AG811" s="726"/>
      <c r="AH811" s="726"/>
      <c r="AI811" s="726"/>
      <c r="AJ811" s="726"/>
      <c r="AK811" s="726"/>
      <c r="AL811" s="726"/>
    </row>
    <row r="812" spans="1:38" ht="24.75" customHeight="1">
      <c r="A812" s="950" t="s">
        <v>1894</v>
      </c>
      <c r="B812" s="951"/>
      <c r="C812" s="951"/>
      <c r="D812" s="951"/>
      <c r="E812" s="951"/>
      <c r="F812" s="952"/>
      <c r="G812" s="220">
        <f>ROUND(SUM(G806:G811),2)</f>
        <v>594.97</v>
      </c>
      <c r="H812" s="498"/>
      <c r="I812" s="27"/>
      <c r="M812" s="27"/>
      <c r="N812" s="27"/>
      <c r="O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108"/>
      <c r="AF812" s="108"/>
      <c r="AG812" s="108"/>
      <c r="AH812" s="108"/>
      <c r="AI812" s="108"/>
      <c r="AJ812" s="108"/>
      <c r="AK812" s="108"/>
      <c r="AL812" s="108"/>
    </row>
    <row r="813" spans="1:38" ht="36.75" customHeight="1">
      <c r="A813" s="108"/>
      <c r="B813" s="27"/>
      <c r="C813" s="27"/>
      <c r="D813" s="27"/>
      <c r="E813" s="27"/>
      <c r="F813" s="27"/>
      <c r="G813" s="27"/>
      <c r="H813" s="27"/>
      <c r="I813" s="273"/>
      <c r="M813" s="537"/>
      <c r="N813" s="537"/>
      <c r="O813" s="272"/>
      <c r="P813" s="622"/>
      <c r="Q813" s="272"/>
      <c r="R813" s="272"/>
      <c r="S813" s="272"/>
      <c r="T813" s="272"/>
      <c r="U813" s="272"/>
      <c r="V813" s="272"/>
      <c r="W813" s="272"/>
      <c r="X813" s="272"/>
      <c r="Y813" s="272"/>
      <c r="Z813" s="272"/>
      <c r="AA813" s="272"/>
      <c r="AB813" s="272"/>
      <c r="AC813" s="272"/>
      <c r="AD813" s="272"/>
      <c r="AE813" s="272"/>
      <c r="AF813" s="272"/>
      <c r="AG813" s="272"/>
      <c r="AH813" s="272"/>
      <c r="AI813" s="272"/>
      <c r="AJ813" s="272"/>
      <c r="AK813" s="272"/>
      <c r="AL813" s="272"/>
    </row>
    <row r="814" spans="1:38" ht="28.5">
      <c r="A814" s="975" t="s">
        <v>2987</v>
      </c>
      <c r="B814" s="979"/>
      <c r="C814" s="979"/>
      <c r="D814" s="979"/>
      <c r="E814" s="979"/>
      <c r="F814" s="493" t="s">
        <v>3781</v>
      </c>
      <c r="G814" s="493" t="s">
        <v>3783</v>
      </c>
      <c r="H814" s="272" t="s">
        <v>1915</v>
      </c>
      <c r="I814" s="260">
        <f>ROUND(H815*E815,2)</f>
        <v>86750.87</v>
      </c>
      <c r="J814" s="375">
        <v>86750.872499999998</v>
      </c>
      <c r="M814" s="260"/>
      <c r="N814" s="260"/>
      <c r="O814" s="260"/>
      <c r="P814" s="609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  <c r="AA814" s="260"/>
      <c r="AB814" s="260"/>
      <c r="AC814" s="260"/>
      <c r="AD814" s="260"/>
      <c r="AE814" s="262"/>
      <c r="AF814" s="262"/>
      <c r="AG814" s="262"/>
      <c r="AH814" s="262"/>
      <c r="AI814" s="262"/>
      <c r="AJ814" s="262"/>
      <c r="AK814" s="262"/>
      <c r="AL814" s="262"/>
    </row>
    <row r="815" spans="1:38" ht="15" customHeight="1">
      <c r="A815" s="262"/>
      <c r="B815" s="261" t="s">
        <v>2829</v>
      </c>
      <c r="C815" s="262" t="s">
        <v>2015</v>
      </c>
      <c r="D815" s="262" t="s">
        <v>17</v>
      </c>
      <c r="E815" s="260">
        <v>1</v>
      </c>
      <c r="F815" s="260">
        <v>113572</v>
      </c>
      <c r="G815" s="260">
        <f>F815</f>
        <v>113572</v>
      </c>
      <c r="H815" s="260">
        <f t="shared" ref="H815" si="181">J814</f>
        <v>86750.872499999998</v>
      </c>
      <c r="I815" s="274">
        <f>ROUND(SUM(I814),2)</f>
        <v>86750.87</v>
      </c>
      <c r="M815" s="375"/>
      <c r="N815" s="274"/>
      <c r="O815" s="540"/>
      <c r="P815" s="623"/>
      <c r="Q815" s="545"/>
      <c r="R815" s="545"/>
      <c r="S815" s="545"/>
      <c r="T815" s="571"/>
      <c r="U815" s="571"/>
      <c r="V815" s="655"/>
      <c r="W815" s="720"/>
      <c r="X815" s="708"/>
      <c r="Y815" s="720"/>
      <c r="Z815" s="720"/>
      <c r="AA815" s="708"/>
      <c r="AB815" s="708"/>
      <c r="AC815" s="655"/>
      <c r="AD815" s="676"/>
      <c r="AE815" s="720"/>
      <c r="AF815" s="720"/>
      <c r="AG815" s="720"/>
      <c r="AH815" s="720"/>
      <c r="AI815" s="720"/>
      <c r="AJ815" s="720"/>
      <c r="AK815" s="720"/>
      <c r="AL815" s="720"/>
    </row>
    <row r="816" spans="1:38" ht="30" customHeight="1">
      <c r="A816" s="947" t="s">
        <v>1894</v>
      </c>
      <c r="B816" s="948"/>
      <c r="C816" s="948"/>
      <c r="D816" s="948"/>
      <c r="E816" s="948"/>
      <c r="F816" s="949"/>
      <c r="G816" s="274">
        <f>ROUND(SUM(G815),2)</f>
        <v>113572</v>
      </c>
      <c r="H816" s="495"/>
      <c r="I816" s="27"/>
      <c r="M816" s="27"/>
      <c r="N816" s="27"/>
      <c r="O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108"/>
      <c r="AF816" s="108"/>
      <c r="AG816" s="108"/>
      <c r="AH816" s="108"/>
      <c r="AI816" s="108"/>
      <c r="AJ816" s="108"/>
      <c r="AK816" s="108"/>
      <c r="AL816" s="108"/>
    </row>
    <row r="817" spans="1:38" ht="39" customHeight="1">
      <c r="A817" s="108"/>
      <c r="B817" s="27"/>
      <c r="C817" s="27"/>
      <c r="D817" s="27"/>
      <c r="E817" s="27"/>
      <c r="F817" s="27"/>
      <c r="G817" s="27"/>
      <c r="H817" s="27"/>
      <c r="I817" s="275" t="s">
        <v>3353</v>
      </c>
      <c r="M817" s="537"/>
      <c r="N817" s="537"/>
      <c r="O817" s="207"/>
      <c r="P817" s="624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  <c r="AE817" s="207"/>
      <c r="AF817" s="207"/>
      <c r="AG817" s="207"/>
      <c r="AH817" s="207"/>
      <c r="AI817" s="207"/>
      <c r="AJ817" s="207"/>
      <c r="AK817" s="207"/>
      <c r="AL817" s="207"/>
    </row>
    <row r="818" spans="1:38">
      <c r="A818" s="975" t="s">
        <v>3074</v>
      </c>
      <c r="B818" s="979"/>
      <c r="C818" s="979"/>
      <c r="D818" s="979"/>
      <c r="E818" s="980"/>
      <c r="F818" s="484"/>
      <c r="G818" s="484"/>
      <c r="H818" s="207" t="s">
        <v>3049</v>
      </c>
      <c r="I818" s="207" t="s">
        <v>368</v>
      </c>
      <c r="M818" s="93"/>
      <c r="N818" s="93"/>
      <c r="O818" s="207"/>
      <c r="P818" s="624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</row>
    <row r="819" spans="1:38" ht="28.5">
      <c r="A819" s="975" t="s">
        <v>366</v>
      </c>
      <c r="B819" s="976"/>
      <c r="C819" s="207" t="s">
        <v>3</v>
      </c>
      <c r="D819" s="207" t="s">
        <v>4</v>
      </c>
      <c r="E819" s="207" t="s">
        <v>1826</v>
      </c>
      <c r="F819" s="93" t="s">
        <v>3781</v>
      </c>
      <c r="G819" s="93" t="s">
        <v>3783</v>
      </c>
      <c r="H819" s="207" t="s">
        <v>367</v>
      </c>
      <c r="I819" s="260">
        <f>ROUND(H820*E820,2)</f>
        <v>82280.94</v>
      </c>
      <c r="J819" s="375">
        <v>41140.467499999999</v>
      </c>
      <c r="M819" s="260"/>
      <c r="N819" s="260"/>
      <c r="O819" s="260"/>
      <c r="P819" s="609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  <c r="AA819" s="260"/>
      <c r="AB819" s="260"/>
      <c r="AC819" s="260"/>
      <c r="AD819" s="260"/>
      <c r="AE819" s="262"/>
      <c r="AF819" s="262"/>
      <c r="AG819" s="262"/>
      <c r="AH819" s="262"/>
      <c r="AI819" s="262"/>
      <c r="AJ819" s="262"/>
      <c r="AK819" s="262"/>
      <c r="AL819" s="262"/>
    </row>
    <row r="820" spans="1:38" ht="15" customHeight="1">
      <c r="A820" s="172" t="s">
        <v>3354</v>
      </c>
      <c r="B820" s="261" t="s">
        <v>3352</v>
      </c>
      <c r="C820" s="262" t="s">
        <v>3049</v>
      </c>
      <c r="D820" s="262" t="s">
        <v>17</v>
      </c>
      <c r="E820" s="260">
        <v>2</v>
      </c>
      <c r="F820" s="260">
        <v>69108.47</v>
      </c>
      <c r="G820" s="260">
        <f>F820</f>
        <v>69108.47</v>
      </c>
      <c r="H820" s="260">
        <f t="shared" ref="H820" si="182">J819</f>
        <v>41140.467499999999</v>
      </c>
      <c r="I820" s="209">
        <f>ROUND(SUM(I819:I819),2)</f>
        <v>82280.94</v>
      </c>
      <c r="M820" s="375"/>
      <c r="N820" s="209"/>
      <c r="O820" s="520"/>
      <c r="P820" s="625"/>
      <c r="Q820" s="520"/>
      <c r="R820" s="520"/>
      <c r="S820" s="520"/>
      <c r="T820" s="520"/>
      <c r="U820" s="520"/>
      <c r="V820" s="520"/>
      <c r="W820" s="520"/>
      <c r="X820" s="520"/>
      <c r="Y820" s="520"/>
      <c r="Z820" s="520"/>
      <c r="AA820" s="520"/>
      <c r="AB820" s="520"/>
      <c r="AC820" s="520"/>
      <c r="AD820" s="520"/>
      <c r="AE820" s="714"/>
      <c r="AF820" s="714"/>
      <c r="AG820" s="714"/>
      <c r="AH820" s="714"/>
      <c r="AI820" s="714"/>
      <c r="AJ820" s="714"/>
      <c r="AK820" s="714"/>
      <c r="AL820" s="714"/>
    </row>
    <row r="821" spans="1:38" ht="29.25" customHeight="1">
      <c r="A821" s="944" t="s">
        <v>1894</v>
      </c>
      <c r="B821" s="945"/>
      <c r="C821" s="945"/>
      <c r="D821" s="945"/>
      <c r="E821" s="945"/>
      <c r="F821" s="946"/>
      <c r="G821" s="209">
        <f>G820</f>
        <v>69108.47</v>
      </c>
      <c r="H821" s="520"/>
      <c r="I821" s="277"/>
      <c r="M821" s="277"/>
      <c r="N821" s="277"/>
      <c r="O821" s="277"/>
      <c r="P821" s="626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  <c r="AA821" s="277"/>
      <c r="AB821" s="277"/>
      <c r="AC821" s="277"/>
      <c r="AD821" s="277"/>
      <c r="AE821" s="698"/>
      <c r="AF821" s="698"/>
      <c r="AG821" s="698"/>
      <c r="AH821" s="698"/>
      <c r="AI821" s="698"/>
      <c r="AJ821" s="698"/>
      <c r="AK821" s="698"/>
      <c r="AL821" s="698"/>
    </row>
    <row r="822" spans="1:38" ht="37.5" customHeight="1">
      <c r="A822" s="698"/>
      <c r="B822" s="277"/>
      <c r="C822" s="981"/>
      <c r="D822" s="982"/>
      <c r="E822" s="277"/>
      <c r="F822" s="277"/>
      <c r="G822" s="277"/>
      <c r="H822" s="277"/>
      <c r="I822" s="275" t="s">
        <v>3438</v>
      </c>
      <c r="M822" s="537"/>
      <c r="N822" s="537"/>
      <c r="O822" s="207"/>
      <c r="P822" s="624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  <c r="AB822" s="207"/>
      <c r="AC822" s="207"/>
      <c r="AD822" s="207"/>
      <c r="AE822" s="207"/>
      <c r="AF822" s="207"/>
      <c r="AG822" s="207"/>
      <c r="AH822" s="207"/>
      <c r="AI822" s="207"/>
      <c r="AJ822" s="207"/>
      <c r="AK822" s="207"/>
      <c r="AL822" s="207"/>
    </row>
    <row r="823" spans="1:38">
      <c r="A823" s="975" t="s">
        <v>3075</v>
      </c>
      <c r="B823" s="979"/>
      <c r="C823" s="979"/>
      <c r="D823" s="979"/>
      <c r="E823" s="980"/>
      <c r="F823" s="484"/>
      <c r="G823" s="484"/>
      <c r="H823" s="207" t="s">
        <v>3049</v>
      </c>
      <c r="I823" s="207" t="s">
        <v>368</v>
      </c>
      <c r="M823" s="93"/>
      <c r="N823" s="93"/>
      <c r="O823" s="207"/>
      <c r="P823" s="624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  <c r="AB823" s="207"/>
      <c r="AC823" s="207"/>
      <c r="AD823" s="207"/>
      <c r="AE823" s="207"/>
      <c r="AF823" s="207"/>
      <c r="AG823" s="207"/>
      <c r="AH823" s="207"/>
      <c r="AI823" s="207"/>
      <c r="AJ823" s="207"/>
      <c r="AK823" s="207"/>
      <c r="AL823" s="207"/>
    </row>
    <row r="824" spans="1:38" ht="28.5">
      <c r="A824" s="977" t="s">
        <v>366</v>
      </c>
      <c r="B824" s="978"/>
      <c r="C824" s="207" t="s">
        <v>3</v>
      </c>
      <c r="D824" s="207" t="s">
        <v>4</v>
      </c>
      <c r="E824" s="207" t="s">
        <v>1826</v>
      </c>
      <c r="F824" s="93" t="s">
        <v>3781</v>
      </c>
      <c r="G824" s="93" t="s">
        <v>3783</v>
      </c>
      <c r="H824" s="207" t="s">
        <v>367</v>
      </c>
      <c r="I824" s="260">
        <f>ROUND(H825*E825,2)</f>
        <v>91692.800000000003</v>
      </c>
      <c r="J824" s="375">
        <v>45846.399000000005</v>
      </c>
      <c r="M824" s="260"/>
      <c r="N824" s="260"/>
      <c r="O824" s="260"/>
      <c r="P824" s="609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  <c r="AA824" s="260"/>
      <c r="AB824" s="260"/>
      <c r="AC824" s="260"/>
      <c r="AD824" s="260"/>
      <c r="AE824" s="262"/>
      <c r="AF824" s="262"/>
      <c r="AG824" s="262"/>
      <c r="AH824" s="262"/>
      <c r="AI824" s="262"/>
      <c r="AJ824" s="262"/>
      <c r="AK824" s="262"/>
      <c r="AL824" s="262"/>
    </row>
    <row r="825" spans="1:38" ht="15" customHeight="1">
      <c r="A825" s="172" t="s">
        <v>3359</v>
      </c>
      <c r="B825" s="261" t="s">
        <v>3358</v>
      </c>
      <c r="C825" s="262" t="s">
        <v>3049</v>
      </c>
      <c r="D825" s="262" t="s">
        <v>17</v>
      </c>
      <c r="E825" s="260">
        <v>2</v>
      </c>
      <c r="F825" s="260">
        <v>80450.570000000007</v>
      </c>
      <c r="G825" s="260">
        <f>F825</f>
        <v>80450.570000000007</v>
      </c>
      <c r="H825" s="260">
        <f t="shared" ref="H825" si="183">J824</f>
        <v>45846.399000000005</v>
      </c>
      <c r="I825" s="209">
        <f>ROUND(SUM(I824:I824),2)</f>
        <v>91692.800000000003</v>
      </c>
      <c r="M825" s="375"/>
      <c r="N825" s="209"/>
      <c r="O825" s="520"/>
      <c r="P825" s="625"/>
      <c r="Q825" s="520"/>
      <c r="R825" s="520"/>
      <c r="S825" s="520"/>
      <c r="T825" s="520"/>
      <c r="U825" s="520"/>
      <c r="V825" s="520"/>
      <c r="W825" s="520"/>
      <c r="X825" s="520"/>
      <c r="Y825" s="520"/>
      <c r="Z825" s="520"/>
      <c r="AA825" s="520"/>
      <c r="AB825" s="520"/>
      <c r="AC825" s="520"/>
      <c r="AD825" s="520"/>
      <c r="AE825" s="714"/>
      <c r="AF825" s="714"/>
      <c r="AG825" s="714"/>
      <c r="AH825" s="714"/>
      <c r="AI825" s="714"/>
      <c r="AJ825" s="714"/>
      <c r="AK825" s="714"/>
      <c r="AL825" s="714"/>
    </row>
    <row r="826" spans="1:38" ht="25.5" customHeight="1">
      <c r="A826" s="944" t="s">
        <v>1894</v>
      </c>
      <c r="B826" s="945"/>
      <c r="C826" s="945"/>
      <c r="D826" s="945"/>
      <c r="E826" s="945"/>
      <c r="F826" s="946"/>
      <c r="G826" s="209">
        <f>G825</f>
        <v>80450.570000000007</v>
      </c>
      <c r="H826" s="520"/>
      <c r="I826" s="277"/>
      <c r="M826" s="277"/>
      <c r="N826" s="277"/>
      <c r="O826" s="277"/>
      <c r="P826" s="626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  <c r="AA826" s="277"/>
      <c r="AB826" s="277"/>
      <c r="AC826" s="277"/>
      <c r="AD826" s="277"/>
      <c r="AE826" s="698"/>
      <c r="AF826" s="698"/>
      <c r="AG826" s="698"/>
      <c r="AH826" s="698"/>
      <c r="AI826" s="698"/>
      <c r="AJ826" s="698"/>
      <c r="AK826" s="698"/>
      <c r="AL826" s="698"/>
    </row>
    <row r="827" spans="1:38" ht="31.5" customHeight="1">
      <c r="A827" s="698"/>
      <c r="B827" s="277"/>
      <c r="C827" s="981"/>
      <c r="D827" s="982"/>
      <c r="E827" s="277"/>
      <c r="F827" s="277"/>
      <c r="G827" s="277"/>
      <c r="H827" s="277"/>
      <c r="I827" s="275" t="s">
        <v>3365</v>
      </c>
      <c r="M827" s="537"/>
      <c r="N827" s="537"/>
      <c r="O827" s="207"/>
      <c r="P827" s="624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  <c r="AB827" s="207"/>
      <c r="AC827" s="207"/>
      <c r="AD827" s="207"/>
      <c r="AE827" s="207"/>
      <c r="AF827" s="207"/>
      <c r="AG827" s="207"/>
      <c r="AH827" s="207"/>
      <c r="AI827" s="207"/>
      <c r="AJ827" s="207"/>
      <c r="AK827" s="207"/>
      <c r="AL827" s="207"/>
    </row>
    <row r="828" spans="1:38">
      <c r="A828" s="975" t="s">
        <v>3076</v>
      </c>
      <c r="B828" s="979"/>
      <c r="C828" s="979"/>
      <c r="D828" s="979"/>
      <c r="E828" s="980"/>
      <c r="F828" s="484"/>
      <c r="G828" s="484"/>
      <c r="H828" s="207" t="s">
        <v>3049</v>
      </c>
      <c r="I828" s="207" t="s">
        <v>368</v>
      </c>
      <c r="M828" s="93"/>
      <c r="N828" s="93"/>
      <c r="O828" s="207"/>
      <c r="P828" s="624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  <c r="AB828" s="207"/>
      <c r="AC828" s="207"/>
      <c r="AD828" s="207"/>
      <c r="AE828" s="207"/>
      <c r="AF828" s="207"/>
      <c r="AG828" s="207"/>
      <c r="AH828" s="207"/>
      <c r="AI828" s="207"/>
      <c r="AJ828" s="207"/>
      <c r="AK828" s="207"/>
      <c r="AL828" s="207"/>
    </row>
    <row r="829" spans="1:38" ht="28.5">
      <c r="A829" s="977" t="s">
        <v>366</v>
      </c>
      <c r="B829" s="978"/>
      <c r="C829" s="207" t="s">
        <v>3</v>
      </c>
      <c r="D829" s="207" t="s">
        <v>4</v>
      </c>
      <c r="E829" s="207" t="s">
        <v>1826</v>
      </c>
      <c r="F829" s="93" t="s">
        <v>3781</v>
      </c>
      <c r="G829" s="93" t="s">
        <v>3783</v>
      </c>
      <c r="H829" s="207" t="s">
        <v>367</v>
      </c>
      <c r="I829" s="260">
        <f>ROUND(H830*E830,2)</f>
        <v>137539.20000000001</v>
      </c>
      <c r="J829" s="375">
        <v>45846.399000000005</v>
      </c>
      <c r="M829" s="260"/>
      <c r="N829" s="260"/>
      <c r="O829" s="260"/>
      <c r="P829" s="609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  <c r="AA829" s="260"/>
      <c r="AB829" s="260"/>
      <c r="AC829" s="260"/>
      <c r="AD829" s="260"/>
      <c r="AE829" s="262"/>
      <c r="AF829" s="262"/>
      <c r="AG829" s="262"/>
      <c r="AH829" s="262"/>
      <c r="AI829" s="262"/>
      <c r="AJ829" s="262"/>
      <c r="AK829" s="262"/>
      <c r="AL829" s="262"/>
    </row>
    <row r="830" spans="1:38" ht="15" customHeight="1">
      <c r="A830" s="172" t="s">
        <v>3359</v>
      </c>
      <c r="B830" s="261" t="s">
        <v>3358</v>
      </c>
      <c r="C830" s="262" t="s">
        <v>3049</v>
      </c>
      <c r="D830" s="262" t="s">
        <v>17</v>
      </c>
      <c r="E830" s="260">
        <v>3</v>
      </c>
      <c r="F830" s="260">
        <v>127198.67</v>
      </c>
      <c r="G830" s="260">
        <f>F830</f>
        <v>127198.67</v>
      </c>
      <c r="H830" s="260">
        <f t="shared" ref="H830" si="184">J829</f>
        <v>45846.399000000005</v>
      </c>
      <c r="I830" s="209">
        <f>ROUND(SUM(I829:I829),2)</f>
        <v>137539.20000000001</v>
      </c>
      <c r="M830" s="375"/>
      <c r="N830" s="209"/>
      <c r="O830" s="520"/>
      <c r="P830" s="625"/>
      <c r="Q830" s="520"/>
      <c r="R830" s="520"/>
      <c r="S830" s="520"/>
      <c r="T830" s="520"/>
      <c r="U830" s="520"/>
      <c r="V830" s="520"/>
      <c r="W830" s="520"/>
      <c r="X830" s="520"/>
      <c r="Y830" s="520"/>
      <c r="Z830" s="520"/>
      <c r="AA830" s="520"/>
      <c r="AB830" s="520"/>
      <c r="AC830" s="520"/>
      <c r="AD830" s="520"/>
      <c r="AE830" s="714"/>
      <c r="AF830" s="714"/>
      <c r="AG830" s="714"/>
      <c r="AH830" s="714"/>
      <c r="AI830" s="714"/>
      <c r="AJ830" s="714"/>
      <c r="AK830" s="714"/>
      <c r="AL830" s="714"/>
    </row>
    <row r="831" spans="1:38" ht="20.25" customHeight="1">
      <c r="A831" s="944" t="s">
        <v>1894</v>
      </c>
      <c r="B831" s="945"/>
      <c r="C831" s="945"/>
      <c r="D831" s="945"/>
      <c r="E831" s="945"/>
      <c r="F831" s="946"/>
      <c r="G831" s="209">
        <f>G830</f>
        <v>127198.67</v>
      </c>
      <c r="H831" s="520"/>
      <c r="I831" s="27"/>
      <c r="M831" s="27"/>
      <c r="N831" s="27"/>
      <c r="O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108"/>
      <c r="AF831" s="108"/>
      <c r="AG831" s="108"/>
      <c r="AH831" s="108"/>
      <c r="AI831" s="108"/>
      <c r="AJ831" s="108"/>
      <c r="AK831" s="108"/>
      <c r="AL831" s="108"/>
    </row>
    <row r="832" spans="1:38" ht="18" customHeight="1">
      <c r="A832" s="108"/>
      <c r="B832" s="27"/>
      <c r="C832" s="27"/>
      <c r="D832" s="27"/>
      <c r="E832" s="27"/>
      <c r="F832" s="27"/>
      <c r="G832" s="27"/>
      <c r="H832" s="27"/>
      <c r="I832" s="492" t="s">
        <v>3050</v>
      </c>
      <c r="M832" s="537"/>
      <c r="N832" s="537"/>
      <c r="O832" s="207"/>
      <c r="P832" s="624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  <c r="AB832" s="207"/>
      <c r="AC832" s="207"/>
      <c r="AD832" s="207"/>
      <c r="AE832" s="207"/>
      <c r="AF832" s="207"/>
      <c r="AG832" s="207"/>
      <c r="AH832" s="207"/>
      <c r="AI832" s="207"/>
      <c r="AJ832" s="207"/>
      <c r="AK832" s="207"/>
      <c r="AL832" s="207"/>
    </row>
    <row r="833" spans="1:38">
      <c r="A833" s="975" t="s">
        <v>3048</v>
      </c>
      <c r="B833" s="979"/>
      <c r="C833" s="979"/>
      <c r="D833" s="979"/>
      <c r="E833" s="980"/>
      <c r="F833" s="484"/>
      <c r="G833" s="484"/>
      <c r="H833" s="207" t="s">
        <v>3049</v>
      </c>
      <c r="I833" s="207" t="s">
        <v>368</v>
      </c>
      <c r="M833" s="93"/>
      <c r="N833" s="93"/>
      <c r="O833" s="207"/>
      <c r="P833" s="624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  <c r="AB833" s="207"/>
      <c r="AC833" s="207"/>
      <c r="AD833" s="207"/>
      <c r="AE833" s="207"/>
      <c r="AF833" s="207"/>
      <c r="AG833" s="207"/>
      <c r="AH833" s="207"/>
      <c r="AI833" s="207"/>
      <c r="AJ833" s="207"/>
      <c r="AK833" s="207"/>
      <c r="AL833" s="207"/>
    </row>
    <row r="834" spans="1:38" ht="28.5">
      <c r="A834" s="975" t="s">
        <v>366</v>
      </c>
      <c r="B834" s="976"/>
      <c r="C834" s="207" t="s">
        <v>3</v>
      </c>
      <c r="D834" s="207" t="s">
        <v>4</v>
      </c>
      <c r="E834" s="207" t="s">
        <v>1826</v>
      </c>
      <c r="F834" s="93" t="s">
        <v>3781</v>
      </c>
      <c r="G834" s="93" t="s">
        <v>3783</v>
      </c>
      <c r="H834" s="207" t="s">
        <v>367</v>
      </c>
      <c r="I834" s="260">
        <f t="shared" ref="I834:I836" si="185">ROUND(H835*E835,2)</f>
        <v>106.74</v>
      </c>
      <c r="J834" s="375">
        <v>15.249000000000001</v>
      </c>
      <c r="K834" s="49" t="e">
        <f>IF(A835&lt;&gt;0,VLOOKUP(A835,#REF!,2,FALSE),"")</f>
        <v>#REF!</v>
      </c>
      <c r="M834" s="260"/>
      <c r="N834" s="260"/>
      <c r="O834" s="260"/>
      <c r="P834" s="609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  <c r="AA834" s="260"/>
      <c r="AB834" s="260"/>
      <c r="AC834" s="260"/>
      <c r="AD834" s="260"/>
      <c r="AE834" s="262"/>
      <c r="AF834" s="262"/>
      <c r="AG834" s="262"/>
      <c r="AH834" s="262"/>
      <c r="AI834" s="262"/>
      <c r="AJ834" s="262"/>
      <c r="AK834" s="262"/>
      <c r="AL834" s="262"/>
    </row>
    <row r="835" spans="1:38" ht="30">
      <c r="A835" s="503">
        <v>88264</v>
      </c>
      <c r="B835" s="628" t="s">
        <v>379</v>
      </c>
      <c r="C835" s="646" t="s">
        <v>12</v>
      </c>
      <c r="D835" s="646" t="s">
        <v>19</v>
      </c>
      <c r="E835" s="647">
        <v>7</v>
      </c>
      <c r="F835" s="505">
        <f>17.94*0.85*'PLANILHA ORÇA - CORREGEDORIA'!$BH$19</f>
        <v>16.987513552305604</v>
      </c>
      <c r="G835" s="505">
        <f t="shared" ref="G835:G837" si="186">ROUND(F835*E835,2)</f>
        <v>118.91</v>
      </c>
      <c r="H835" s="260">
        <f t="shared" ref="H835:H837" si="187">J834</f>
        <v>15.249000000000001</v>
      </c>
      <c r="I835" s="260">
        <f t="shared" si="185"/>
        <v>105.49</v>
      </c>
      <c r="J835" s="375">
        <v>15.070500000000001</v>
      </c>
      <c r="K835" s="49" t="e">
        <f>IF(A836&lt;&gt;0,VLOOKUP(A836,#REF!,2,FALSE),"")</f>
        <v>#REF!</v>
      </c>
      <c r="M835" s="260"/>
      <c r="N835" s="260"/>
      <c r="O835" s="260"/>
      <c r="P835" s="609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  <c r="AA835" s="260"/>
      <c r="AB835" s="260"/>
      <c r="AC835" s="260"/>
      <c r="AD835" s="260"/>
      <c r="AE835" s="262"/>
      <c r="AF835" s="262"/>
      <c r="AG835" s="262"/>
      <c r="AH835" s="262"/>
      <c r="AI835" s="262"/>
      <c r="AJ835" s="262"/>
      <c r="AK835" s="262"/>
      <c r="AL835" s="262"/>
    </row>
    <row r="836" spans="1:38" ht="30">
      <c r="A836" s="648">
        <v>100308</v>
      </c>
      <c r="B836" s="649" t="s">
        <v>607</v>
      </c>
      <c r="C836" s="646" t="s">
        <v>12</v>
      </c>
      <c r="D836" s="646" t="s">
        <v>19</v>
      </c>
      <c r="E836" s="647">
        <v>7</v>
      </c>
      <c r="F836" s="505">
        <f>17.73*0.85*'PLANILHA ORÇA - CORREGEDORIA'!$BH$19</f>
        <v>16.788663059218411</v>
      </c>
      <c r="G836" s="505">
        <f t="shared" si="186"/>
        <v>117.52</v>
      </c>
      <c r="H836" s="260">
        <f t="shared" si="187"/>
        <v>15.070500000000001</v>
      </c>
      <c r="I836" s="260">
        <f t="shared" si="185"/>
        <v>83.36</v>
      </c>
      <c r="J836" s="375">
        <v>11.9085</v>
      </c>
      <c r="K836" s="49" t="e">
        <f>IF(A837&lt;&gt;0,VLOOKUP(A837,#REF!,2,FALSE),"")</f>
        <v>#REF!</v>
      </c>
      <c r="M836" s="260"/>
      <c r="N836" s="260"/>
      <c r="O836" s="260"/>
      <c r="P836" s="609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  <c r="AA836" s="260"/>
      <c r="AB836" s="260"/>
      <c r="AC836" s="260"/>
      <c r="AD836" s="260"/>
      <c r="AE836" s="262"/>
      <c r="AF836" s="262"/>
      <c r="AG836" s="262"/>
      <c r="AH836" s="262"/>
      <c r="AI836" s="262"/>
      <c r="AJ836" s="262"/>
      <c r="AK836" s="262"/>
      <c r="AL836" s="262"/>
    </row>
    <row r="837" spans="1:38" ht="30">
      <c r="A837" s="503">
        <v>88247</v>
      </c>
      <c r="B837" s="628" t="s">
        <v>510</v>
      </c>
      <c r="C837" s="646" t="s">
        <v>12</v>
      </c>
      <c r="D837" s="646" t="s">
        <v>19</v>
      </c>
      <c r="E837" s="647">
        <v>7</v>
      </c>
      <c r="F837" s="505">
        <f>14.01*0.85*'PLANILHA ORÇA - CORREGEDORIA'!$BH$19</f>
        <v>13.266168610245346</v>
      </c>
      <c r="G837" s="505">
        <f t="shared" si="186"/>
        <v>92.86</v>
      </c>
      <c r="H837" s="260">
        <f t="shared" si="187"/>
        <v>11.9085</v>
      </c>
      <c r="I837" s="209">
        <f>ROUND(SUM(I834:I836),2)</f>
        <v>295.58999999999997</v>
      </c>
      <c r="M837" s="375"/>
      <c r="N837" s="375"/>
      <c r="O837" s="375"/>
      <c r="P837" s="587"/>
      <c r="Q837" s="375"/>
      <c r="R837" s="375"/>
      <c r="S837" s="375"/>
      <c r="T837" s="375"/>
      <c r="U837" s="375"/>
      <c r="V837" s="375"/>
      <c r="W837" s="375"/>
      <c r="X837" s="375"/>
      <c r="Y837" s="375"/>
      <c r="Z837" s="375"/>
      <c r="AA837" s="375"/>
      <c r="AB837" s="375"/>
      <c r="AC837" s="375"/>
      <c r="AD837" s="375"/>
      <c r="AE837" s="237"/>
      <c r="AF837" s="237"/>
      <c r="AG837" s="237"/>
      <c r="AH837" s="237"/>
      <c r="AI837" s="237"/>
      <c r="AJ837" s="237"/>
      <c r="AK837" s="237"/>
      <c r="AL837" s="237"/>
    </row>
    <row r="838" spans="1:38" ht="21" customHeight="1">
      <c r="A838" s="746" t="s">
        <v>1894</v>
      </c>
      <c r="B838" s="650"/>
      <c r="C838" s="650"/>
      <c r="D838" s="650"/>
      <c r="E838" s="650"/>
      <c r="F838" s="650"/>
      <c r="G838" s="79">
        <f>SUM(G835:G837)</f>
        <v>329.29</v>
      </c>
      <c r="H838" s="520"/>
      <c r="I838" s="27"/>
      <c r="M838" s="27"/>
      <c r="N838" s="27"/>
      <c r="O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108"/>
      <c r="AF838" s="108"/>
      <c r="AG838" s="108"/>
      <c r="AH838" s="108"/>
      <c r="AI838" s="108"/>
      <c r="AJ838" s="108"/>
      <c r="AK838" s="108"/>
      <c r="AL838" s="108"/>
    </row>
    <row r="839" spans="1:38" ht="27.75" customHeight="1">
      <c r="A839" s="108"/>
      <c r="B839" s="27"/>
      <c r="C839" s="27"/>
      <c r="D839" s="27"/>
      <c r="E839" s="27"/>
      <c r="F839" s="27"/>
      <c r="G839" s="27"/>
      <c r="H839" s="27"/>
      <c r="I839" s="82">
        <v>88497</v>
      </c>
      <c r="M839" s="537"/>
      <c r="N839" s="537"/>
      <c r="O839" s="75"/>
      <c r="P839" s="589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  <c r="AJ839" s="75"/>
      <c r="AK839" s="75"/>
      <c r="AL839" s="75"/>
    </row>
    <row r="840" spans="1:38">
      <c r="A840" s="920" t="s">
        <v>1741</v>
      </c>
      <c r="B840" s="921"/>
      <c r="C840" s="921"/>
      <c r="D840" s="921"/>
      <c r="E840" s="929"/>
      <c r="F840" s="517"/>
      <c r="G840" s="517"/>
      <c r="H840" s="75" t="s">
        <v>12</v>
      </c>
      <c r="I840" s="77" t="s">
        <v>368</v>
      </c>
      <c r="M840" s="93"/>
      <c r="N840" s="93"/>
      <c r="O840" s="77"/>
      <c r="P840" s="590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</row>
    <row r="841" spans="1:38" ht="44.25" customHeight="1">
      <c r="A841" s="77" t="s">
        <v>1917</v>
      </c>
      <c r="B841" s="516"/>
      <c r="C841" s="77" t="s">
        <v>3</v>
      </c>
      <c r="D841" s="77" t="s">
        <v>4</v>
      </c>
      <c r="E841" s="77" t="s">
        <v>1826</v>
      </c>
      <c r="F841" s="93" t="s">
        <v>3781</v>
      </c>
      <c r="G841" s="93" t="s">
        <v>3783</v>
      </c>
      <c r="H841" s="77" t="s">
        <v>367</v>
      </c>
      <c r="I841" s="26">
        <f>ROUND(H842*E842,2)</f>
        <v>0</v>
      </c>
      <c r="M841" s="93"/>
      <c r="N841" s="93"/>
      <c r="O841" s="26"/>
      <c r="P841" s="595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5"/>
      <c r="AF841" s="25"/>
      <c r="AG841" s="25"/>
      <c r="AH841" s="25"/>
      <c r="AI841" s="25"/>
      <c r="AJ841" s="25"/>
      <c r="AK841" s="25"/>
      <c r="AL841" s="25"/>
    </row>
    <row r="842" spans="1:38" ht="30">
      <c r="A842" s="24" t="s">
        <v>3891</v>
      </c>
      <c r="B842" s="78" t="s">
        <v>3892</v>
      </c>
      <c r="C842" s="25" t="s">
        <v>12</v>
      </c>
      <c r="D842" s="25" t="s">
        <v>17</v>
      </c>
      <c r="E842" s="533">
        <v>0.1</v>
      </c>
      <c r="F842" s="26">
        <f t="shared" ref="F842:F843" si="188">AVERAGE(M842:AL842)</f>
        <v>1.2250000000000001</v>
      </c>
      <c r="G842" s="26">
        <f>ROUND(F842*E842,2)</f>
        <v>0.12</v>
      </c>
      <c r="H842" s="26">
        <f>J841</f>
        <v>0</v>
      </c>
      <c r="I842" s="26">
        <f>ROUND(H843*E843,2)</f>
        <v>0</v>
      </c>
      <c r="M842" s="26">
        <v>1</v>
      </c>
      <c r="N842" s="26">
        <v>1.53</v>
      </c>
      <c r="O842" s="26">
        <v>1.47</v>
      </c>
      <c r="P842" s="595">
        <v>0.9</v>
      </c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5"/>
      <c r="AF842" s="25"/>
      <c r="AG842" s="25"/>
      <c r="AH842" s="25"/>
      <c r="AI842" s="25"/>
      <c r="AJ842" s="25"/>
      <c r="AK842" s="25"/>
      <c r="AL842" s="25"/>
    </row>
    <row r="843" spans="1:38" ht="30">
      <c r="A843" s="24" t="s">
        <v>3893</v>
      </c>
      <c r="B843" s="78" t="s">
        <v>3894</v>
      </c>
      <c r="C843" s="25" t="s">
        <v>12</v>
      </c>
      <c r="D843" s="25" t="s">
        <v>3896</v>
      </c>
      <c r="E843" s="218">
        <v>0.2445</v>
      </c>
      <c r="F843" s="26">
        <f t="shared" si="188"/>
        <v>12.436666666666667</v>
      </c>
      <c r="G843" s="26">
        <f>ROUND(F843*E843,2)</f>
        <v>3.04</v>
      </c>
      <c r="H843" s="26">
        <f>J842</f>
        <v>0</v>
      </c>
      <c r="I843" s="26">
        <f>ROUND(H844*E844,2)</f>
        <v>0</v>
      </c>
      <c r="M843" s="26">
        <v>12.64</v>
      </c>
      <c r="N843" s="26">
        <v>11.59</v>
      </c>
      <c r="O843" s="26"/>
      <c r="P843" s="595">
        <v>13.08</v>
      </c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5"/>
      <c r="AF843" s="25"/>
      <c r="AG843" s="25"/>
      <c r="AH843" s="25"/>
      <c r="AI843" s="25"/>
      <c r="AJ843" s="25"/>
      <c r="AK843" s="25"/>
      <c r="AL843" s="25"/>
    </row>
    <row r="844" spans="1:38">
      <c r="A844" s="503" t="s">
        <v>3895</v>
      </c>
      <c r="B844" s="628" t="s">
        <v>382</v>
      </c>
      <c r="C844" s="504" t="s">
        <v>12</v>
      </c>
      <c r="D844" s="504" t="s">
        <v>19</v>
      </c>
      <c r="E844" s="632">
        <v>0.312</v>
      </c>
      <c r="F844" s="505">
        <f>18.8*0.85*'PLANILHA ORÇA - CORREGEDORIA'!$BH$19</f>
        <v>17.801853666853141</v>
      </c>
      <c r="G844" s="505">
        <f>ROUND(F844*E844,2)</f>
        <v>5.55</v>
      </c>
      <c r="H844" s="26">
        <f>J843</f>
        <v>0</v>
      </c>
      <c r="I844" s="26">
        <f>ROUND(H845*E845,2)</f>
        <v>0</v>
      </c>
      <c r="M844" s="26"/>
      <c r="N844" s="26"/>
      <c r="O844" s="26"/>
      <c r="P844" s="595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5"/>
      <c r="AF844" s="25"/>
      <c r="AG844" s="25"/>
      <c r="AH844" s="25"/>
      <c r="AI844" s="25"/>
      <c r="AJ844" s="25"/>
      <c r="AK844" s="25"/>
      <c r="AL844" s="25"/>
    </row>
    <row r="845" spans="1:38">
      <c r="A845" s="503" t="s">
        <v>3816</v>
      </c>
      <c r="B845" s="628" t="s">
        <v>377</v>
      </c>
      <c r="C845" s="504" t="s">
        <v>12</v>
      </c>
      <c r="D845" s="504" t="s">
        <v>19</v>
      </c>
      <c r="E845" s="632">
        <v>0.114</v>
      </c>
      <c r="F845" s="505">
        <f>13.88*0.85*'PLANILHA ORÇA - CORREGEDORIA'!$BH$19</f>
        <v>13.143070685953276</v>
      </c>
      <c r="G845" s="505">
        <f>ROUND(F845*E845,2)</f>
        <v>1.5</v>
      </c>
      <c r="H845" s="26">
        <f>J844</f>
        <v>0</v>
      </c>
      <c r="I845" s="79">
        <f>SUM(I841:I844)</f>
        <v>0</v>
      </c>
      <c r="M845" s="375"/>
      <c r="N845" s="79"/>
      <c r="O845" s="535"/>
      <c r="P845" s="594"/>
      <c r="Q845" s="543"/>
      <c r="R845" s="543"/>
      <c r="S845" s="543"/>
      <c r="T845" s="569"/>
      <c r="U845" s="569"/>
      <c r="V845" s="653"/>
      <c r="W845" s="713"/>
      <c r="X845" s="704"/>
      <c r="Y845" s="713"/>
      <c r="Z845" s="713"/>
      <c r="AA845" s="704"/>
      <c r="AB845" s="704"/>
      <c r="AC845" s="653"/>
      <c r="AD845" s="674"/>
      <c r="AE845" s="713"/>
      <c r="AF845" s="713"/>
      <c r="AG845" s="713"/>
      <c r="AH845" s="713"/>
      <c r="AI845" s="713"/>
      <c r="AJ845" s="713"/>
      <c r="AK845" s="713"/>
      <c r="AL845" s="713"/>
    </row>
    <row r="846" spans="1:38" ht="23.25" customHeight="1">
      <c r="A846" s="917" t="s">
        <v>1894</v>
      </c>
      <c r="B846" s="918"/>
      <c r="C846" s="918"/>
      <c r="D846" s="918"/>
      <c r="E846" s="918"/>
      <c r="F846" s="926"/>
      <c r="G846" s="79">
        <f>SUM(G842:G845)</f>
        <v>10.210000000000001</v>
      </c>
      <c r="H846" s="518"/>
    </row>
    <row r="847" spans="1:38" ht="24.75" customHeight="1">
      <c r="I847" s="82">
        <v>88496</v>
      </c>
      <c r="M847" s="537"/>
      <c r="N847" s="537"/>
      <c r="O847" s="75"/>
      <c r="P847" s="589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  <c r="AJ847" s="75"/>
      <c r="AK847" s="75"/>
      <c r="AL847" s="75"/>
    </row>
    <row r="848" spans="1:38">
      <c r="A848" s="920" t="s">
        <v>3440</v>
      </c>
      <c r="B848" s="921"/>
      <c r="C848" s="921"/>
      <c r="D848" s="921"/>
      <c r="E848" s="929"/>
      <c r="F848" s="517"/>
      <c r="G848" s="517"/>
      <c r="H848" s="75" t="s">
        <v>12</v>
      </c>
      <c r="I848" s="77" t="s">
        <v>368</v>
      </c>
      <c r="M848" s="93"/>
      <c r="N848" s="93"/>
      <c r="O848" s="77"/>
      <c r="P848" s="590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</row>
    <row r="849" spans="1:16384" ht="28.5">
      <c r="A849" s="77" t="s">
        <v>1917</v>
      </c>
      <c r="B849" s="516"/>
      <c r="C849" s="77" t="s">
        <v>3</v>
      </c>
      <c r="D849" s="77" t="s">
        <v>4</v>
      </c>
      <c r="E849" s="77" t="s">
        <v>1826</v>
      </c>
      <c r="F849" s="93" t="s">
        <v>3781</v>
      </c>
      <c r="G849" s="93" t="s">
        <v>3783</v>
      </c>
      <c r="H849" s="77" t="s">
        <v>367</v>
      </c>
      <c r="I849" s="26">
        <f>ROUND(H850*E850,2)</f>
        <v>0</v>
      </c>
      <c r="M849" s="93"/>
      <c r="N849" s="93"/>
      <c r="O849" s="26"/>
      <c r="P849" s="595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5"/>
      <c r="AF849" s="25"/>
      <c r="AG849" s="25"/>
      <c r="AH849" s="25"/>
      <c r="AI849" s="25"/>
      <c r="AJ849" s="25"/>
      <c r="AK849" s="25"/>
      <c r="AL849" s="25"/>
    </row>
    <row r="850" spans="1:16384" ht="30">
      <c r="A850" s="24" t="s">
        <v>3891</v>
      </c>
      <c r="B850" s="78" t="s">
        <v>3892</v>
      </c>
      <c r="C850" s="25" t="s">
        <v>12</v>
      </c>
      <c r="D850" s="25" t="s">
        <v>17</v>
      </c>
      <c r="E850" s="533">
        <v>0.1</v>
      </c>
      <c r="F850" s="26">
        <f t="shared" ref="F850:F851" si="189">AVERAGE(M850:AL850)</f>
        <v>1.2250000000000001</v>
      </c>
      <c r="G850" s="26">
        <f>ROUND(F850*E850,2)</f>
        <v>0.12</v>
      </c>
      <c r="H850" s="26">
        <f>J849</f>
        <v>0</v>
      </c>
      <c r="I850" s="26">
        <f>ROUND(H851*E851,2)</f>
        <v>0</v>
      </c>
      <c r="M850" s="26">
        <v>1</v>
      </c>
      <c r="N850" s="26">
        <v>1.53</v>
      </c>
      <c r="O850" s="26">
        <v>1.47</v>
      </c>
      <c r="P850" s="595">
        <v>0.9</v>
      </c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5"/>
      <c r="AF850" s="25"/>
      <c r="AG850" s="25"/>
      <c r="AH850" s="25"/>
      <c r="AI850" s="25"/>
      <c r="AJ850" s="25"/>
      <c r="AK850" s="25"/>
      <c r="AL850" s="25"/>
    </row>
    <row r="851" spans="1:16384" ht="30">
      <c r="A851" s="24" t="s">
        <v>3893</v>
      </c>
      <c r="B851" s="78" t="s">
        <v>3894</v>
      </c>
      <c r="C851" s="25" t="s">
        <v>12</v>
      </c>
      <c r="D851" s="25" t="s">
        <v>3896</v>
      </c>
      <c r="E851" s="218">
        <v>0.2445</v>
      </c>
      <c r="F851" s="26">
        <f t="shared" si="189"/>
        <v>12.438000000000001</v>
      </c>
      <c r="G851" s="26">
        <f t="shared" ref="G851:G853" si="190">ROUND(F851*E851,2)</f>
        <v>3.04</v>
      </c>
      <c r="H851" s="26">
        <f>J850</f>
        <v>0</v>
      </c>
      <c r="I851" s="26">
        <f>ROUND(H852*E852,2)</f>
        <v>0</v>
      </c>
      <c r="M851" s="26">
        <v>12.64</v>
      </c>
      <c r="N851" s="26">
        <v>11.593999999999999</v>
      </c>
      <c r="O851" s="26"/>
      <c r="P851" s="595">
        <v>13.08</v>
      </c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5"/>
      <c r="AF851" s="25"/>
      <c r="AG851" s="25"/>
      <c r="AH851" s="25"/>
      <c r="AI851" s="25"/>
      <c r="AJ851" s="25"/>
      <c r="AK851" s="25"/>
      <c r="AL851" s="25"/>
    </row>
    <row r="852" spans="1:16384">
      <c r="A852" s="765" t="s">
        <v>3895</v>
      </c>
      <c r="B852" s="766" t="s">
        <v>382</v>
      </c>
      <c r="C852" s="767" t="s">
        <v>12</v>
      </c>
      <c r="D852" s="767" t="s">
        <v>19</v>
      </c>
      <c r="E852" s="768">
        <v>0.67200000000000004</v>
      </c>
      <c r="F852" s="769">
        <f>18.8*0.85*'PLANILHA ORÇA - CORREGEDORIA'!$BH$19</f>
        <v>17.801853666853141</v>
      </c>
      <c r="G852" s="769">
        <f t="shared" si="190"/>
        <v>11.96</v>
      </c>
      <c r="H852" s="155">
        <f>J851</f>
        <v>0</v>
      </c>
      <c r="I852" s="155">
        <f>ROUND(H853*E853,2)</f>
        <v>0</v>
      </c>
      <c r="M852" s="26"/>
      <c r="N852" s="26"/>
      <c r="O852" s="26"/>
      <c r="P852" s="595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5"/>
      <c r="AF852" s="25"/>
      <c r="AG852" s="25"/>
      <c r="AH852" s="25"/>
      <c r="AI852" s="25"/>
      <c r="AJ852" s="25"/>
      <c r="AK852" s="25"/>
      <c r="AL852" s="25"/>
    </row>
    <row r="853" spans="1:16384" s="21" customFormat="1">
      <c r="A853" s="770" t="s">
        <v>3816</v>
      </c>
      <c r="B853" s="771" t="s">
        <v>377</v>
      </c>
      <c r="C853" s="772" t="s">
        <v>12</v>
      </c>
      <c r="D853" s="772" t="s">
        <v>19</v>
      </c>
      <c r="E853" s="773">
        <v>0.247</v>
      </c>
      <c r="F853" s="774">
        <f>13.88*0.85*'PLANILHA ORÇA - CORREGEDORIA'!$BH$19</f>
        <v>13.143070685953276</v>
      </c>
      <c r="G853" s="774">
        <f t="shared" si="190"/>
        <v>3.25</v>
      </c>
      <c r="H853" s="775">
        <f>J852</f>
        <v>0</v>
      </c>
      <c r="I853" s="776">
        <f>SUM(I849:I852)</f>
        <v>0</v>
      </c>
      <c r="J853" s="755"/>
      <c r="L853" s="755"/>
      <c r="M853" s="26"/>
      <c r="N853" s="26"/>
      <c r="O853" s="26"/>
      <c r="P853" s="595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5"/>
      <c r="AF853" s="25"/>
      <c r="AG853" s="25"/>
      <c r="AH853" s="25"/>
      <c r="AI853" s="25"/>
      <c r="AJ853" s="25"/>
      <c r="AK853" s="25"/>
      <c r="AL853" s="25"/>
    </row>
    <row r="854" spans="1:16384" s="21" customFormat="1">
      <c r="A854" s="986" t="s">
        <v>1894</v>
      </c>
      <c r="B854" s="986"/>
      <c r="C854" s="986"/>
      <c r="D854" s="986"/>
      <c r="E854" s="986"/>
      <c r="F854" s="986"/>
      <c r="G854" s="689">
        <f>SUM(G850:G853)</f>
        <v>18.37</v>
      </c>
      <c r="H854" s="745"/>
      <c r="I854" s="239"/>
      <c r="J854" s="755"/>
      <c r="L854" s="755"/>
      <c r="P854" s="760"/>
      <c r="AE854" s="761"/>
      <c r="AF854" s="761"/>
      <c r="AG854" s="761"/>
      <c r="AH854" s="761"/>
      <c r="AI854" s="761"/>
      <c r="AJ854" s="761"/>
      <c r="AK854" s="761"/>
      <c r="AL854" s="761"/>
    </row>
    <row r="855" spans="1:16384" s="764" customFormat="1">
      <c r="A855" s="999"/>
      <c r="B855" s="999"/>
      <c r="C855" s="999"/>
      <c r="D855" s="999"/>
      <c r="E855" s="999"/>
      <c r="F855" s="999"/>
      <c r="G855" s="999"/>
      <c r="H855" s="999"/>
      <c r="I855" s="999"/>
      <c r="J855" s="999"/>
      <c r="K855" s="999"/>
      <c r="L855" s="999"/>
      <c r="M855" s="999"/>
      <c r="N855" s="999"/>
      <c r="O855" s="999"/>
      <c r="P855" s="999"/>
      <c r="Q855" s="999"/>
      <c r="R855" s="999"/>
      <c r="S855" s="999"/>
      <c r="T855" s="999"/>
      <c r="U855" s="999"/>
      <c r="V855" s="999"/>
      <c r="W855" s="999"/>
      <c r="X855" s="999"/>
      <c r="Y855" s="999"/>
      <c r="Z855" s="999"/>
      <c r="AA855" s="999"/>
      <c r="AB855" s="999"/>
      <c r="AC855" s="999"/>
      <c r="AD855" s="999"/>
      <c r="AE855" s="999"/>
      <c r="AF855" s="999"/>
      <c r="AG855" s="999"/>
      <c r="AH855" s="999"/>
      <c r="AI855" s="999"/>
      <c r="AJ855" s="999"/>
      <c r="AK855" s="999"/>
      <c r="AL855" s="999"/>
      <c r="AM855" s="999"/>
      <c r="AN855" s="999"/>
      <c r="AO855" s="999"/>
      <c r="AP855" s="999"/>
      <c r="AQ855" s="999"/>
      <c r="AR855" s="999"/>
      <c r="AS855" s="999"/>
      <c r="AT855" s="999"/>
      <c r="AU855" s="999"/>
      <c r="AV855" s="999"/>
      <c r="AW855" s="999"/>
      <c r="AX855" s="999"/>
      <c r="AY855" s="999"/>
      <c r="AZ855" s="999"/>
      <c r="BA855" s="999"/>
      <c r="BB855" s="999"/>
      <c r="BC855" s="999"/>
      <c r="BD855" s="999"/>
      <c r="BE855" s="999"/>
      <c r="BF855" s="999"/>
      <c r="BG855" s="999"/>
      <c r="BH855" s="999"/>
      <c r="BI855" s="999"/>
      <c r="BJ855" s="999"/>
      <c r="BK855" s="999"/>
      <c r="BL855" s="999"/>
      <c r="BM855" s="999"/>
      <c r="BN855" s="999"/>
      <c r="BO855" s="999"/>
      <c r="BP855" s="999"/>
      <c r="BQ855" s="999"/>
      <c r="BR855" s="999"/>
      <c r="BS855" s="999"/>
      <c r="BT855" s="999"/>
      <c r="BU855" s="999"/>
      <c r="BV855" s="999"/>
      <c r="BW855" s="999"/>
      <c r="BX855" s="999"/>
      <c r="BY855" s="999"/>
      <c r="BZ855" s="999"/>
      <c r="CA855" s="999"/>
      <c r="CB855" s="999"/>
      <c r="CC855" s="999"/>
      <c r="CD855" s="999"/>
      <c r="CE855" s="999"/>
      <c r="CF855" s="999"/>
      <c r="CG855" s="999"/>
      <c r="CH855" s="999"/>
      <c r="CI855" s="999"/>
      <c r="CJ855" s="999"/>
      <c r="CK855" s="999"/>
      <c r="CL855" s="999"/>
      <c r="CM855" s="999"/>
      <c r="CN855" s="999"/>
      <c r="CO855" s="999"/>
      <c r="CP855" s="999"/>
      <c r="CQ855" s="999"/>
      <c r="CR855" s="999"/>
      <c r="CS855" s="999"/>
      <c r="CT855" s="999"/>
      <c r="CU855" s="999"/>
      <c r="CV855" s="999"/>
      <c r="CW855" s="999"/>
      <c r="CX855" s="999"/>
      <c r="CY855" s="999"/>
      <c r="CZ855" s="999"/>
      <c r="DA855" s="999"/>
      <c r="DB855" s="999"/>
      <c r="DC855" s="999"/>
      <c r="DD855" s="999"/>
      <c r="DE855" s="999"/>
      <c r="DF855" s="999"/>
      <c r="DG855" s="999"/>
      <c r="DH855" s="999"/>
      <c r="DI855" s="999"/>
      <c r="DJ855" s="999"/>
      <c r="DK855" s="999"/>
      <c r="DL855" s="999"/>
      <c r="DM855" s="999"/>
      <c r="DN855" s="999"/>
      <c r="DO855" s="999"/>
      <c r="DP855" s="999"/>
      <c r="DQ855" s="999"/>
      <c r="DR855" s="999"/>
      <c r="DS855" s="999"/>
      <c r="DT855" s="999"/>
      <c r="DU855" s="999"/>
      <c r="DV855" s="999"/>
      <c r="DW855" s="999"/>
      <c r="DX855" s="999"/>
      <c r="DY855" s="999"/>
      <c r="DZ855" s="999"/>
      <c r="EA855" s="999"/>
      <c r="EB855" s="999"/>
      <c r="EC855" s="999"/>
      <c r="ED855" s="999"/>
      <c r="EE855" s="999"/>
      <c r="EF855" s="999"/>
      <c r="EG855" s="999"/>
      <c r="EH855" s="999"/>
      <c r="EI855" s="999"/>
      <c r="EJ855" s="999"/>
      <c r="EK855" s="999"/>
      <c r="EL855" s="999"/>
      <c r="EM855" s="999"/>
      <c r="EN855" s="999"/>
      <c r="EO855" s="999"/>
      <c r="EP855" s="999"/>
      <c r="EQ855" s="999"/>
      <c r="ER855" s="999"/>
      <c r="ES855" s="999"/>
      <c r="ET855" s="999"/>
      <c r="EU855" s="999"/>
      <c r="EV855" s="999"/>
      <c r="EW855" s="999"/>
      <c r="EX855" s="999"/>
      <c r="EY855" s="999"/>
      <c r="EZ855" s="999"/>
      <c r="FA855" s="999"/>
      <c r="FB855" s="999"/>
      <c r="FC855" s="999"/>
      <c r="FD855" s="999"/>
      <c r="FE855" s="999"/>
      <c r="FF855" s="999"/>
      <c r="FG855" s="999"/>
      <c r="FH855" s="999"/>
      <c r="FI855" s="999"/>
      <c r="FJ855" s="999"/>
      <c r="FK855" s="999"/>
      <c r="FL855" s="999"/>
      <c r="FM855" s="999"/>
      <c r="FN855" s="999"/>
      <c r="FO855" s="999"/>
      <c r="FP855" s="999"/>
      <c r="FQ855" s="999"/>
      <c r="FR855" s="999"/>
      <c r="FS855" s="999"/>
      <c r="FT855" s="999"/>
      <c r="FU855" s="999"/>
      <c r="FV855" s="999"/>
      <c r="FW855" s="999"/>
      <c r="FX855" s="999"/>
      <c r="FY855" s="999"/>
      <c r="FZ855" s="999"/>
      <c r="GA855" s="999"/>
      <c r="GB855" s="999"/>
      <c r="GC855" s="999"/>
      <c r="GD855" s="999"/>
      <c r="GE855" s="999"/>
      <c r="GF855" s="999"/>
      <c r="GG855" s="999"/>
      <c r="GH855" s="999"/>
      <c r="GI855" s="999"/>
      <c r="GJ855" s="999"/>
      <c r="GK855" s="999"/>
      <c r="GL855" s="999"/>
      <c r="GM855" s="999"/>
      <c r="GN855" s="999"/>
      <c r="GO855" s="999"/>
      <c r="GP855" s="999"/>
      <c r="GQ855" s="999"/>
      <c r="GR855" s="999"/>
      <c r="GS855" s="999"/>
      <c r="GT855" s="999"/>
      <c r="GU855" s="999"/>
      <c r="GV855" s="999"/>
      <c r="GW855" s="999"/>
      <c r="GX855" s="999"/>
      <c r="GY855" s="999"/>
      <c r="GZ855" s="999"/>
      <c r="HA855" s="999"/>
      <c r="HB855" s="999"/>
      <c r="HC855" s="999"/>
      <c r="HD855" s="999"/>
      <c r="HE855" s="999"/>
      <c r="HF855" s="999"/>
      <c r="HG855" s="999"/>
      <c r="HH855" s="999"/>
      <c r="HI855" s="999"/>
      <c r="HJ855" s="999"/>
      <c r="HK855" s="999"/>
      <c r="HL855" s="999"/>
      <c r="HM855" s="999"/>
      <c r="HN855" s="999"/>
      <c r="HO855" s="999"/>
      <c r="HP855" s="999"/>
      <c r="HQ855" s="999"/>
      <c r="HR855" s="999"/>
      <c r="HS855" s="999"/>
      <c r="HT855" s="999"/>
      <c r="HU855" s="999"/>
      <c r="HV855" s="999"/>
      <c r="HW855" s="999"/>
      <c r="HX855" s="999"/>
      <c r="HY855" s="999"/>
      <c r="HZ855" s="999"/>
      <c r="IA855" s="999"/>
      <c r="IB855" s="999"/>
      <c r="IC855" s="999"/>
      <c r="ID855" s="999"/>
      <c r="IE855" s="999"/>
      <c r="IF855" s="999"/>
      <c r="IG855" s="999"/>
      <c r="IH855" s="999"/>
      <c r="II855" s="999"/>
      <c r="IJ855" s="999"/>
      <c r="IK855" s="999"/>
      <c r="IL855" s="999"/>
      <c r="IM855" s="999"/>
      <c r="IN855" s="999"/>
      <c r="IO855" s="999"/>
      <c r="IP855" s="999"/>
      <c r="IQ855" s="999"/>
      <c r="IR855" s="999"/>
      <c r="IS855" s="999"/>
      <c r="IT855" s="999"/>
      <c r="IU855" s="999"/>
      <c r="IV855" s="999"/>
      <c r="IW855" s="999"/>
      <c r="IX855" s="999"/>
      <c r="IY855" s="999"/>
      <c r="IZ855" s="999"/>
      <c r="JA855" s="999"/>
      <c r="JB855" s="999"/>
      <c r="JC855" s="999"/>
      <c r="JD855" s="999"/>
      <c r="JE855" s="999"/>
      <c r="JF855" s="999"/>
      <c r="JG855" s="999"/>
      <c r="JH855" s="999"/>
      <c r="JI855" s="999"/>
      <c r="JJ855" s="999"/>
      <c r="JK855" s="999"/>
      <c r="JL855" s="999"/>
      <c r="JM855" s="999"/>
      <c r="JN855" s="999"/>
      <c r="JO855" s="999"/>
      <c r="JP855" s="999"/>
      <c r="JQ855" s="999"/>
      <c r="JR855" s="999"/>
      <c r="JS855" s="999"/>
      <c r="JT855" s="999"/>
      <c r="JU855" s="999"/>
      <c r="JV855" s="999"/>
      <c r="JW855" s="999"/>
      <c r="JX855" s="999"/>
      <c r="JY855" s="999"/>
      <c r="JZ855" s="999"/>
      <c r="KA855" s="999"/>
      <c r="KB855" s="999"/>
      <c r="KC855" s="999"/>
      <c r="KD855" s="999"/>
      <c r="KE855" s="999"/>
      <c r="KF855" s="999"/>
      <c r="KG855" s="999"/>
      <c r="KH855" s="999"/>
      <c r="KI855" s="999"/>
      <c r="KJ855" s="999"/>
      <c r="KK855" s="999"/>
      <c r="KL855" s="999"/>
      <c r="KM855" s="999"/>
      <c r="KN855" s="999"/>
      <c r="KO855" s="999"/>
      <c r="KP855" s="999"/>
      <c r="KQ855" s="999"/>
      <c r="KR855" s="999"/>
      <c r="KS855" s="999"/>
      <c r="KT855" s="999"/>
      <c r="KU855" s="999"/>
      <c r="KV855" s="999"/>
      <c r="KW855" s="999"/>
      <c r="KX855" s="999"/>
      <c r="KY855" s="999"/>
      <c r="KZ855" s="999"/>
      <c r="LA855" s="999"/>
      <c r="LB855" s="999"/>
      <c r="LC855" s="999"/>
      <c r="LD855" s="999"/>
      <c r="LE855" s="999"/>
      <c r="LF855" s="999"/>
      <c r="LG855" s="999"/>
      <c r="LH855" s="999"/>
      <c r="LI855" s="999"/>
      <c r="LJ855" s="999"/>
      <c r="LK855" s="999"/>
      <c r="LL855" s="999"/>
      <c r="LM855" s="999"/>
      <c r="LN855" s="999"/>
      <c r="LO855" s="999"/>
      <c r="LP855" s="999"/>
      <c r="LQ855" s="999"/>
      <c r="LR855" s="999"/>
      <c r="LS855" s="999"/>
      <c r="LT855" s="999"/>
      <c r="LU855" s="999"/>
      <c r="LV855" s="999"/>
      <c r="LW855" s="999"/>
      <c r="LX855" s="999"/>
      <c r="LY855" s="999"/>
      <c r="LZ855" s="999"/>
      <c r="MA855" s="999"/>
      <c r="MB855" s="999"/>
      <c r="MC855" s="999"/>
      <c r="MD855" s="999"/>
      <c r="ME855" s="999"/>
      <c r="MF855" s="999"/>
      <c r="MG855" s="999"/>
      <c r="MH855" s="999"/>
      <c r="MI855" s="999"/>
      <c r="MJ855" s="999"/>
      <c r="MK855" s="999"/>
      <c r="ML855" s="999"/>
      <c r="MM855" s="999"/>
      <c r="MN855" s="999"/>
      <c r="MO855" s="999"/>
      <c r="MP855" s="999"/>
      <c r="MQ855" s="999"/>
      <c r="MR855" s="999"/>
      <c r="MS855" s="999"/>
      <c r="MT855" s="999"/>
      <c r="MU855" s="999"/>
      <c r="MV855" s="999"/>
      <c r="MW855" s="999"/>
      <c r="MX855" s="999"/>
      <c r="MY855" s="999"/>
      <c r="MZ855" s="999"/>
      <c r="NA855" s="999"/>
      <c r="NB855" s="999"/>
      <c r="NC855" s="999"/>
      <c r="ND855" s="999"/>
      <c r="NE855" s="999"/>
      <c r="NF855" s="999"/>
      <c r="NG855" s="999"/>
      <c r="NH855" s="999"/>
      <c r="NI855" s="999"/>
      <c r="NJ855" s="999"/>
      <c r="NK855" s="999"/>
      <c r="NL855" s="999"/>
      <c r="NM855" s="999"/>
      <c r="NN855" s="999"/>
      <c r="NO855" s="999"/>
      <c r="NP855" s="999"/>
      <c r="NQ855" s="999"/>
      <c r="NR855" s="999"/>
      <c r="NS855" s="999"/>
      <c r="NT855" s="999"/>
      <c r="NU855" s="999"/>
      <c r="NV855" s="999"/>
      <c r="NW855" s="999"/>
      <c r="NX855" s="999"/>
      <c r="NY855" s="999"/>
      <c r="NZ855" s="999"/>
      <c r="OA855" s="999"/>
      <c r="OB855" s="999"/>
      <c r="OC855" s="999"/>
      <c r="OD855" s="999"/>
      <c r="OE855" s="999"/>
      <c r="OF855" s="999"/>
      <c r="OG855" s="999"/>
      <c r="OH855" s="999"/>
      <c r="OI855" s="999"/>
      <c r="OJ855" s="999"/>
      <c r="OK855" s="999"/>
      <c r="OL855" s="999"/>
      <c r="OM855" s="999"/>
      <c r="ON855" s="999"/>
      <c r="OO855" s="999"/>
      <c r="OP855" s="999"/>
      <c r="OQ855" s="999"/>
      <c r="OR855" s="999"/>
      <c r="OS855" s="999"/>
      <c r="OT855" s="999"/>
      <c r="OU855" s="999"/>
      <c r="OV855" s="999"/>
      <c r="OW855" s="999"/>
      <c r="OX855" s="999"/>
      <c r="OY855" s="999"/>
      <c r="OZ855" s="999"/>
      <c r="PA855" s="999"/>
      <c r="PB855" s="999"/>
      <c r="PC855" s="999"/>
      <c r="PD855" s="999"/>
      <c r="PE855" s="999"/>
      <c r="PF855" s="999"/>
      <c r="PG855" s="999"/>
      <c r="PH855" s="999"/>
      <c r="PI855" s="999"/>
      <c r="PJ855" s="999"/>
      <c r="PK855" s="999"/>
      <c r="PL855" s="999"/>
      <c r="PM855" s="999"/>
      <c r="PN855" s="999"/>
      <c r="PO855" s="999"/>
      <c r="PP855" s="999"/>
      <c r="PQ855" s="999"/>
      <c r="PR855" s="999"/>
      <c r="PS855" s="999"/>
      <c r="PT855" s="999"/>
      <c r="PU855" s="999"/>
      <c r="PV855" s="999"/>
      <c r="PW855" s="999"/>
      <c r="PX855" s="999"/>
      <c r="PY855" s="999"/>
      <c r="PZ855" s="999"/>
      <c r="QA855" s="999"/>
      <c r="QB855" s="999"/>
      <c r="QC855" s="999"/>
      <c r="QD855" s="999"/>
      <c r="QE855" s="999"/>
      <c r="QF855" s="999"/>
      <c r="QG855" s="999"/>
      <c r="QH855" s="999"/>
      <c r="QI855" s="999"/>
      <c r="QJ855" s="999"/>
      <c r="QK855" s="999"/>
      <c r="QL855" s="999"/>
      <c r="QM855" s="999"/>
      <c r="QN855" s="999"/>
      <c r="QO855" s="999"/>
      <c r="QP855" s="999"/>
      <c r="QQ855" s="999"/>
      <c r="QR855" s="999"/>
      <c r="QS855" s="999"/>
      <c r="QT855" s="999"/>
      <c r="QU855" s="999"/>
      <c r="QV855" s="999"/>
      <c r="QW855" s="999"/>
      <c r="QX855" s="999"/>
      <c r="QY855" s="999"/>
      <c r="QZ855" s="999"/>
      <c r="RA855" s="999"/>
      <c r="RB855" s="999"/>
      <c r="RC855" s="999"/>
      <c r="RD855" s="999"/>
      <c r="RE855" s="999"/>
      <c r="RF855" s="999"/>
      <c r="RG855" s="999"/>
      <c r="RH855" s="999"/>
      <c r="RI855" s="999"/>
      <c r="RJ855" s="999"/>
      <c r="RK855" s="999"/>
      <c r="RL855" s="999"/>
      <c r="RM855" s="999"/>
      <c r="RN855" s="999"/>
      <c r="RO855" s="999"/>
      <c r="RP855" s="999"/>
      <c r="RQ855" s="999"/>
      <c r="RR855" s="999"/>
      <c r="RS855" s="999"/>
      <c r="RT855" s="999"/>
      <c r="RU855" s="999"/>
      <c r="RV855" s="999"/>
      <c r="RW855" s="999"/>
      <c r="RX855" s="999"/>
      <c r="RY855" s="999"/>
      <c r="RZ855" s="999"/>
      <c r="SA855" s="999"/>
      <c r="SB855" s="999"/>
      <c r="SC855" s="999"/>
      <c r="SD855" s="999"/>
      <c r="SE855" s="999"/>
      <c r="SF855" s="999"/>
      <c r="SG855" s="999"/>
      <c r="SH855" s="999"/>
      <c r="SI855" s="999"/>
      <c r="SJ855" s="999"/>
      <c r="SK855" s="999"/>
      <c r="SL855" s="999"/>
      <c r="SM855" s="999"/>
      <c r="SN855" s="999"/>
      <c r="SO855" s="999"/>
      <c r="SP855" s="999"/>
      <c r="SQ855" s="999"/>
      <c r="SR855" s="999"/>
      <c r="SS855" s="999"/>
      <c r="ST855" s="999"/>
      <c r="SU855" s="999"/>
      <c r="SV855" s="999"/>
      <c r="SW855" s="999"/>
      <c r="SX855" s="999"/>
      <c r="SY855" s="999"/>
      <c r="SZ855" s="999"/>
      <c r="TA855" s="999"/>
      <c r="TB855" s="999"/>
      <c r="TC855" s="999"/>
      <c r="TD855" s="999"/>
      <c r="TE855" s="999"/>
      <c r="TF855" s="999"/>
      <c r="TG855" s="999"/>
      <c r="TH855" s="999"/>
      <c r="TI855" s="999"/>
      <c r="TJ855" s="999"/>
      <c r="TK855" s="999"/>
      <c r="TL855" s="999"/>
      <c r="TM855" s="999"/>
      <c r="TN855" s="999"/>
      <c r="TO855" s="999"/>
      <c r="TP855" s="999"/>
      <c r="TQ855" s="999"/>
      <c r="TR855" s="999"/>
      <c r="TS855" s="999"/>
      <c r="TT855" s="999"/>
      <c r="TU855" s="999"/>
      <c r="TV855" s="999"/>
      <c r="TW855" s="999"/>
      <c r="TX855" s="999"/>
      <c r="TY855" s="999"/>
      <c r="TZ855" s="999"/>
      <c r="UA855" s="999"/>
      <c r="UB855" s="999"/>
      <c r="UC855" s="999"/>
      <c r="UD855" s="999"/>
      <c r="UE855" s="999"/>
      <c r="UF855" s="999"/>
      <c r="UG855" s="999"/>
      <c r="UH855" s="999"/>
      <c r="UI855" s="999"/>
      <c r="UJ855" s="999"/>
      <c r="UK855" s="999"/>
      <c r="UL855" s="999"/>
      <c r="UM855" s="999"/>
      <c r="UN855" s="999"/>
      <c r="UO855" s="999"/>
      <c r="UP855" s="999"/>
      <c r="UQ855" s="999"/>
      <c r="UR855" s="999"/>
      <c r="US855" s="999"/>
      <c r="UT855" s="999"/>
      <c r="UU855" s="999"/>
      <c r="UV855" s="999"/>
      <c r="UW855" s="999"/>
      <c r="UX855" s="999"/>
      <c r="UY855" s="999"/>
      <c r="UZ855" s="999"/>
      <c r="VA855" s="999"/>
      <c r="VB855" s="999"/>
      <c r="VC855" s="999"/>
      <c r="VD855" s="999"/>
      <c r="VE855" s="999"/>
      <c r="VF855" s="999"/>
      <c r="VG855" s="999"/>
      <c r="VH855" s="999"/>
      <c r="VI855" s="999"/>
      <c r="VJ855" s="999"/>
      <c r="VK855" s="999"/>
      <c r="VL855" s="999"/>
      <c r="VM855" s="999"/>
      <c r="VN855" s="999"/>
      <c r="VO855" s="999"/>
      <c r="VP855" s="999"/>
      <c r="VQ855" s="999"/>
      <c r="VR855" s="999"/>
      <c r="VS855" s="999"/>
      <c r="VT855" s="999"/>
      <c r="VU855" s="999"/>
      <c r="VV855" s="999"/>
      <c r="VW855" s="999"/>
      <c r="VX855" s="999"/>
      <c r="VY855" s="999"/>
      <c r="VZ855" s="999"/>
      <c r="WA855" s="999"/>
      <c r="WB855" s="999"/>
      <c r="WC855" s="999"/>
      <c r="WD855" s="999"/>
      <c r="WE855" s="999"/>
      <c r="WF855" s="999"/>
      <c r="WG855" s="999"/>
      <c r="WH855" s="999"/>
      <c r="WI855" s="999"/>
      <c r="WJ855" s="999"/>
      <c r="WK855" s="999"/>
      <c r="WL855" s="999"/>
      <c r="WM855" s="999"/>
      <c r="WN855" s="999"/>
      <c r="WO855" s="999"/>
      <c r="WP855" s="999"/>
      <c r="WQ855" s="999"/>
      <c r="WR855" s="999"/>
      <c r="WS855" s="999"/>
      <c r="WT855" s="999"/>
      <c r="WU855" s="999"/>
      <c r="WV855" s="999"/>
      <c r="WW855" s="999"/>
      <c r="WX855" s="999"/>
      <c r="WY855" s="999"/>
      <c r="WZ855" s="999"/>
      <c r="XA855" s="999"/>
      <c r="XB855" s="999"/>
      <c r="XC855" s="999"/>
      <c r="XD855" s="999"/>
      <c r="XE855" s="999"/>
      <c r="XF855" s="999"/>
      <c r="XG855" s="999"/>
      <c r="XH855" s="999"/>
      <c r="XI855" s="999"/>
      <c r="XJ855" s="999"/>
      <c r="XK855" s="999"/>
      <c r="XL855" s="999"/>
      <c r="XM855" s="999"/>
      <c r="XN855" s="999"/>
      <c r="XO855" s="999"/>
      <c r="XP855" s="999"/>
      <c r="XQ855" s="999"/>
      <c r="XR855" s="999"/>
      <c r="XS855" s="999"/>
      <c r="XT855" s="999"/>
      <c r="XU855" s="999"/>
      <c r="XV855" s="999"/>
      <c r="XW855" s="999"/>
      <c r="XX855" s="999"/>
      <c r="XY855" s="999"/>
      <c r="XZ855" s="999"/>
      <c r="YA855" s="999"/>
      <c r="YB855" s="999"/>
      <c r="YC855" s="999"/>
      <c r="YD855" s="999"/>
      <c r="YE855" s="999"/>
      <c r="YF855" s="999"/>
      <c r="YG855" s="999"/>
      <c r="YH855" s="999"/>
      <c r="YI855" s="999"/>
      <c r="YJ855" s="999"/>
      <c r="YK855" s="999"/>
      <c r="YL855" s="999"/>
      <c r="YM855" s="999"/>
      <c r="YN855" s="999"/>
      <c r="YO855" s="999"/>
      <c r="YP855" s="999"/>
      <c r="YQ855" s="999"/>
      <c r="YR855" s="999"/>
      <c r="YS855" s="999"/>
      <c r="YT855" s="999"/>
      <c r="YU855" s="999"/>
      <c r="YV855" s="999"/>
      <c r="YW855" s="999"/>
      <c r="YX855" s="999"/>
      <c r="YY855" s="999"/>
      <c r="YZ855" s="999"/>
      <c r="ZA855" s="999"/>
      <c r="ZB855" s="999"/>
      <c r="ZC855" s="999"/>
      <c r="ZD855" s="999"/>
      <c r="ZE855" s="999"/>
      <c r="ZF855" s="999"/>
      <c r="ZG855" s="999"/>
      <c r="ZH855" s="999"/>
      <c r="ZI855" s="999"/>
      <c r="ZJ855" s="999"/>
      <c r="ZK855" s="999"/>
      <c r="ZL855" s="999"/>
      <c r="ZM855" s="999"/>
      <c r="ZN855" s="999"/>
      <c r="ZO855" s="999"/>
      <c r="ZP855" s="999"/>
      <c r="ZQ855" s="999"/>
      <c r="ZR855" s="999"/>
      <c r="ZS855" s="999"/>
      <c r="ZT855" s="999"/>
      <c r="ZU855" s="999"/>
      <c r="ZV855" s="999"/>
      <c r="ZW855" s="999"/>
      <c r="ZX855" s="999"/>
      <c r="ZY855" s="999"/>
      <c r="ZZ855" s="999"/>
      <c r="AAA855" s="999"/>
      <c r="AAB855" s="999"/>
      <c r="AAC855" s="999"/>
      <c r="AAD855" s="999"/>
      <c r="AAE855" s="999"/>
      <c r="AAF855" s="999"/>
      <c r="AAG855" s="999"/>
      <c r="AAH855" s="999"/>
      <c r="AAI855" s="999"/>
      <c r="AAJ855" s="999"/>
      <c r="AAK855" s="999"/>
      <c r="AAL855" s="999"/>
      <c r="AAM855" s="999"/>
      <c r="AAN855" s="999"/>
      <c r="AAO855" s="999"/>
      <c r="AAP855" s="999"/>
      <c r="AAQ855" s="999"/>
      <c r="AAR855" s="999"/>
      <c r="AAS855" s="999"/>
      <c r="AAT855" s="999"/>
      <c r="AAU855" s="999"/>
      <c r="AAV855" s="999"/>
      <c r="AAW855" s="999"/>
      <c r="AAX855" s="999"/>
      <c r="AAY855" s="999"/>
      <c r="AAZ855" s="999"/>
      <c r="ABA855" s="999"/>
      <c r="ABB855" s="999"/>
      <c r="ABC855" s="999"/>
      <c r="ABD855" s="999"/>
      <c r="ABE855" s="999"/>
      <c r="ABF855" s="999"/>
      <c r="ABG855" s="999"/>
      <c r="ABH855" s="999"/>
      <c r="ABI855" s="999"/>
      <c r="ABJ855" s="999"/>
      <c r="ABK855" s="999"/>
      <c r="ABL855" s="999"/>
      <c r="ABM855" s="999"/>
      <c r="ABN855" s="999"/>
      <c r="ABO855" s="999"/>
      <c r="ABP855" s="999"/>
      <c r="ABQ855" s="999"/>
      <c r="ABR855" s="999"/>
      <c r="ABS855" s="999"/>
      <c r="ABT855" s="999"/>
      <c r="ABU855" s="999"/>
      <c r="ABV855" s="999"/>
      <c r="ABW855" s="999"/>
      <c r="ABX855" s="999"/>
      <c r="ABY855" s="999"/>
      <c r="ABZ855" s="999"/>
      <c r="ACA855" s="999"/>
      <c r="ACB855" s="999"/>
      <c r="ACC855" s="999"/>
      <c r="ACD855" s="999"/>
      <c r="ACE855" s="999"/>
      <c r="ACF855" s="999"/>
      <c r="ACG855" s="999"/>
      <c r="ACH855" s="999"/>
      <c r="ACI855" s="999"/>
      <c r="ACJ855" s="999"/>
      <c r="ACK855" s="999"/>
      <c r="ACL855" s="999"/>
      <c r="ACM855" s="999"/>
      <c r="ACN855" s="999"/>
      <c r="ACO855" s="999"/>
      <c r="ACP855" s="999"/>
      <c r="ACQ855" s="999"/>
      <c r="ACR855" s="999"/>
      <c r="ACS855" s="999"/>
      <c r="ACT855" s="999"/>
      <c r="ACU855" s="999"/>
      <c r="ACV855" s="999"/>
      <c r="ACW855" s="999"/>
      <c r="ACX855" s="999"/>
      <c r="ACY855" s="999"/>
      <c r="ACZ855" s="999"/>
      <c r="ADA855" s="999"/>
      <c r="ADB855" s="999"/>
      <c r="ADC855" s="999"/>
      <c r="ADD855" s="999"/>
      <c r="ADE855" s="999"/>
      <c r="ADF855" s="999"/>
      <c r="ADG855" s="999"/>
      <c r="ADH855" s="999"/>
      <c r="ADI855" s="999"/>
      <c r="ADJ855" s="999"/>
      <c r="ADK855" s="999"/>
      <c r="ADL855" s="999"/>
      <c r="ADM855" s="999"/>
      <c r="ADN855" s="999"/>
      <c r="ADO855" s="999"/>
      <c r="ADP855" s="999"/>
      <c r="ADQ855" s="999"/>
      <c r="ADR855" s="999"/>
      <c r="ADS855" s="999"/>
      <c r="ADT855" s="999"/>
      <c r="ADU855" s="999"/>
      <c r="ADV855" s="999"/>
      <c r="ADW855" s="999"/>
      <c r="ADX855" s="999"/>
      <c r="ADY855" s="999"/>
      <c r="ADZ855" s="999"/>
      <c r="AEA855" s="999"/>
      <c r="AEB855" s="999"/>
      <c r="AEC855" s="999"/>
      <c r="AED855" s="999"/>
      <c r="AEE855" s="999"/>
      <c r="AEF855" s="999"/>
      <c r="AEG855" s="999"/>
      <c r="AEH855" s="999"/>
      <c r="AEI855" s="999"/>
      <c r="AEJ855" s="999"/>
      <c r="AEK855" s="999"/>
      <c r="AEL855" s="999"/>
      <c r="AEM855" s="999"/>
      <c r="AEN855" s="999"/>
      <c r="AEO855" s="999"/>
      <c r="AEP855" s="999"/>
      <c r="AEQ855" s="999"/>
      <c r="AER855" s="999"/>
      <c r="AES855" s="999"/>
      <c r="AET855" s="999"/>
      <c r="AEU855" s="999"/>
      <c r="AEV855" s="999"/>
      <c r="AEW855" s="999"/>
      <c r="AEX855" s="999"/>
      <c r="AEY855" s="999"/>
      <c r="AEZ855" s="999"/>
      <c r="AFA855" s="999"/>
      <c r="AFB855" s="999"/>
      <c r="AFC855" s="999"/>
      <c r="AFD855" s="999"/>
      <c r="AFE855" s="999"/>
      <c r="AFF855" s="999"/>
      <c r="AFG855" s="999"/>
      <c r="AFH855" s="999"/>
      <c r="AFI855" s="999"/>
      <c r="AFJ855" s="999"/>
      <c r="AFK855" s="999"/>
      <c r="AFL855" s="999"/>
      <c r="AFM855" s="999"/>
      <c r="AFN855" s="999"/>
      <c r="AFO855" s="999"/>
      <c r="AFP855" s="999"/>
      <c r="AFQ855" s="999"/>
      <c r="AFR855" s="999"/>
      <c r="AFS855" s="999"/>
      <c r="AFT855" s="999"/>
      <c r="AFU855" s="999"/>
      <c r="AFV855" s="999"/>
      <c r="AFW855" s="999"/>
      <c r="AFX855" s="999"/>
      <c r="AFY855" s="999"/>
      <c r="AFZ855" s="999"/>
      <c r="AGA855" s="999"/>
      <c r="AGB855" s="999"/>
      <c r="AGC855" s="999"/>
      <c r="AGD855" s="999"/>
      <c r="AGE855" s="999"/>
      <c r="AGF855" s="999"/>
      <c r="AGG855" s="999"/>
      <c r="AGH855" s="999"/>
      <c r="AGI855" s="999"/>
      <c r="AGJ855" s="999"/>
      <c r="AGK855" s="999"/>
      <c r="AGL855" s="999"/>
      <c r="AGM855" s="999"/>
      <c r="AGN855" s="999"/>
      <c r="AGO855" s="999"/>
      <c r="AGP855" s="999"/>
      <c r="AGQ855" s="999"/>
      <c r="AGR855" s="999"/>
      <c r="AGS855" s="999"/>
      <c r="AGT855" s="999"/>
      <c r="AGU855" s="999"/>
      <c r="AGV855" s="999"/>
      <c r="AGW855" s="999"/>
      <c r="AGX855" s="999"/>
      <c r="AGY855" s="999"/>
      <c r="AGZ855" s="999"/>
      <c r="AHA855" s="999"/>
      <c r="AHB855" s="999"/>
      <c r="AHC855" s="999"/>
      <c r="AHD855" s="999"/>
      <c r="AHE855" s="999"/>
      <c r="AHF855" s="999"/>
      <c r="AHG855" s="999"/>
      <c r="AHH855" s="999"/>
      <c r="AHI855" s="999"/>
      <c r="AHJ855" s="999"/>
      <c r="AHK855" s="999"/>
      <c r="AHL855" s="999"/>
      <c r="AHM855" s="999"/>
      <c r="AHN855" s="999"/>
      <c r="AHO855" s="999"/>
      <c r="AHP855" s="999"/>
      <c r="AHQ855" s="999"/>
      <c r="AHR855" s="999"/>
      <c r="AHS855" s="999"/>
      <c r="AHT855" s="999"/>
      <c r="AHU855" s="999"/>
      <c r="AHV855" s="999"/>
      <c r="AHW855" s="999"/>
      <c r="AHX855" s="999"/>
      <c r="AHY855" s="999"/>
      <c r="AHZ855" s="999"/>
      <c r="AIA855" s="999"/>
      <c r="AIB855" s="999"/>
      <c r="AIC855" s="999"/>
      <c r="AID855" s="999"/>
      <c r="AIE855" s="999"/>
      <c r="AIF855" s="999"/>
      <c r="AIG855" s="999"/>
      <c r="AIH855" s="999"/>
      <c r="AII855" s="999"/>
      <c r="AIJ855" s="999"/>
      <c r="AIK855" s="999"/>
      <c r="AIL855" s="999"/>
      <c r="AIM855" s="999"/>
      <c r="AIN855" s="999"/>
      <c r="AIO855" s="999"/>
      <c r="AIP855" s="999"/>
      <c r="AIQ855" s="999"/>
      <c r="AIR855" s="999"/>
      <c r="AIS855" s="999"/>
      <c r="AIT855" s="999"/>
      <c r="AIU855" s="999"/>
      <c r="AIV855" s="999"/>
      <c r="AIW855" s="999"/>
      <c r="AIX855" s="999"/>
      <c r="AIY855" s="999"/>
      <c r="AIZ855" s="999"/>
      <c r="AJA855" s="999"/>
      <c r="AJB855" s="999"/>
      <c r="AJC855" s="999"/>
      <c r="AJD855" s="999"/>
      <c r="AJE855" s="999"/>
      <c r="AJF855" s="999"/>
      <c r="AJG855" s="999"/>
      <c r="AJH855" s="999"/>
      <c r="AJI855" s="999"/>
      <c r="AJJ855" s="999"/>
      <c r="AJK855" s="999"/>
      <c r="AJL855" s="999"/>
      <c r="AJM855" s="999"/>
      <c r="AJN855" s="999"/>
      <c r="AJO855" s="999"/>
      <c r="AJP855" s="999"/>
      <c r="AJQ855" s="999"/>
      <c r="AJR855" s="999"/>
      <c r="AJS855" s="999"/>
      <c r="AJT855" s="999"/>
      <c r="AJU855" s="999"/>
      <c r="AJV855" s="999"/>
      <c r="AJW855" s="999"/>
      <c r="AJX855" s="999"/>
      <c r="AJY855" s="999"/>
      <c r="AJZ855" s="999"/>
      <c r="AKA855" s="999"/>
      <c r="AKB855" s="999"/>
      <c r="AKC855" s="999"/>
      <c r="AKD855" s="999"/>
      <c r="AKE855" s="999"/>
      <c r="AKF855" s="999"/>
      <c r="AKG855" s="999"/>
      <c r="AKH855" s="999"/>
      <c r="AKI855" s="999"/>
      <c r="AKJ855" s="999"/>
      <c r="AKK855" s="999"/>
      <c r="AKL855" s="999"/>
      <c r="AKM855" s="999"/>
      <c r="AKN855" s="999"/>
      <c r="AKO855" s="999"/>
      <c r="AKP855" s="999"/>
      <c r="AKQ855" s="999"/>
      <c r="AKR855" s="999"/>
      <c r="AKS855" s="999"/>
      <c r="AKT855" s="999"/>
      <c r="AKU855" s="999"/>
      <c r="AKV855" s="999"/>
      <c r="AKW855" s="999"/>
      <c r="AKX855" s="999"/>
      <c r="AKY855" s="999"/>
      <c r="AKZ855" s="999"/>
      <c r="ALA855" s="999"/>
      <c r="ALB855" s="999"/>
      <c r="ALC855" s="999"/>
      <c r="ALD855" s="999"/>
      <c r="ALE855" s="999"/>
      <c r="ALF855" s="999"/>
      <c r="ALG855" s="999"/>
      <c r="ALH855" s="999"/>
      <c r="ALI855" s="999"/>
      <c r="ALJ855" s="999"/>
      <c r="ALK855" s="999"/>
      <c r="ALL855" s="999"/>
      <c r="ALM855" s="999"/>
      <c r="ALN855" s="999"/>
      <c r="ALO855" s="999"/>
      <c r="ALP855" s="999"/>
      <c r="ALQ855" s="999"/>
      <c r="ALR855" s="999"/>
      <c r="ALS855" s="999"/>
      <c r="ALT855" s="999"/>
      <c r="ALU855" s="999"/>
      <c r="ALV855" s="999"/>
      <c r="ALW855" s="999"/>
      <c r="ALX855" s="999"/>
      <c r="ALY855" s="999"/>
      <c r="ALZ855" s="999"/>
      <c r="AMA855" s="999"/>
      <c r="AMB855" s="999"/>
      <c r="AMC855" s="999"/>
      <c r="AMD855" s="999"/>
      <c r="AME855" s="999"/>
      <c r="AMF855" s="999"/>
      <c r="AMG855" s="999"/>
      <c r="AMH855" s="999"/>
      <c r="AMI855" s="999"/>
      <c r="AMJ855" s="999"/>
      <c r="AMK855" s="999"/>
      <c r="AML855" s="999"/>
      <c r="AMM855" s="999"/>
      <c r="AMN855" s="999"/>
      <c r="AMO855" s="999"/>
      <c r="AMP855" s="999"/>
      <c r="AMQ855" s="999"/>
      <c r="AMR855" s="999"/>
      <c r="AMS855" s="999"/>
      <c r="AMT855" s="999"/>
      <c r="AMU855" s="999"/>
      <c r="AMV855" s="999"/>
      <c r="AMW855" s="999"/>
      <c r="AMX855" s="999"/>
      <c r="AMY855" s="999"/>
      <c r="AMZ855" s="999"/>
      <c r="ANA855" s="999"/>
      <c r="ANB855" s="999"/>
      <c r="ANC855" s="999"/>
      <c r="AND855" s="999"/>
      <c r="ANE855" s="999"/>
      <c r="ANF855" s="999"/>
      <c r="ANG855" s="999"/>
      <c r="ANH855" s="999"/>
      <c r="ANI855" s="999"/>
      <c r="ANJ855" s="999"/>
      <c r="ANK855" s="999"/>
      <c r="ANL855" s="999"/>
      <c r="ANM855" s="999"/>
      <c r="ANN855" s="999"/>
      <c r="ANO855" s="999"/>
      <c r="ANP855" s="999"/>
      <c r="ANQ855" s="999"/>
      <c r="ANR855" s="999"/>
      <c r="ANS855" s="999"/>
      <c r="ANT855" s="999"/>
      <c r="ANU855" s="999"/>
      <c r="ANV855" s="999"/>
      <c r="ANW855" s="999"/>
      <c r="ANX855" s="999"/>
      <c r="ANY855" s="999"/>
      <c r="ANZ855" s="999"/>
      <c r="AOA855" s="999"/>
      <c r="AOB855" s="999"/>
      <c r="AOC855" s="999"/>
      <c r="AOD855" s="999"/>
      <c r="AOE855" s="999"/>
      <c r="AOF855" s="999"/>
      <c r="AOG855" s="999"/>
      <c r="AOH855" s="999"/>
      <c r="AOI855" s="999"/>
      <c r="AOJ855" s="999"/>
      <c r="AOK855" s="999"/>
      <c r="AOL855" s="999"/>
      <c r="AOM855" s="999"/>
      <c r="AON855" s="999"/>
      <c r="AOO855" s="999"/>
      <c r="AOP855" s="999"/>
      <c r="AOQ855" s="999"/>
      <c r="AOR855" s="999"/>
      <c r="AOS855" s="999"/>
      <c r="AOT855" s="999"/>
      <c r="AOU855" s="999"/>
      <c r="AOV855" s="999"/>
      <c r="AOW855" s="999"/>
      <c r="AOX855" s="999"/>
      <c r="AOY855" s="999"/>
      <c r="AOZ855" s="999"/>
      <c r="APA855" s="999"/>
      <c r="APB855" s="999"/>
      <c r="APC855" s="999"/>
      <c r="APD855" s="999"/>
      <c r="APE855" s="999"/>
      <c r="APF855" s="999"/>
      <c r="APG855" s="999"/>
      <c r="APH855" s="999"/>
      <c r="API855" s="999"/>
      <c r="APJ855" s="999"/>
      <c r="APK855" s="999"/>
      <c r="APL855" s="999"/>
      <c r="APM855" s="999"/>
      <c r="APN855" s="999"/>
      <c r="APO855" s="999"/>
      <c r="APP855" s="999"/>
      <c r="APQ855" s="999"/>
      <c r="APR855" s="999"/>
      <c r="APS855" s="999"/>
      <c r="APT855" s="999"/>
      <c r="APU855" s="999"/>
      <c r="APV855" s="999"/>
      <c r="APW855" s="999"/>
      <c r="APX855" s="999"/>
      <c r="APY855" s="999"/>
      <c r="APZ855" s="999"/>
      <c r="AQA855" s="999"/>
      <c r="AQB855" s="999"/>
      <c r="AQC855" s="999"/>
      <c r="AQD855" s="999"/>
      <c r="AQE855" s="999"/>
      <c r="AQF855" s="999"/>
      <c r="AQG855" s="999"/>
      <c r="AQH855" s="999"/>
      <c r="AQI855" s="999"/>
      <c r="AQJ855" s="999"/>
      <c r="AQK855" s="999"/>
      <c r="AQL855" s="999"/>
      <c r="AQM855" s="999"/>
      <c r="AQN855" s="999"/>
      <c r="AQO855" s="999"/>
      <c r="AQP855" s="999"/>
      <c r="AQQ855" s="999"/>
      <c r="AQR855" s="999"/>
      <c r="AQS855" s="999"/>
      <c r="AQT855" s="999"/>
      <c r="AQU855" s="999"/>
      <c r="AQV855" s="999"/>
      <c r="AQW855" s="999"/>
      <c r="AQX855" s="999"/>
      <c r="AQY855" s="999"/>
      <c r="AQZ855" s="999"/>
      <c r="ARA855" s="999"/>
      <c r="ARB855" s="999"/>
      <c r="ARC855" s="999"/>
      <c r="ARD855" s="999"/>
      <c r="ARE855" s="999"/>
      <c r="ARF855" s="999"/>
      <c r="ARG855" s="999"/>
      <c r="ARH855" s="999"/>
      <c r="ARI855" s="999"/>
      <c r="ARJ855" s="999"/>
      <c r="ARK855" s="999"/>
      <c r="ARL855" s="999"/>
      <c r="ARM855" s="999"/>
      <c r="ARN855" s="999"/>
      <c r="ARO855" s="999"/>
      <c r="ARP855" s="999"/>
      <c r="ARQ855" s="999"/>
      <c r="ARR855" s="999"/>
      <c r="ARS855" s="999"/>
      <c r="ART855" s="999"/>
      <c r="ARU855" s="999"/>
      <c r="ARV855" s="999"/>
      <c r="ARW855" s="999"/>
      <c r="ARX855" s="999"/>
      <c r="ARY855" s="999"/>
      <c r="ARZ855" s="999"/>
      <c r="ASA855" s="999"/>
      <c r="ASB855" s="999"/>
      <c r="ASC855" s="999"/>
      <c r="ASD855" s="999"/>
      <c r="ASE855" s="999"/>
      <c r="ASF855" s="999"/>
      <c r="ASG855" s="999"/>
      <c r="ASH855" s="999"/>
      <c r="ASI855" s="999"/>
      <c r="ASJ855" s="999"/>
      <c r="ASK855" s="999"/>
      <c r="ASL855" s="999"/>
      <c r="ASM855" s="999"/>
      <c r="ASN855" s="999"/>
      <c r="ASO855" s="999"/>
      <c r="ASP855" s="999"/>
      <c r="ASQ855" s="999"/>
      <c r="ASR855" s="999"/>
      <c r="ASS855" s="999"/>
      <c r="AST855" s="999"/>
      <c r="ASU855" s="999"/>
      <c r="ASV855" s="999"/>
      <c r="ASW855" s="999"/>
      <c r="ASX855" s="999"/>
      <c r="ASY855" s="999"/>
      <c r="ASZ855" s="999"/>
      <c r="ATA855" s="999"/>
      <c r="ATB855" s="999"/>
      <c r="ATC855" s="999"/>
      <c r="ATD855" s="999"/>
      <c r="ATE855" s="999"/>
      <c r="ATF855" s="999"/>
      <c r="ATG855" s="999"/>
      <c r="ATH855" s="999"/>
      <c r="ATI855" s="999"/>
      <c r="ATJ855" s="999"/>
      <c r="ATK855" s="999"/>
      <c r="ATL855" s="999"/>
      <c r="ATM855" s="999"/>
      <c r="ATN855" s="999"/>
      <c r="ATO855" s="999"/>
      <c r="ATP855" s="999"/>
      <c r="ATQ855" s="999"/>
      <c r="ATR855" s="999"/>
      <c r="ATS855" s="999"/>
      <c r="ATT855" s="999"/>
      <c r="ATU855" s="999"/>
      <c r="ATV855" s="999"/>
      <c r="ATW855" s="999"/>
      <c r="ATX855" s="999"/>
      <c r="ATY855" s="999"/>
      <c r="ATZ855" s="999"/>
      <c r="AUA855" s="999"/>
      <c r="AUB855" s="999"/>
      <c r="AUC855" s="999"/>
      <c r="AUD855" s="999"/>
      <c r="AUE855" s="999"/>
      <c r="AUF855" s="999"/>
      <c r="AUG855" s="999"/>
      <c r="AUH855" s="999"/>
      <c r="AUI855" s="999"/>
      <c r="AUJ855" s="999"/>
      <c r="AUK855" s="999"/>
      <c r="AUL855" s="999"/>
      <c r="AUM855" s="999"/>
      <c r="AUN855" s="999"/>
      <c r="AUO855" s="999"/>
      <c r="AUP855" s="999"/>
      <c r="AUQ855" s="999"/>
      <c r="AUR855" s="999"/>
      <c r="AUS855" s="999"/>
      <c r="AUT855" s="999"/>
      <c r="AUU855" s="999"/>
      <c r="AUV855" s="999"/>
      <c r="AUW855" s="999"/>
      <c r="AUX855" s="999"/>
      <c r="AUY855" s="999"/>
      <c r="AUZ855" s="999"/>
      <c r="AVA855" s="999"/>
      <c r="AVB855" s="999"/>
      <c r="AVC855" s="999"/>
      <c r="AVD855" s="999"/>
      <c r="AVE855" s="999"/>
      <c r="AVF855" s="999"/>
      <c r="AVG855" s="999"/>
      <c r="AVH855" s="999"/>
      <c r="AVI855" s="999"/>
      <c r="AVJ855" s="999"/>
      <c r="AVK855" s="999"/>
      <c r="AVL855" s="999"/>
      <c r="AVM855" s="999"/>
      <c r="AVN855" s="999"/>
      <c r="AVO855" s="999"/>
      <c r="AVP855" s="999"/>
      <c r="AVQ855" s="999"/>
      <c r="AVR855" s="999"/>
      <c r="AVS855" s="999"/>
      <c r="AVT855" s="999"/>
      <c r="AVU855" s="999"/>
      <c r="AVV855" s="999"/>
      <c r="AVW855" s="999"/>
      <c r="AVX855" s="999"/>
      <c r="AVY855" s="999"/>
      <c r="AVZ855" s="999"/>
      <c r="AWA855" s="999"/>
      <c r="AWB855" s="999"/>
      <c r="AWC855" s="999"/>
      <c r="AWD855" s="999"/>
      <c r="AWE855" s="999"/>
      <c r="AWF855" s="999"/>
      <c r="AWG855" s="999"/>
      <c r="AWH855" s="999"/>
      <c r="AWI855" s="999"/>
      <c r="AWJ855" s="999"/>
      <c r="AWK855" s="999"/>
      <c r="AWL855" s="999"/>
      <c r="AWM855" s="999"/>
      <c r="AWN855" s="999"/>
      <c r="AWO855" s="999"/>
      <c r="AWP855" s="999"/>
      <c r="AWQ855" s="999"/>
      <c r="AWR855" s="999"/>
      <c r="AWS855" s="999"/>
      <c r="AWT855" s="999"/>
      <c r="AWU855" s="999"/>
      <c r="AWV855" s="999"/>
      <c r="AWW855" s="999"/>
      <c r="AWX855" s="999"/>
      <c r="AWY855" s="999"/>
      <c r="AWZ855" s="999"/>
      <c r="AXA855" s="999"/>
      <c r="AXB855" s="999"/>
      <c r="AXC855" s="999"/>
      <c r="AXD855" s="999"/>
      <c r="AXE855" s="999"/>
      <c r="AXF855" s="999"/>
      <c r="AXG855" s="999"/>
      <c r="AXH855" s="999"/>
      <c r="AXI855" s="999"/>
      <c r="AXJ855" s="999"/>
      <c r="AXK855" s="999"/>
      <c r="AXL855" s="999"/>
      <c r="AXM855" s="999"/>
      <c r="AXN855" s="999"/>
      <c r="AXO855" s="999"/>
      <c r="AXP855" s="999"/>
      <c r="AXQ855" s="999"/>
      <c r="AXR855" s="999"/>
      <c r="AXS855" s="999"/>
      <c r="AXT855" s="999"/>
      <c r="AXU855" s="999"/>
      <c r="AXV855" s="999"/>
      <c r="AXW855" s="999"/>
      <c r="AXX855" s="999"/>
      <c r="AXY855" s="999"/>
      <c r="AXZ855" s="999"/>
      <c r="AYA855" s="999"/>
      <c r="AYB855" s="999"/>
      <c r="AYC855" s="999"/>
      <c r="AYD855" s="999"/>
      <c r="AYE855" s="999"/>
      <c r="AYF855" s="999"/>
      <c r="AYG855" s="999"/>
      <c r="AYH855" s="999"/>
      <c r="AYI855" s="999"/>
      <c r="AYJ855" s="999"/>
      <c r="AYK855" s="999"/>
      <c r="AYL855" s="999"/>
      <c r="AYM855" s="999"/>
      <c r="AYN855" s="999"/>
      <c r="AYO855" s="999"/>
      <c r="AYP855" s="999"/>
      <c r="AYQ855" s="999"/>
      <c r="AYR855" s="999"/>
      <c r="AYS855" s="999"/>
      <c r="AYT855" s="999"/>
      <c r="AYU855" s="999"/>
      <c r="AYV855" s="999"/>
      <c r="AYW855" s="999"/>
      <c r="AYX855" s="999"/>
      <c r="AYY855" s="999"/>
      <c r="AYZ855" s="999"/>
      <c r="AZA855" s="999"/>
      <c r="AZB855" s="999"/>
      <c r="AZC855" s="999"/>
      <c r="AZD855" s="999"/>
      <c r="AZE855" s="999"/>
      <c r="AZF855" s="999"/>
      <c r="AZG855" s="999"/>
      <c r="AZH855" s="999"/>
      <c r="AZI855" s="999"/>
      <c r="AZJ855" s="999"/>
      <c r="AZK855" s="999"/>
      <c r="AZL855" s="999"/>
      <c r="AZM855" s="999"/>
      <c r="AZN855" s="999"/>
      <c r="AZO855" s="999"/>
      <c r="AZP855" s="999"/>
      <c r="AZQ855" s="999"/>
      <c r="AZR855" s="999"/>
      <c r="AZS855" s="999"/>
      <c r="AZT855" s="999"/>
      <c r="AZU855" s="999"/>
      <c r="AZV855" s="999"/>
      <c r="AZW855" s="999"/>
      <c r="AZX855" s="999"/>
      <c r="AZY855" s="999"/>
      <c r="AZZ855" s="999"/>
      <c r="BAA855" s="999"/>
      <c r="BAB855" s="999"/>
      <c r="BAC855" s="999"/>
      <c r="BAD855" s="999"/>
      <c r="BAE855" s="999"/>
      <c r="BAF855" s="999"/>
      <c r="BAG855" s="999"/>
      <c r="BAH855" s="999"/>
      <c r="BAI855" s="999"/>
      <c r="BAJ855" s="999"/>
      <c r="BAK855" s="999"/>
      <c r="BAL855" s="999"/>
      <c r="BAM855" s="999"/>
      <c r="BAN855" s="999"/>
      <c r="BAO855" s="999"/>
      <c r="BAP855" s="999"/>
      <c r="BAQ855" s="999"/>
      <c r="BAR855" s="999"/>
      <c r="BAS855" s="999"/>
      <c r="BAT855" s="999"/>
      <c r="BAU855" s="999"/>
      <c r="BAV855" s="999"/>
      <c r="BAW855" s="999"/>
      <c r="BAX855" s="999"/>
      <c r="BAY855" s="999"/>
      <c r="BAZ855" s="999"/>
      <c r="BBA855" s="999"/>
      <c r="BBB855" s="999"/>
      <c r="BBC855" s="999"/>
      <c r="BBD855" s="999"/>
      <c r="BBE855" s="999"/>
      <c r="BBF855" s="999"/>
      <c r="BBG855" s="999"/>
      <c r="BBH855" s="999"/>
      <c r="BBI855" s="999"/>
      <c r="BBJ855" s="999"/>
      <c r="BBK855" s="999"/>
      <c r="BBL855" s="999"/>
      <c r="BBM855" s="999"/>
      <c r="BBN855" s="999"/>
      <c r="BBO855" s="999"/>
      <c r="BBP855" s="999"/>
      <c r="BBQ855" s="999"/>
      <c r="BBR855" s="999"/>
      <c r="BBS855" s="999"/>
      <c r="BBT855" s="999"/>
      <c r="BBU855" s="999"/>
      <c r="BBV855" s="999"/>
      <c r="BBW855" s="999"/>
      <c r="BBX855" s="999"/>
      <c r="BBY855" s="999"/>
      <c r="BBZ855" s="999"/>
      <c r="BCA855" s="999"/>
      <c r="BCB855" s="999"/>
      <c r="BCC855" s="999"/>
      <c r="BCD855" s="999"/>
      <c r="BCE855" s="999"/>
      <c r="BCF855" s="999"/>
      <c r="BCG855" s="999"/>
      <c r="BCH855" s="999"/>
      <c r="BCI855" s="999"/>
      <c r="BCJ855" s="999"/>
      <c r="BCK855" s="999"/>
      <c r="BCL855" s="999"/>
      <c r="BCM855" s="999"/>
      <c r="BCN855" s="999"/>
      <c r="BCO855" s="999"/>
      <c r="BCP855" s="999"/>
      <c r="BCQ855" s="999"/>
      <c r="BCR855" s="999"/>
      <c r="BCS855" s="999"/>
      <c r="BCT855" s="999"/>
      <c r="BCU855" s="999"/>
      <c r="BCV855" s="999"/>
      <c r="BCW855" s="999"/>
      <c r="BCX855" s="999"/>
      <c r="BCY855" s="999"/>
      <c r="BCZ855" s="999"/>
      <c r="BDA855" s="999"/>
      <c r="BDB855" s="999"/>
      <c r="BDC855" s="999"/>
      <c r="BDD855" s="999"/>
      <c r="BDE855" s="999"/>
      <c r="BDF855" s="999"/>
      <c r="BDG855" s="999"/>
      <c r="BDH855" s="999"/>
      <c r="BDI855" s="999"/>
      <c r="BDJ855" s="999"/>
      <c r="BDK855" s="999"/>
      <c r="BDL855" s="999"/>
      <c r="BDM855" s="999"/>
      <c r="BDN855" s="999"/>
      <c r="BDO855" s="999"/>
      <c r="BDP855" s="999"/>
      <c r="BDQ855" s="999"/>
      <c r="BDR855" s="999"/>
      <c r="BDS855" s="999"/>
      <c r="BDT855" s="999"/>
      <c r="BDU855" s="999"/>
      <c r="BDV855" s="999"/>
      <c r="BDW855" s="999"/>
      <c r="BDX855" s="999"/>
      <c r="BDY855" s="999"/>
      <c r="BDZ855" s="999"/>
      <c r="BEA855" s="999"/>
      <c r="BEB855" s="999"/>
      <c r="BEC855" s="999"/>
      <c r="BED855" s="999"/>
      <c r="BEE855" s="999"/>
      <c r="BEF855" s="999"/>
      <c r="BEG855" s="999"/>
      <c r="BEH855" s="999"/>
      <c r="BEI855" s="999"/>
      <c r="BEJ855" s="999"/>
      <c r="BEK855" s="999"/>
      <c r="BEL855" s="999"/>
      <c r="BEM855" s="999"/>
      <c r="BEN855" s="999"/>
      <c r="BEO855" s="999"/>
      <c r="BEP855" s="999"/>
      <c r="BEQ855" s="999"/>
      <c r="BER855" s="999"/>
      <c r="BES855" s="999"/>
      <c r="BET855" s="999"/>
      <c r="BEU855" s="999"/>
      <c r="BEV855" s="999"/>
      <c r="BEW855" s="999"/>
      <c r="BEX855" s="999"/>
      <c r="BEY855" s="999"/>
      <c r="BEZ855" s="999"/>
      <c r="BFA855" s="999"/>
      <c r="BFB855" s="999"/>
      <c r="BFC855" s="999"/>
      <c r="BFD855" s="999"/>
      <c r="BFE855" s="999"/>
      <c r="BFF855" s="999"/>
      <c r="BFG855" s="999"/>
      <c r="BFH855" s="999"/>
      <c r="BFI855" s="999"/>
      <c r="BFJ855" s="999"/>
      <c r="BFK855" s="999"/>
      <c r="BFL855" s="999"/>
      <c r="BFM855" s="999"/>
      <c r="BFN855" s="999"/>
      <c r="BFO855" s="999"/>
      <c r="BFP855" s="999"/>
      <c r="BFQ855" s="999"/>
      <c r="BFR855" s="999"/>
      <c r="BFS855" s="999"/>
      <c r="BFT855" s="999"/>
      <c r="BFU855" s="999"/>
      <c r="BFV855" s="999"/>
      <c r="BFW855" s="999"/>
      <c r="BFX855" s="999"/>
      <c r="BFY855" s="999"/>
      <c r="BFZ855" s="999"/>
      <c r="BGA855" s="999"/>
      <c r="BGB855" s="999"/>
      <c r="BGC855" s="999"/>
      <c r="BGD855" s="999"/>
      <c r="BGE855" s="999"/>
      <c r="BGF855" s="999"/>
      <c r="BGG855" s="999"/>
      <c r="BGH855" s="999"/>
      <c r="BGI855" s="999"/>
      <c r="BGJ855" s="999"/>
      <c r="BGK855" s="999"/>
      <c r="BGL855" s="999"/>
      <c r="BGM855" s="999"/>
      <c r="BGN855" s="999"/>
      <c r="BGO855" s="999"/>
      <c r="BGP855" s="999"/>
      <c r="BGQ855" s="999"/>
      <c r="BGR855" s="999"/>
      <c r="BGS855" s="999"/>
      <c r="BGT855" s="999"/>
      <c r="BGU855" s="999"/>
      <c r="BGV855" s="999"/>
      <c r="BGW855" s="999"/>
      <c r="BGX855" s="999"/>
      <c r="BGY855" s="999"/>
      <c r="BGZ855" s="999"/>
      <c r="BHA855" s="999"/>
      <c r="BHB855" s="999"/>
      <c r="BHC855" s="999"/>
      <c r="BHD855" s="999"/>
      <c r="BHE855" s="999"/>
      <c r="BHF855" s="999"/>
      <c r="BHG855" s="999"/>
      <c r="BHH855" s="999"/>
      <c r="BHI855" s="999"/>
      <c r="BHJ855" s="999"/>
      <c r="BHK855" s="999"/>
      <c r="BHL855" s="999"/>
      <c r="BHM855" s="999"/>
      <c r="BHN855" s="999"/>
      <c r="BHO855" s="999"/>
      <c r="BHP855" s="999"/>
      <c r="BHQ855" s="999"/>
      <c r="BHR855" s="999"/>
      <c r="BHS855" s="999"/>
      <c r="BHT855" s="999"/>
      <c r="BHU855" s="999"/>
      <c r="BHV855" s="999"/>
      <c r="BHW855" s="999"/>
      <c r="BHX855" s="999"/>
      <c r="BHY855" s="999"/>
      <c r="BHZ855" s="999"/>
      <c r="BIA855" s="999"/>
      <c r="BIB855" s="999"/>
      <c r="BIC855" s="999"/>
      <c r="BID855" s="999"/>
      <c r="BIE855" s="999"/>
      <c r="BIF855" s="999"/>
      <c r="BIG855" s="999"/>
      <c r="BIH855" s="999"/>
      <c r="BII855" s="999"/>
      <c r="BIJ855" s="999"/>
      <c r="BIK855" s="999"/>
      <c r="BIL855" s="999"/>
      <c r="BIM855" s="999"/>
      <c r="BIN855" s="999"/>
      <c r="BIO855" s="999"/>
      <c r="BIP855" s="999"/>
      <c r="BIQ855" s="999"/>
      <c r="BIR855" s="999"/>
      <c r="BIS855" s="999"/>
      <c r="BIT855" s="999"/>
      <c r="BIU855" s="999"/>
      <c r="BIV855" s="999"/>
      <c r="BIW855" s="999"/>
      <c r="BIX855" s="999"/>
      <c r="BIY855" s="999"/>
      <c r="BIZ855" s="999"/>
      <c r="BJA855" s="999"/>
      <c r="BJB855" s="999"/>
      <c r="BJC855" s="999"/>
      <c r="BJD855" s="999"/>
      <c r="BJE855" s="999"/>
      <c r="BJF855" s="999"/>
      <c r="BJG855" s="999"/>
      <c r="BJH855" s="999"/>
      <c r="BJI855" s="999"/>
      <c r="BJJ855" s="999"/>
      <c r="BJK855" s="999"/>
      <c r="BJL855" s="999"/>
      <c r="BJM855" s="999"/>
      <c r="BJN855" s="999"/>
      <c r="BJO855" s="999"/>
      <c r="BJP855" s="999"/>
      <c r="BJQ855" s="999"/>
      <c r="BJR855" s="999"/>
      <c r="BJS855" s="999"/>
      <c r="BJT855" s="999"/>
      <c r="BJU855" s="999"/>
      <c r="BJV855" s="999"/>
      <c r="BJW855" s="999"/>
      <c r="BJX855" s="999"/>
      <c r="BJY855" s="999"/>
      <c r="BJZ855" s="999"/>
      <c r="BKA855" s="999"/>
      <c r="BKB855" s="999"/>
      <c r="BKC855" s="999"/>
      <c r="BKD855" s="999"/>
      <c r="BKE855" s="999"/>
      <c r="BKF855" s="999"/>
      <c r="BKG855" s="999"/>
      <c r="BKH855" s="999"/>
      <c r="BKI855" s="999"/>
      <c r="BKJ855" s="999"/>
      <c r="BKK855" s="999"/>
      <c r="BKL855" s="999"/>
      <c r="BKM855" s="999"/>
      <c r="BKN855" s="999"/>
      <c r="BKO855" s="999"/>
      <c r="BKP855" s="999"/>
      <c r="BKQ855" s="999"/>
      <c r="BKR855" s="999"/>
      <c r="BKS855" s="999"/>
      <c r="BKT855" s="999"/>
      <c r="BKU855" s="999"/>
      <c r="BKV855" s="999"/>
      <c r="BKW855" s="999"/>
      <c r="BKX855" s="999"/>
      <c r="BKY855" s="999"/>
      <c r="BKZ855" s="999"/>
      <c r="BLA855" s="999"/>
      <c r="BLB855" s="999"/>
      <c r="BLC855" s="999"/>
      <c r="BLD855" s="999"/>
      <c r="BLE855" s="999"/>
      <c r="BLF855" s="999"/>
      <c r="BLG855" s="999"/>
      <c r="BLH855" s="999"/>
      <c r="BLI855" s="999"/>
      <c r="BLJ855" s="999"/>
      <c r="BLK855" s="999"/>
      <c r="BLL855" s="999"/>
      <c r="BLM855" s="999"/>
      <c r="BLN855" s="999"/>
      <c r="BLO855" s="999"/>
      <c r="BLP855" s="999"/>
      <c r="BLQ855" s="999"/>
      <c r="BLR855" s="999"/>
      <c r="BLS855" s="999"/>
      <c r="BLT855" s="999"/>
      <c r="BLU855" s="999"/>
      <c r="BLV855" s="999"/>
      <c r="BLW855" s="999"/>
      <c r="BLX855" s="999"/>
      <c r="BLY855" s="999"/>
      <c r="BLZ855" s="999"/>
      <c r="BMA855" s="999"/>
      <c r="BMB855" s="999"/>
      <c r="BMC855" s="999"/>
      <c r="BMD855" s="999"/>
      <c r="BME855" s="999"/>
      <c r="BMF855" s="999"/>
      <c r="BMG855" s="999"/>
      <c r="BMH855" s="999"/>
      <c r="BMI855" s="999"/>
      <c r="BMJ855" s="999"/>
      <c r="BMK855" s="999"/>
      <c r="BML855" s="999"/>
      <c r="BMM855" s="999"/>
      <c r="BMN855" s="999"/>
      <c r="BMO855" s="999"/>
      <c r="BMP855" s="999"/>
      <c r="BMQ855" s="999"/>
      <c r="BMR855" s="999"/>
      <c r="BMS855" s="999"/>
      <c r="BMT855" s="999"/>
      <c r="BMU855" s="999"/>
      <c r="BMV855" s="999"/>
      <c r="BMW855" s="999"/>
      <c r="BMX855" s="999"/>
      <c r="BMY855" s="999"/>
      <c r="BMZ855" s="999"/>
      <c r="BNA855" s="999"/>
      <c r="BNB855" s="999"/>
      <c r="BNC855" s="999"/>
      <c r="BND855" s="999"/>
      <c r="BNE855" s="999"/>
      <c r="BNF855" s="999"/>
      <c r="BNG855" s="999"/>
      <c r="BNH855" s="999"/>
      <c r="BNI855" s="999"/>
      <c r="BNJ855" s="999"/>
      <c r="BNK855" s="999"/>
      <c r="BNL855" s="999"/>
      <c r="BNM855" s="999"/>
      <c r="BNN855" s="999"/>
      <c r="BNO855" s="999"/>
      <c r="BNP855" s="999"/>
      <c r="BNQ855" s="999"/>
      <c r="BNR855" s="999"/>
      <c r="BNS855" s="999"/>
      <c r="BNT855" s="999"/>
      <c r="BNU855" s="999"/>
      <c r="BNV855" s="999"/>
      <c r="BNW855" s="999"/>
      <c r="BNX855" s="999"/>
      <c r="BNY855" s="999"/>
      <c r="BNZ855" s="999"/>
      <c r="BOA855" s="999"/>
      <c r="BOB855" s="999"/>
      <c r="BOC855" s="999"/>
      <c r="BOD855" s="999"/>
      <c r="BOE855" s="999"/>
      <c r="BOF855" s="999"/>
      <c r="BOG855" s="999"/>
      <c r="BOH855" s="999"/>
      <c r="BOI855" s="999"/>
      <c r="BOJ855" s="999"/>
      <c r="BOK855" s="999"/>
      <c r="BOL855" s="999"/>
      <c r="BOM855" s="999"/>
      <c r="BON855" s="999"/>
      <c r="BOO855" s="999"/>
      <c r="BOP855" s="999"/>
      <c r="BOQ855" s="999"/>
      <c r="BOR855" s="999"/>
      <c r="BOS855" s="999"/>
      <c r="BOT855" s="999"/>
      <c r="BOU855" s="999"/>
      <c r="BOV855" s="999"/>
      <c r="BOW855" s="999"/>
      <c r="BOX855" s="999"/>
      <c r="BOY855" s="999"/>
      <c r="BOZ855" s="999"/>
      <c r="BPA855" s="999"/>
      <c r="BPB855" s="999"/>
      <c r="BPC855" s="999"/>
      <c r="BPD855" s="999"/>
      <c r="BPE855" s="999"/>
      <c r="BPF855" s="999"/>
      <c r="BPG855" s="999"/>
      <c r="BPH855" s="999"/>
      <c r="BPI855" s="999"/>
      <c r="BPJ855" s="999"/>
      <c r="BPK855" s="999"/>
      <c r="BPL855" s="999"/>
      <c r="BPM855" s="999"/>
      <c r="BPN855" s="999"/>
      <c r="BPO855" s="999"/>
      <c r="BPP855" s="999"/>
      <c r="BPQ855" s="999"/>
      <c r="BPR855" s="999"/>
      <c r="BPS855" s="999"/>
      <c r="BPT855" s="999"/>
      <c r="BPU855" s="999"/>
      <c r="BPV855" s="999"/>
      <c r="BPW855" s="999"/>
      <c r="BPX855" s="999"/>
      <c r="BPY855" s="999"/>
      <c r="BPZ855" s="999"/>
      <c r="BQA855" s="999"/>
      <c r="BQB855" s="999"/>
      <c r="BQC855" s="999"/>
      <c r="BQD855" s="999"/>
      <c r="BQE855" s="999"/>
      <c r="BQF855" s="999"/>
      <c r="BQG855" s="999"/>
      <c r="BQH855" s="999"/>
      <c r="BQI855" s="999"/>
      <c r="BQJ855" s="999"/>
      <c r="BQK855" s="999"/>
      <c r="BQL855" s="999"/>
      <c r="BQM855" s="999"/>
      <c r="BQN855" s="999"/>
      <c r="BQO855" s="999"/>
      <c r="BQP855" s="999"/>
      <c r="BQQ855" s="999"/>
      <c r="BQR855" s="999"/>
      <c r="BQS855" s="999"/>
      <c r="BQT855" s="999"/>
      <c r="BQU855" s="999"/>
      <c r="BQV855" s="999"/>
      <c r="BQW855" s="999"/>
      <c r="BQX855" s="999"/>
      <c r="BQY855" s="999"/>
      <c r="BQZ855" s="999"/>
      <c r="BRA855" s="999"/>
      <c r="BRB855" s="999"/>
      <c r="BRC855" s="999"/>
      <c r="BRD855" s="999"/>
      <c r="BRE855" s="999"/>
      <c r="BRF855" s="999"/>
      <c r="BRG855" s="999"/>
      <c r="BRH855" s="999"/>
      <c r="BRI855" s="999"/>
      <c r="BRJ855" s="999"/>
      <c r="BRK855" s="999"/>
      <c r="BRL855" s="999"/>
      <c r="BRM855" s="999"/>
      <c r="BRN855" s="999"/>
      <c r="BRO855" s="999"/>
      <c r="BRP855" s="999"/>
      <c r="BRQ855" s="999"/>
      <c r="BRR855" s="999"/>
      <c r="BRS855" s="999"/>
      <c r="BRT855" s="999"/>
      <c r="BRU855" s="999"/>
      <c r="BRV855" s="999"/>
      <c r="BRW855" s="999"/>
      <c r="BRX855" s="999"/>
      <c r="BRY855" s="999"/>
      <c r="BRZ855" s="999"/>
      <c r="BSA855" s="999"/>
      <c r="BSB855" s="999"/>
      <c r="BSC855" s="999"/>
      <c r="BSD855" s="999"/>
      <c r="BSE855" s="999"/>
      <c r="BSF855" s="999"/>
      <c r="BSG855" s="999"/>
      <c r="BSH855" s="999"/>
      <c r="BSI855" s="999"/>
      <c r="BSJ855" s="999"/>
      <c r="BSK855" s="999"/>
      <c r="BSL855" s="999"/>
      <c r="BSM855" s="999"/>
      <c r="BSN855" s="999"/>
      <c r="BSO855" s="999"/>
      <c r="BSP855" s="999"/>
      <c r="BSQ855" s="999"/>
      <c r="BSR855" s="999"/>
      <c r="BSS855" s="999"/>
      <c r="BST855" s="999"/>
      <c r="BSU855" s="999"/>
      <c r="BSV855" s="999"/>
      <c r="BSW855" s="999"/>
      <c r="BSX855" s="999"/>
      <c r="BSY855" s="999"/>
      <c r="BSZ855" s="999"/>
      <c r="BTA855" s="999"/>
      <c r="BTB855" s="999"/>
      <c r="BTC855" s="999"/>
      <c r="BTD855" s="999"/>
      <c r="BTE855" s="999"/>
      <c r="BTF855" s="999"/>
      <c r="BTG855" s="999"/>
      <c r="BTH855" s="999"/>
      <c r="BTI855" s="999"/>
      <c r="BTJ855" s="999"/>
      <c r="BTK855" s="999"/>
      <c r="BTL855" s="999"/>
      <c r="BTM855" s="999"/>
      <c r="BTN855" s="999"/>
      <c r="BTO855" s="999"/>
      <c r="BTP855" s="999"/>
      <c r="BTQ855" s="999"/>
      <c r="BTR855" s="999"/>
      <c r="BTS855" s="999"/>
      <c r="BTT855" s="999"/>
      <c r="BTU855" s="999"/>
      <c r="BTV855" s="999"/>
      <c r="BTW855" s="999"/>
      <c r="BTX855" s="999"/>
      <c r="BTY855" s="999"/>
      <c r="BTZ855" s="999"/>
      <c r="BUA855" s="999"/>
      <c r="BUB855" s="999"/>
      <c r="BUC855" s="999"/>
      <c r="BUD855" s="999"/>
      <c r="BUE855" s="999"/>
      <c r="BUF855" s="999"/>
      <c r="BUG855" s="999"/>
      <c r="BUH855" s="999"/>
      <c r="BUI855" s="999"/>
      <c r="BUJ855" s="999"/>
      <c r="BUK855" s="999"/>
      <c r="BUL855" s="999"/>
      <c r="BUM855" s="999"/>
      <c r="BUN855" s="999"/>
      <c r="BUO855" s="999"/>
      <c r="BUP855" s="999"/>
      <c r="BUQ855" s="999"/>
      <c r="BUR855" s="999"/>
      <c r="BUS855" s="999"/>
      <c r="BUT855" s="999"/>
      <c r="BUU855" s="999"/>
      <c r="BUV855" s="999"/>
      <c r="BUW855" s="999"/>
      <c r="BUX855" s="999"/>
      <c r="BUY855" s="999"/>
      <c r="BUZ855" s="999"/>
      <c r="BVA855" s="999"/>
      <c r="BVB855" s="999"/>
      <c r="BVC855" s="999"/>
      <c r="BVD855" s="999"/>
      <c r="BVE855" s="999"/>
      <c r="BVF855" s="999"/>
      <c r="BVG855" s="999"/>
      <c r="BVH855" s="999"/>
      <c r="BVI855" s="999"/>
      <c r="BVJ855" s="999"/>
      <c r="BVK855" s="999"/>
      <c r="BVL855" s="999"/>
      <c r="BVM855" s="999"/>
      <c r="BVN855" s="999"/>
      <c r="BVO855" s="999"/>
      <c r="BVP855" s="999"/>
      <c r="BVQ855" s="999"/>
      <c r="BVR855" s="999"/>
      <c r="BVS855" s="999"/>
      <c r="BVT855" s="999"/>
      <c r="BVU855" s="999"/>
      <c r="BVV855" s="999"/>
      <c r="BVW855" s="999"/>
      <c r="BVX855" s="999"/>
      <c r="BVY855" s="999"/>
      <c r="BVZ855" s="999"/>
      <c r="BWA855" s="999"/>
      <c r="BWB855" s="999"/>
      <c r="BWC855" s="999"/>
      <c r="BWD855" s="999"/>
      <c r="BWE855" s="999"/>
      <c r="BWF855" s="999"/>
      <c r="BWG855" s="999"/>
      <c r="BWH855" s="999"/>
      <c r="BWI855" s="999"/>
      <c r="BWJ855" s="999"/>
      <c r="BWK855" s="999"/>
      <c r="BWL855" s="999"/>
      <c r="BWM855" s="999"/>
      <c r="BWN855" s="999"/>
      <c r="BWO855" s="999"/>
      <c r="BWP855" s="999"/>
      <c r="BWQ855" s="999"/>
      <c r="BWR855" s="999"/>
      <c r="BWS855" s="999"/>
      <c r="BWT855" s="999"/>
      <c r="BWU855" s="999"/>
      <c r="BWV855" s="999"/>
      <c r="BWW855" s="999"/>
      <c r="BWX855" s="999"/>
      <c r="BWY855" s="999"/>
      <c r="BWZ855" s="999"/>
      <c r="BXA855" s="999"/>
      <c r="BXB855" s="999"/>
      <c r="BXC855" s="999"/>
      <c r="BXD855" s="999"/>
      <c r="BXE855" s="999"/>
      <c r="BXF855" s="999"/>
      <c r="BXG855" s="999"/>
      <c r="BXH855" s="999"/>
      <c r="BXI855" s="999"/>
      <c r="BXJ855" s="999"/>
      <c r="BXK855" s="999"/>
      <c r="BXL855" s="999"/>
      <c r="BXM855" s="999"/>
      <c r="BXN855" s="999"/>
      <c r="BXO855" s="999"/>
      <c r="BXP855" s="999"/>
      <c r="BXQ855" s="999"/>
      <c r="BXR855" s="999"/>
      <c r="BXS855" s="999"/>
      <c r="BXT855" s="999"/>
      <c r="BXU855" s="999"/>
      <c r="BXV855" s="999"/>
      <c r="BXW855" s="999"/>
      <c r="BXX855" s="999"/>
      <c r="BXY855" s="999"/>
      <c r="BXZ855" s="999"/>
      <c r="BYA855" s="999"/>
      <c r="BYB855" s="999"/>
      <c r="BYC855" s="999"/>
      <c r="BYD855" s="999"/>
      <c r="BYE855" s="999"/>
      <c r="BYF855" s="999"/>
      <c r="BYG855" s="999"/>
      <c r="BYH855" s="999"/>
      <c r="BYI855" s="999"/>
      <c r="BYJ855" s="999"/>
      <c r="BYK855" s="999"/>
      <c r="BYL855" s="999"/>
      <c r="BYM855" s="999"/>
      <c r="BYN855" s="999"/>
      <c r="BYO855" s="999"/>
      <c r="BYP855" s="999"/>
      <c r="BYQ855" s="999"/>
      <c r="BYR855" s="999"/>
      <c r="BYS855" s="999"/>
      <c r="BYT855" s="999"/>
      <c r="BYU855" s="999"/>
      <c r="BYV855" s="999"/>
      <c r="BYW855" s="999"/>
      <c r="BYX855" s="999"/>
      <c r="BYY855" s="999"/>
      <c r="BYZ855" s="999"/>
      <c r="BZA855" s="999"/>
      <c r="BZB855" s="999"/>
      <c r="BZC855" s="999"/>
      <c r="BZD855" s="999"/>
      <c r="BZE855" s="999"/>
      <c r="BZF855" s="999"/>
      <c r="BZG855" s="999"/>
      <c r="BZH855" s="999"/>
      <c r="BZI855" s="999"/>
      <c r="BZJ855" s="999"/>
      <c r="BZK855" s="999"/>
      <c r="BZL855" s="999"/>
      <c r="BZM855" s="999"/>
      <c r="BZN855" s="999"/>
      <c r="BZO855" s="999"/>
      <c r="BZP855" s="999"/>
      <c r="BZQ855" s="999"/>
      <c r="BZR855" s="999"/>
      <c r="BZS855" s="999"/>
      <c r="BZT855" s="999"/>
      <c r="BZU855" s="999"/>
      <c r="BZV855" s="999"/>
      <c r="BZW855" s="999"/>
      <c r="BZX855" s="999"/>
      <c r="BZY855" s="999"/>
      <c r="BZZ855" s="999"/>
      <c r="CAA855" s="999"/>
      <c r="CAB855" s="999"/>
      <c r="CAC855" s="999"/>
      <c r="CAD855" s="999"/>
      <c r="CAE855" s="999"/>
      <c r="CAF855" s="999"/>
      <c r="CAG855" s="999"/>
      <c r="CAH855" s="999"/>
      <c r="CAI855" s="999"/>
      <c r="CAJ855" s="999"/>
      <c r="CAK855" s="999"/>
      <c r="CAL855" s="999"/>
      <c r="CAM855" s="999"/>
      <c r="CAN855" s="999"/>
      <c r="CAO855" s="999"/>
      <c r="CAP855" s="999"/>
      <c r="CAQ855" s="999"/>
      <c r="CAR855" s="999"/>
      <c r="CAS855" s="999"/>
      <c r="CAT855" s="999"/>
      <c r="CAU855" s="999"/>
      <c r="CAV855" s="999"/>
      <c r="CAW855" s="999"/>
      <c r="CAX855" s="999"/>
      <c r="CAY855" s="999"/>
      <c r="CAZ855" s="999"/>
      <c r="CBA855" s="999"/>
      <c r="CBB855" s="999"/>
      <c r="CBC855" s="999"/>
      <c r="CBD855" s="999"/>
      <c r="CBE855" s="999"/>
      <c r="CBF855" s="999"/>
      <c r="CBG855" s="999"/>
      <c r="CBH855" s="999"/>
      <c r="CBI855" s="999"/>
      <c r="CBJ855" s="999"/>
      <c r="CBK855" s="999"/>
      <c r="CBL855" s="999"/>
      <c r="CBM855" s="999"/>
      <c r="CBN855" s="999"/>
      <c r="CBO855" s="999"/>
      <c r="CBP855" s="999"/>
      <c r="CBQ855" s="999"/>
      <c r="CBR855" s="999"/>
      <c r="CBS855" s="999"/>
      <c r="CBT855" s="999"/>
      <c r="CBU855" s="999"/>
      <c r="CBV855" s="999"/>
      <c r="CBW855" s="999"/>
      <c r="CBX855" s="999"/>
      <c r="CBY855" s="999"/>
      <c r="CBZ855" s="999"/>
      <c r="CCA855" s="999"/>
      <c r="CCB855" s="999"/>
      <c r="CCC855" s="999"/>
      <c r="CCD855" s="999"/>
      <c r="CCE855" s="999"/>
      <c r="CCF855" s="999"/>
      <c r="CCG855" s="999"/>
      <c r="CCH855" s="999"/>
      <c r="CCI855" s="999"/>
      <c r="CCJ855" s="999"/>
      <c r="CCK855" s="999"/>
      <c r="CCL855" s="999"/>
      <c r="CCM855" s="999"/>
      <c r="CCN855" s="999"/>
      <c r="CCO855" s="999"/>
      <c r="CCP855" s="999"/>
      <c r="CCQ855" s="999"/>
      <c r="CCR855" s="999"/>
      <c r="CCS855" s="999"/>
      <c r="CCT855" s="999"/>
      <c r="CCU855" s="999"/>
      <c r="CCV855" s="999"/>
      <c r="CCW855" s="999"/>
      <c r="CCX855" s="999"/>
      <c r="CCY855" s="999"/>
      <c r="CCZ855" s="999"/>
      <c r="CDA855" s="999"/>
      <c r="CDB855" s="999"/>
      <c r="CDC855" s="999"/>
      <c r="CDD855" s="999"/>
      <c r="CDE855" s="999"/>
      <c r="CDF855" s="999"/>
      <c r="CDG855" s="999"/>
      <c r="CDH855" s="999"/>
      <c r="CDI855" s="999"/>
      <c r="CDJ855" s="999"/>
      <c r="CDK855" s="999"/>
      <c r="CDL855" s="999"/>
      <c r="CDM855" s="999"/>
      <c r="CDN855" s="999"/>
      <c r="CDO855" s="999"/>
      <c r="CDP855" s="999"/>
      <c r="CDQ855" s="999"/>
      <c r="CDR855" s="999"/>
      <c r="CDS855" s="999"/>
      <c r="CDT855" s="999"/>
      <c r="CDU855" s="999"/>
      <c r="CDV855" s="999"/>
      <c r="CDW855" s="999"/>
      <c r="CDX855" s="999"/>
      <c r="CDY855" s="999"/>
      <c r="CDZ855" s="999"/>
      <c r="CEA855" s="999"/>
      <c r="CEB855" s="999"/>
      <c r="CEC855" s="999"/>
      <c r="CED855" s="999"/>
      <c r="CEE855" s="999"/>
      <c r="CEF855" s="999"/>
      <c r="CEG855" s="999"/>
      <c r="CEH855" s="999"/>
      <c r="CEI855" s="999"/>
      <c r="CEJ855" s="999"/>
      <c r="CEK855" s="999"/>
      <c r="CEL855" s="999"/>
      <c r="CEM855" s="999"/>
      <c r="CEN855" s="999"/>
      <c r="CEO855" s="999"/>
      <c r="CEP855" s="999"/>
      <c r="CEQ855" s="999"/>
      <c r="CER855" s="999"/>
      <c r="CES855" s="999"/>
      <c r="CET855" s="999"/>
      <c r="CEU855" s="999"/>
      <c r="CEV855" s="999"/>
      <c r="CEW855" s="999"/>
      <c r="CEX855" s="999"/>
      <c r="CEY855" s="999"/>
      <c r="CEZ855" s="999"/>
      <c r="CFA855" s="999"/>
      <c r="CFB855" s="999"/>
      <c r="CFC855" s="999"/>
      <c r="CFD855" s="999"/>
      <c r="CFE855" s="999"/>
      <c r="CFF855" s="999"/>
      <c r="CFG855" s="999"/>
      <c r="CFH855" s="999"/>
      <c r="CFI855" s="999"/>
      <c r="CFJ855" s="999"/>
      <c r="CFK855" s="999"/>
      <c r="CFL855" s="999"/>
      <c r="CFM855" s="999"/>
      <c r="CFN855" s="999"/>
      <c r="CFO855" s="999"/>
      <c r="CFP855" s="999"/>
      <c r="CFQ855" s="999"/>
      <c r="CFR855" s="999"/>
      <c r="CFS855" s="999"/>
      <c r="CFT855" s="999"/>
      <c r="CFU855" s="999"/>
      <c r="CFV855" s="999"/>
      <c r="CFW855" s="999"/>
      <c r="CFX855" s="999"/>
      <c r="CFY855" s="999"/>
      <c r="CFZ855" s="999"/>
      <c r="CGA855" s="999"/>
      <c r="CGB855" s="999"/>
      <c r="CGC855" s="999"/>
      <c r="CGD855" s="999"/>
      <c r="CGE855" s="999"/>
      <c r="CGF855" s="999"/>
      <c r="CGG855" s="999"/>
      <c r="CGH855" s="999"/>
      <c r="CGI855" s="999"/>
      <c r="CGJ855" s="999"/>
      <c r="CGK855" s="999"/>
      <c r="CGL855" s="999"/>
      <c r="CGM855" s="999"/>
      <c r="CGN855" s="999"/>
      <c r="CGO855" s="999"/>
      <c r="CGP855" s="999"/>
      <c r="CGQ855" s="999"/>
      <c r="CGR855" s="999"/>
      <c r="CGS855" s="999"/>
      <c r="CGT855" s="999"/>
      <c r="CGU855" s="999"/>
      <c r="CGV855" s="999"/>
      <c r="CGW855" s="999"/>
      <c r="CGX855" s="999"/>
      <c r="CGY855" s="999"/>
      <c r="CGZ855" s="999"/>
      <c r="CHA855" s="999"/>
      <c r="CHB855" s="999"/>
      <c r="CHC855" s="999"/>
      <c r="CHD855" s="999"/>
      <c r="CHE855" s="999"/>
      <c r="CHF855" s="999"/>
      <c r="CHG855" s="999"/>
      <c r="CHH855" s="999"/>
      <c r="CHI855" s="999"/>
      <c r="CHJ855" s="999"/>
      <c r="CHK855" s="999"/>
      <c r="CHL855" s="999"/>
      <c r="CHM855" s="999"/>
      <c r="CHN855" s="999"/>
      <c r="CHO855" s="999"/>
      <c r="CHP855" s="999"/>
      <c r="CHQ855" s="999"/>
      <c r="CHR855" s="999"/>
      <c r="CHS855" s="999"/>
      <c r="CHT855" s="999"/>
      <c r="CHU855" s="999"/>
      <c r="CHV855" s="999"/>
      <c r="CHW855" s="999"/>
      <c r="CHX855" s="999"/>
      <c r="CHY855" s="999"/>
      <c r="CHZ855" s="999"/>
      <c r="CIA855" s="999"/>
      <c r="CIB855" s="999"/>
      <c r="CIC855" s="999"/>
      <c r="CID855" s="999"/>
      <c r="CIE855" s="999"/>
      <c r="CIF855" s="999"/>
      <c r="CIG855" s="999"/>
      <c r="CIH855" s="999"/>
      <c r="CII855" s="999"/>
      <c r="CIJ855" s="999"/>
      <c r="CIK855" s="999"/>
      <c r="CIL855" s="999"/>
      <c r="CIM855" s="999"/>
      <c r="CIN855" s="999"/>
      <c r="CIO855" s="999"/>
      <c r="CIP855" s="999"/>
      <c r="CIQ855" s="999"/>
      <c r="CIR855" s="999"/>
      <c r="CIS855" s="999"/>
      <c r="CIT855" s="999"/>
      <c r="CIU855" s="999"/>
      <c r="CIV855" s="999"/>
      <c r="CIW855" s="999"/>
      <c r="CIX855" s="999"/>
      <c r="CIY855" s="999"/>
      <c r="CIZ855" s="999"/>
      <c r="CJA855" s="999"/>
      <c r="CJB855" s="999"/>
      <c r="CJC855" s="999"/>
      <c r="CJD855" s="999"/>
      <c r="CJE855" s="999"/>
      <c r="CJF855" s="999"/>
      <c r="CJG855" s="999"/>
      <c r="CJH855" s="999"/>
      <c r="CJI855" s="999"/>
      <c r="CJJ855" s="999"/>
      <c r="CJK855" s="999"/>
      <c r="CJL855" s="999"/>
      <c r="CJM855" s="999"/>
      <c r="CJN855" s="999"/>
      <c r="CJO855" s="999"/>
      <c r="CJP855" s="999"/>
      <c r="CJQ855" s="999"/>
      <c r="CJR855" s="999"/>
      <c r="CJS855" s="999"/>
      <c r="CJT855" s="999"/>
      <c r="CJU855" s="999"/>
      <c r="CJV855" s="999"/>
      <c r="CJW855" s="999"/>
      <c r="CJX855" s="999"/>
      <c r="CJY855" s="999"/>
      <c r="CJZ855" s="999"/>
      <c r="CKA855" s="999"/>
      <c r="CKB855" s="999"/>
      <c r="CKC855" s="999"/>
      <c r="CKD855" s="999"/>
      <c r="CKE855" s="999"/>
      <c r="CKF855" s="999"/>
      <c r="CKG855" s="999"/>
      <c r="CKH855" s="999"/>
      <c r="CKI855" s="999"/>
      <c r="CKJ855" s="999"/>
      <c r="CKK855" s="999"/>
      <c r="CKL855" s="999"/>
      <c r="CKM855" s="999"/>
      <c r="CKN855" s="999"/>
      <c r="CKO855" s="999"/>
      <c r="CKP855" s="999"/>
      <c r="CKQ855" s="999"/>
      <c r="CKR855" s="999"/>
      <c r="CKS855" s="999"/>
      <c r="CKT855" s="999"/>
      <c r="CKU855" s="999"/>
      <c r="CKV855" s="999"/>
      <c r="CKW855" s="999"/>
      <c r="CKX855" s="999"/>
      <c r="CKY855" s="999"/>
      <c r="CKZ855" s="999"/>
      <c r="CLA855" s="999"/>
      <c r="CLB855" s="999"/>
      <c r="CLC855" s="999"/>
      <c r="CLD855" s="999"/>
      <c r="CLE855" s="999"/>
      <c r="CLF855" s="999"/>
      <c r="CLG855" s="999"/>
      <c r="CLH855" s="999"/>
      <c r="CLI855" s="999"/>
      <c r="CLJ855" s="999"/>
      <c r="CLK855" s="999"/>
      <c r="CLL855" s="999"/>
      <c r="CLM855" s="999"/>
      <c r="CLN855" s="999"/>
      <c r="CLO855" s="999"/>
      <c r="CLP855" s="999"/>
      <c r="CLQ855" s="999"/>
      <c r="CLR855" s="999"/>
      <c r="CLS855" s="999"/>
      <c r="CLT855" s="999"/>
      <c r="CLU855" s="999"/>
      <c r="CLV855" s="999"/>
      <c r="CLW855" s="999"/>
      <c r="CLX855" s="999"/>
      <c r="CLY855" s="999"/>
      <c r="CLZ855" s="999"/>
      <c r="CMA855" s="999"/>
      <c r="CMB855" s="999"/>
      <c r="CMC855" s="999"/>
      <c r="CMD855" s="999"/>
      <c r="CME855" s="999"/>
      <c r="CMF855" s="999"/>
      <c r="CMG855" s="999"/>
      <c r="CMH855" s="999"/>
      <c r="CMI855" s="999"/>
      <c r="CMJ855" s="999"/>
      <c r="CMK855" s="999"/>
      <c r="CML855" s="999"/>
      <c r="CMM855" s="999"/>
      <c r="CMN855" s="999"/>
      <c r="CMO855" s="999"/>
      <c r="CMP855" s="999"/>
      <c r="CMQ855" s="999"/>
      <c r="CMR855" s="999"/>
      <c r="CMS855" s="999"/>
      <c r="CMT855" s="999"/>
      <c r="CMU855" s="999"/>
      <c r="CMV855" s="999"/>
      <c r="CMW855" s="999"/>
      <c r="CMX855" s="999"/>
      <c r="CMY855" s="999"/>
      <c r="CMZ855" s="999"/>
      <c r="CNA855" s="999"/>
      <c r="CNB855" s="999"/>
      <c r="CNC855" s="999"/>
      <c r="CND855" s="999"/>
      <c r="CNE855" s="999"/>
      <c r="CNF855" s="999"/>
      <c r="CNG855" s="999"/>
      <c r="CNH855" s="999"/>
      <c r="CNI855" s="999"/>
      <c r="CNJ855" s="999"/>
      <c r="CNK855" s="999"/>
      <c r="CNL855" s="999"/>
      <c r="CNM855" s="999"/>
      <c r="CNN855" s="999"/>
      <c r="CNO855" s="999"/>
      <c r="CNP855" s="999"/>
      <c r="CNQ855" s="999"/>
      <c r="CNR855" s="999"/>
      <c r="CNS855" s="999"/>
      <c r="CNT855" s="999"/>
      <c r="CNU855" s="999"/>
      <c r="CNV855" s="999"/>
      <c r="CNW855" s="999"/>
      <c r="CNX855" s="999"/>
      <c r="CNY855" s="999"/>
      <c r="CNZ855" s="999"/>
      <c r="COA855" s="999"/>
      <c r="COB855" s="999"/>
      <c r="COC855" s="999"/>
      <c r="COD855" s="999"/>
      <c r="COE855" s="999"/>
      <c r="COF855" s="999"/>
      <c r="COG855" s="999"/>
      <c r="COH855" s="999"/>
      <c r="COI855" s="999"/>
      <c r="COJ855" s="999"/>
      <c r="COK855" s="999"/>
      <c r="COL855" s="999"/>
      <c r="COM855" s="999"/>
      <c r="CON855" s="999"/>
      <c r="COO855" s="999"/>
      <c r="COP855" s="999"/>
      <c r="COQ855" s="999"/>
      <c r="COR855" s="999"/>
      <c r="COS855" s="999"/>
      <c r="COT855" s="999"/>
      <c r="COU855" s="999"/>
      <c r="COV855" s="999"/>
      <c r="COW855" s="999"/>
      <c r="COX855" s="999"/>
      <c r="COY855" s="999"/>
      <c r="COZ855" s="999"/>
      <c r="CPA855" s="999"/>
      <c r="CPB855" s="999"/>
      <c r="CPC855" s="999"/>
      <c r="CPD855" s="999"/>
      <c r="CPE855" s="999"/>
      <c r="CPF855" s="999"/>
      <c r="CPG855" s="999"/>
      <c r="CPH855" s="999"/>
      <c r="CPI855" s="999"/>
      <c r="CPJ855" s="999"/>
      <c r="CPK855" s="999"/>
      <c r="CPL855" s="999"/>
      <c r="CPM855" s="999"/>
      <c r="CPN855" s="999"/>
      <c r="CPO855" s="999"/>
      <c r="CPP855" s="999"/>
      <c r="CPQ855" s="999"/>
      <c r="CPR855" s="999"/>
      <c r="CPS855" s="999"/>
      <c r="CPT855" s="999"/>
      <c r="CPU855" s="999"/>
      <c r="CPV855" s="999"/>
      <c r="CPW855" s="999"/>
      <c r="CPX855" s="999"/>
      <c r="CPY855" s="999"/>
      <c r="CPZ855" s="999"/>
      <c r="CQA855" s="999"/>
      <c r="CQB855" s="999"/>
      <c r="CQC855" s="999"/>
      <c r="CQD855" s="999"/>
      <c r="CQE855" s="999"/>
      <c r="CQF855" s="999"/>
      <c r="CQG855" s="999"/>
      <c r="CQH855" s="999"/>
      <c r="CQI855" s="999"/>
      <c r="CQJ855" s="999"/>
      <c r="CQK855" s="999"/>
      <c r="CQL855" s="999"/>
      <c r="CQM855" s="999"/>
      <c r="CQN855" s="999"/>
      <c r="CQO855" s="999"/>
      <c r="CQP855" s="999"/>
      <c r="CQQ855" s="999"/>
      <c r="CQR855" s="999"/>
      <c r="CQS855" s="999"/>
      <c r="CQT855" s="999"/>
      <c r="CQU855" s="999"/>
      <c r="CQV855" s="999"/>
      <c r="CQW855" s="999"/>
      <c r="CQX855" s="999"/>
      <c r="CQY855" s="999"/>
      <c r="CQZ855" s="999"/>
      <c r="CRA855" s="999"/>
      <c r="CRB855" s="999"/>
      <c r="CRC855" s="999"/>
      <c r="CRD855" s="999"/>
      <c r="CRE855" s="999"/>
      <c r="CRF855" s="999"/>
      <c r="CRG855" s="999"/>
      <c r="CRH855" s="999"/>
      <c r="CRI855" s="999"/>
      <c r="CRJ855" s="999"/>
      <c r="CRK855" s="999"/>
      <c r="CRL855" s="999"/>
      <c r="CRM855" s="999"/>
      <c r="CRN855" s="999"/>
      <c r="CRO855" s="999"/>
      <c r="CRP855" s="999"/>
      <c r="CRQ855" s="999"/>
      <c r="CRR855" s="999"/>
      <c r="CRS855" s="999"/>
      <c r="CRT855" s="999"/>
      <c r="CRU855" s="999"/>
      <c r="CRV855" s="999"/>
      <c r="CRW855" s="999"/>
      <c r="CRX855" s="999"/>
      <c r="CRY855" s="999"/>
      <c r="CRZ855" s="999"/>
      <c r="CSA855" s="999"/>
      <c r="CSB855" s="999"/>
      <c r="CSC855" s="999"/>
      <c r="CSD855" s="999"/>
      <c r="CSE855" s="999"/>
      <c r="CSF855" s="999"/>
      <c r="CSG855" s="999"/>
      <c r="CSH855" s="999"/>
      <c r="CSI855" s="999"/>
      <c r="CSJ855" s="999"/>
      <c r="CSK855" s="999"/>
      <c r="CSL855" s="999"/>
      <c r="CSM855" s="999"/>
      <c r="CSN855" s="999"/>
      <c r="CSO855" s="999"/>
      <c r="CSP855" s="999"/>
      <c r="CSQ855" s="999"/>
      <c r="CSR855" s="999"/>
      <c r="CSS855" s="999"/>
      <c r="CST855" s="999"/>
      <c r="CSU855" s="999"/>
      <c r="CSV855" s="999"/>
      <c r="CSW855" s="999"/>
      <c r="CSX855" s="999"/>
      <c r="CSY855" s="999"/>
      <c r="CSZ855" s="999"/>
      <c r="CTA855" s="999"/>
      <c r="CTB855" s="999"/>
      <c r="CTC855" s="999"/>
      <c r="CTD855" s="999"/>
      <c r="CTE855" s="999"/>
      <c r="CTF855" s="999"/>
      <c r="CTG855" s="999"/>
      <c r="CTH855" s="999"/>
      <c r="CTI855" s="999"/>
      <c r="CTJ855" s="999"/>
      <c r="CTK855" s="999"/>
      <c r="CTL855" s="999"/>
      <c r="CTM855" s="999"/>
      <c r="CTN855" s="999"/>
      <c r="CTO855" s="999"/>
      <c r="CTP855" s="999"/>
      <c r="CTQ855" s="999"/>
      <c r="CTR855" s="999"/>
      <c r="CTS855" s="999"/>
      <c r="CTT855" s="999"/>
      <c r="CTU855" s="999"/>
      <c r="CTV855" s="999"/>
      <c r="CTW855" s="999"/>
      <c r="CTX855" s="999"/>
      <c r="CTY855" s="999"/>
      <c r="CTZ855" s="999"/>
      <c r="CUA855" s="999"/>
      <c r="CUB855" s="999"/>
      <c r="CUC855" s="999"/>
      <c r="CUD855" s="999"/>
      <c r="CUE855" s="999"/>
      <c r="CUF855" s="999"/>
      <c r="CUG855" s="999"/>
      <c r="CUH855" s="999"/>
      <c r="CUI855" s="999"/>
      <c r="CUJ855" s="999"/>
      <c r="CUK855" s="999"/>
      <c r="CUL855" s="999"/>
      <c r="CUM855" s="999"/>
      <c r="CUN855" s="999"/>
      <c r="CUO855" s="999"/>
      <c r="CUP855" s="999"/>
      <c r="CUQ855" s="999"/>
      <c r="CUR855" s="999"/>
      <c r="CUS855" s="999"/>
      <c r="CUT855" s="999"/>
      <c r="CUU855" s="999"/>
      <c r="CUV855" s="999"/>
      <c r="CUW855" s="999"/>
      <c r="CUX855" s="999"/>
      <c r="CUY855" s="999"/>
      <c r="CUZ855" s="999"/>
      <c r="CVA855" s="999"/>
      <c r="CVB855" s="999"/>
      <c r="CVC855" s="999"/>
      <c r="CVD855" s="999"/>
      <c r="CVE855" s="999"/>
      <c r="CVF855" s="999"/>
      <c r="CVG855" s="999"/>
      <c r="CVH855" s="999"/>
      <c r="CVI855" s="999"/>
      <c r="CVJ855" s="999"/>
      <c r="CVK855" s="999"/>
      <c r="CVL855" s="999"/>
      <c r="CVM855" s="999"/>
      <c r="CVN855" s="999"/>
      <c r="CVO855" s="999"/>
      <c r="CVP855" s="999"/>
      <c r="CVQ855" s="999"/>
      <c r="CVR855" s="999"/>
      <c r="CVS855" s="999"/>
      <c r="CVT855" s="999"/>
      <c r="CVU855" s="999"/>
      <c r="CVV855" s="999"/>
      <c r="CVW855" s="999"/>
      <c r="CVX855" s="999"/>
      <c r="CVY855" s="999"/>
      <c r="CVZ855" s="999"/>
      <c r="CWA855" s="999"/>
      <c r="CWB855" s="999"/>
      <c r="CWC855" s="999"/>
      <c r="CWD855" s="999"/>
      <c r="CWE855" s="999"/>
      <c r="CWF855" s="999"/>
      <c r="CWG855" s="999"/>
      <c r="CWH855" s="999"/>
      <c r="CWI855" s="999"/>
      <c r="CWJ855" s="999"/>
      <c r="CWK855" s="999"/>
      <c r="CWL855" s="999"/>
      <c r="CWM855" s="999"/>
      <c r="CWN855" s="999"/>
      <c r="CWO855" s="999"/>
      <c r="CWP855" s="999"/>
      <c r="CWQ855" s="999"/>
      <c r="CWR855" s="999"/>
      <c r="CWS855" s="999"/>
      <c r="CWT855" s="999"/>
      <c r="CWU855" s="999"/>
      <c r="CWV855" s="999"/>
      <c r="CWW855" s="999"/>
      <c r="CWX855" s="999"/>
      <c r="CWY855" s="999"/>
      <c r="CWZ855" s="999"/>
      <c r="CXA855" s="999"/>
      <c r="CXB855" s="999"/>
      <c r="CXC855" s="999"/>
      <c r="CXD855" s="999"/>
      <c r="CXE855" s="999"/>
      <c r="CXF855" s="999"/>
      <c r="CXG855" s="999"/>
      <c r="CXH855" s="999"/>
      <c r="CXI855" s="999"/>
      <c r="CXJ855" s="999"/>
      <c r="CXK855" s="999"/>
      <c r="CXL855" s="999"/>
      <c r="CXM855" s="999"/>
      <c r="CXN855" s="999"/>
      <c r="CXO855" s="999"/>
      <c r="CXP855" s="999"/>
      <c r="CXQ855" s="999"/>
      <c r="CXR855" s="999"/>
      <c r="CXS855" s="999"/>
      <c r="CXT855" s="999"/>
      <c r="CXU855" s="999"/>
      <c r="CXV855" s="999"/>
      <c r="CXW855" s="999"/>
      <c r="CXX855" s="999"/>
      <c r="CXY855" s="999"/>
      <c r="CXZ855" s="999"/>
      <c r="CYA855" s="999"/>
      <c r="CYB855" s="999"/>
      <c r="CYC855" s="999"/>
      <c r="CYD855" s="999"/>
      <c r="CYE855" s="999"/>
      <c r="CYF855" s="999"/>
      <c r="CYG855" s="999"/>
      <c r="CYH855" s="999"/>
      <c r="CYI855" s="999"/>
      <c r="CYJ855" s="999"/>
      <c r="CYK855" s="999"/>
      <c r="CYL855" s="999"/>
      <c r="CYM855" s="999"/>
      <c r="CYN855" s="999"/>
      <c r="CYO855" s="999"/>
      <c r="CYP855" s="999"/>
      <c r="CYQ855" s="999"/>
      <c r="CYR855" s="999"/>
      <c r="CYS855" s="999"/>
      <c r="CYT855" s="999"/>
      <c r="CYU855" s="999"/>
      <c r="CYV855" s="999"/>
      <c r="CYW855" s="999"/>
      <c r="CYX855" s="999"/>
      <c r="CYY855" s="999"/>
      <c r="CYZ855" s="999"/>
      <c r="CZA855" s="999"/>
      <c r="CZB855" s="999"/>
      <c r="CZC855" s="999"/>
      <c r="CZD855" s="999"/>
      <c r="CZE855" s="999"/>
      <c r="CZF855" s="999"/>
      <c r="CZG855" s="999"/>
      <c r="CZH855" s="999"/>
      <c r="CZI855" s="999"/>
      <c r="CZJ855" s="999"/>
      <c r="CZK855" s="999"/>
      <c r="CZL855" s="999"/>
      <c r="CZM855" s="999"/>
      <c r="CZN855" s="999"/>
      <c r="CZO855" s="999"/>
      <c r="CZP855" s="999"/>
      <c r="CZQ855" s="999"/>
      <c r="CZR855" s="999"/>
      <c r="CZS855" s="999"/>
      <c r="CZT855" s="999"/>
      <c r="CZU855" s="999"/>
      <c r="CZV855" s="999"/>
      <c r="CZW855" s="999"/>
      <c r="CZX855" s="999"/>
      <c r="CZY855" s="999"/>
      <c r="CZZ855" s="999"/>
      <c r="DAA855" s="999"/>
      <c r="DAB855" s="999"/>
      <c r="DAC855" s="999"/>
      <c r="DAD855" s="999"/>
      <c r="DAE855" s="999"/>
      <c r="DAF855" s="999"/>
      <c r="DAG855" s="999"/>
      <c r="DAH855" s="999"/>
      <c r="DAI855" s="999"/>
      <c r="DAJ855" s="999"/>
      <c r="DAK855" s="999"/>
      <c r="DAL855" s="999"/>
      <c r="DAM855" s="999"/>
      <c r="DAN855" s="999"/>
      <c r="DAO855" s="999"/>
      <c r="DAP855" s="999"/>
      <c r="DAQ855" s="999"/>
      <c r="DAR855" s="999"/>
      <c r="DAS855" s="999"/>
      <c r="DAT855" s="999"/>
      <c r="DAU855" s="999"/>
      <c r="DAV855" s="999"/>
      <c r="DAW855" s="999"/>
      <c r="DAX855" s="999"/>
      <c r="DAY855" s="999"/>
      <c r="DAZ855" s="999"/>
      <c r="DBA855" s="999"/>
      <c r="DBB855" s="999"/>
      <c r="DBC855" s="999"/>
      <c r="DBD855" s="999"/>
      <c r="DBE855" s="999"/>
      <c r="DBF855" s="999"/>
      <c r="DBG855" s="999"/>
      <c r="DBH855" s="999"/>
      <c r="DBI855" s="999"/>
      <c r="DBJ855" s="999"/>
      <c r="DBK855" s="999"/>
      <c r="DBL855" s="999"/>
      <c r="DBM855" s="999"/>
      <c r="DBN855" s="999"/>
      <c r="DBO855" s="999"/>
      <c r="DBP855" s="999"/>
      <c r="DBQ855" s="999"/>
      <c r="DBR855" s="999"/>
      <c r="DBS855" s="999"/>
      <c r="DBT855" s="999"/>
      <c r="DBU855" s="999"/>
      <c r="DBV855" s="999"/>
      <c r="DBW855" s="999"/>
      <c r="DBX855" s="999"/>
      <c r="DBY855" s="999"/>
      <c r="DBZ855" s="999"/>
      <c r="DCA855" s="999"/>
      <c r="DCB855" s="999"/>
      <c r="DCC855" s="999"/>
      <c r="DCD855" s="999"/>
      <c r="DCE855" s="999"/>
      <c r="DCF855" s="999"/>
      <c r="DCG855" s="999"/>
      <c r="DCH855" s="999"/>
      <c r="DCI855" s="999"/>
      <c r="DCJ855" s="999"/>
      <c r="DCK855" s="999"/>
      <c r="DCL855" s="999"/>
      <c r="DCM855" s="999"/>
      <c r="DCN855" s="999"/>
      <c r="DCO855" s="999"/>
      <c r="DCP855" s="999"/>
      <c r="DCQ855" s="999"/>
      <c r="DCR855" s="999"/>
      <c r="DCS855" s="999"/>
      <c r="DCT855" s="999"/>
      <c r="DCU855" s="999"/>
      <c r="DCV855" s="999"/>
      <c r="DCW855" s="999"/>
      <c r="DCX855" s="999"/>
      <c r="DCY855" s="999"/>
      <c r="DCZ855" s="999"/>
      <c r="DDA855" s="999"/>
      <c r="DDB855" s="999"/>
      <c r="DDC855" s="999"/>
      <c r="DDD855" s="999"/>
      <c r="DDE855" s="999"/>
      <c r="DDF855" s="999"/>
      <c r="DDG855" s="999"/>
      <c r="DDH855" s="999"/>
      <c r="DDI855" s="999"/>
      <c r="DDJ855" s="999"/>
      <c r="DDK855" s="999"/>
      <c r="DDL855" s="999"/>
      <c r="DDM855" s="999"/>
      <c r="DDN855" s="999"/>
      <c r="DDO855" s="999"/>
      <c r="DDP855" s="999"/>
      <c r="DDQ855" s="999"/>
      <c r="DDR855" s="999"/>
      <c r="DDS855" s="999"/>
      <c r="DDT855" s="999"/>
      <c r="DDU855" s="999"/>
      <c r="DDV855" s="999"/>
      <c r="DDW855" s="999"/>
      <c r="DDX855" s="999"/>
      <c r="DDY855" s="999"/>
      <c r="DDZ855" s="999"/>
      <c r="DEA855" s="999"/>
      <c r="DEB855" s="999"/>
      <c r="DEC855" s="999"/>
      <c r="DED855" s="999"/>
      <c r="DEE855" s="999"/>
      <c r="DEF855" s="999"/>
      <c r="DEG855" s="999"/>
      <c r="DEH855" s="999"/>
      <c r="DEI855" s="999"/>
      <c r="DEJ855" s="999"/>
      <c r="DEK855" s="999"/>
      <c r="DEL855" s="999"/>
      <c r="DEM855" s="999"/>
      <c r="DEN855" s="999"/>
      <c r="DEO855" s="999"/>
      <c r="DEP855" s="999"/>
      <c r="DEQ855" s="999"/>
      <c r="DER855" s="999"/>
      <c r="DES855" s="999"/>
      <c r="DET855" s="999"/>
      <c r="DEU855" s="999"/>
      <c r="DEV855" s="999"/>
      <c r="DEW855" s="999"/>
      <c r="DEX855" s="999"/>
      <c r="DEY855" s="999"/>
      <c r="DEZ855" s="999"/>
      <c r="DFA855" s="999"/>
      <c r="DFB855" s="999"/>
      <c r="DFC855" s="999"/>
      <c r="DFD855" s="999"/>
      <c r="DFE855" s="999"/>
      <c r="DFF855" s="999"/>
      <c r="DFG855" s="999"/>
      <c r="DFH855" s="999"/>
      <c r="DFI855" s="999"/>
      <c r="DFJ855" s="999"/>
      <c r="DFK855" s="999"/>
      <c r="DFL855" s="999"/>
      <c r="DFM855" s="999"/>
      <c r="DFN855" s="999"/>
      <c r="DFO855" s="999"/>
      <c r="DFP855" s="999"/>
      <c r="DFQ855" s="999"/>
      <c r="DFR855" s="999"/>
      <c r="DFS855" s="999"/>
      <c r="DFT855" s="999"/>
      <c r="DFU855" s="999"/>
      <c r="DFV855" s="999"/>
      <c r="DFW855" s="999"/>
      <c r="DFX855" s="999"/>
      <c r="DFY855" s="999"/>
      <c r="DFZ855" s="999"/>
      <c r="DGA855" s="999"/>
      <c r="DGB855" s="999"/>
      <c r="DGC855" s="999"/>
      <c r="DGD855" s="999"/>
      <c r="DGE855" s="999"/>
      <c r="DGF855" s="999"/>
      <c r="DGG855" s="999"/>
      <c r="DGH855" s="999"/>
      <c r="DGI855" s="999"/>
      <c r="DGJ855" s="999"/>
      <c r="DGK855" s="999"/>
      <c r="DGL855" s="999"/>
      <c r="DGM855" s="999"/>
      <c r="DGN855" s="999"/>
      <c r="DGO855" s="999"/>
      <c r="DGP855" s="999"/>
      <c r="DGQ855" s="999"/>
      <c r="DGR855" s="999"/>
      <c r="DGS855" s="999"/>
      <c r="DGT855" s="999"/>
      <c r="DGU855" s="999"/>
      <c r="DGV855" s="999"/>
      <c r="DGW855" s="999"/>
      <c r="DGX855" s="999"/>
      <c r="DGY855" s="999"/>
      <c r="DGZ855" s="999"/>
      <c r="DHA855" s="999"/>
      <c r="DHB855" s="999"/>
      <c r="DHC855" s="999"/>
      <c r="DHD855" s="999"/>
      <c r="DHE855" s="999"/>
      <c r="DHF855" s="999"/>
      <c r="DHG855" s="999"/>
      <c r="DHH855" s="999"/>
      <c r="DHI855" s="999"/>
      <c r="DHJ855" s="999"/>
      <c r="DHK855" s="999"/>
      <c r="DHL855" s="999"/>
      <c r="DHM855" s="999"/>
      <c r="DHN855" s="999"/>
      <c r="DHO855" s="999"/>
      <c r="DHP855" s="999"/>
      <c r="DHQ855" s="999"/>
      <c r="DHR855" s="999"/>
      <c r="DHS855" s="999"/>
      <c r="DHT855" s="999"/>
      <c r="DHU855" s="999"/>
      <c r="DHV855" s="999"/>
      <c r="DHW855" s="999"/>
      <c r="DHX855" s="999"/>
      <c r="DHY855" s="999"/>
      <c r="DHZ855" s="999"/>
      <c r="DIA855" s="999"/>
      <c r="DIB855" s="999"/>
      <c r="DIC855" s="999"/>
      <c r="DID855" s="999"/>
      <c r="DIE855" s="999"/>
      <c r="DIF855" s="999"/>
      <c r="DIG855" s="999"/>
      <c r="DIH855" s="999"/>
      <c r="DII855" s="999"/>
      <c r="DIJ855" s="999"/>
      <c r="DIK855" s="999"/>
      <c r="DIL855" s="999"/>
      <c r="DIM855" s="999"/>
      <c r="DIN855" s="999"/>
      <c r="DIO855" s="999"/>
      <c r="DIP855" s="999"/>
      <c r="DIQ855" s="999"/>
      <c r="DIR855" s="999"/>
      <c r="DIS855" s="999"/>
      <c r="DIT855" s="999"/>
      <c r="DIU855" s="999"/>
      <c r="DIV855" s="999"/>
      <c r="DIW855" s="999"/>
      <c r="DIX855" s="999"/>
      <c r="DIY855" s="999"/>
      <c r="DIZ855" s="999"/>
      <c r="DJA855" s="999"/>
      <c r="DJB855" s="999"/>
      <c r="DJC855" s="999"/>
      <c r="DJD855" s="999"/>
      <c r="DJE855" s="999"/>
      <c r="DJF855" s="999"/>
      <c r="DJG855" s="999"/>
      <c r="DJH855" s="999"/>
      <c r="DJI855" s="999"/>
      <c r="DJJ855" s="999"/>
      <c r="DJK855" s="999"/>
      <c r="DJL855" s="999"/>
      <c r="DJM855" s="999"/>
      <c r="DJN855" s="999"/>
      <c r="DJO855" s="999"/>
      <c r="DJP855" s="999"/>
      <c r="DJQ855" s="999"/>
      <c r="DJR855" s="999"/>
      <c r="DJS855" s="999"/>
      <c r="DJT855" s="999"/>
      <c r="DJU855" s="999"/>
      <c r="DJV855" s="999"/>
      <c r="DJW855" s="999"/>
      <c r="DJX855" s="999"/>
      <c r="DJY855" s="999"/>
      <c r="DJZ855" s="999"/>
      <c r="DKA855" s="999"/>
      <c r="DKB855" s="999"/>
      <c r="DKC855" s="999"/>
      <c r="DKD855" s="999"/>
      <c r="DKE855" s="999"/>
      <c r="DKF855" s="999"/>
      <c r="DKG855" s="999"/>
      <c r="DKH855" s="999"/>
      <c r="DKI855" s="999"/>
      <c r="DKJ855" s="999"/>
      <c r="DKK855" s="999"/>
      <c r="DKL855" s="999"/>
      <c r="DKM855" s="999"/>
      <c r="DKN855" s="999"/>
      <c r="DKO855" s="999"/>
      <c r="DKP855" s="999"/>
      <c r="DKQ855" s="999"/>
      <c r="DKR855" s="999"/>
      <c r="DKS855" s="999"/>
      <c r="DKT855" s="999"/>
      <c r="DKU855" s="999"/>
      <c r="DKV855" s="999"/>
      <c r="DKW855" s="999"/>
      <c r="DKX855" s="999"/>
      <c r="DKY855" s="999"/>
      <c r="DKZ855" s="999"/>
      <c r="DLA855" s="999"/>
      <c r="DLB855" s="999"/>
      <c r="DLC855" s="999"/>
      <c r="DLD855" s="999"/>
      <c r="DLE855" s="999"/>
      <c r="DLF855" s="999"/>
      <c r="DLG855" s="999"/>
      <c r="DLH855" s="999"/>
      <c r="DLI855" s="999"/>
      <c r="DLJ855" s="999"/>
      <c r="DLK855" s="999"/>
      <c r="DLL855" s="999"/>
      <c r="DLM855" s="999"/>
      <c r="DLN855" s="999"/>
      <c r="DLO855" s="999"/>
      <c r="DLP855" s="999"/>
      <c r="DLQ855" s="999"/>
      <c r="DLR855" s="999"/>
      <c r="DLS855" s="999"/>
      <c r="DLT855" s="999"/>
      <c r="DLU855" s="999"/>
      <c r="DLV855" s="999"/>
      <c r="DLW855" s="999"/>
      <c r="DLX855" s="999"/>
      <c r="DLY855" s="999"/>
      <c r="DLZ855" s="999"/>
      <c r="DMA855" s="999"/>
      <c r="DMB855" s="999"/>
      <c r="DMC855" s="999"/>
      <c r="DMD855" s="999"/>
      <c r="DME855" s="999"/>
      <c r="DMF855" s="999"/>
      <c r="DMG855" s="999"/>
      <c r="DMH855" s="999"/>
      <c r="DMI855" s="999"/>
      <c r="DMJ855" s="999"/>
      <c r="DMK855" s="999"/>
      <c r="DML855" s="999"/>
      <c r="DMM855" s="999"/>
      <c r="DMN855" s="999"/>
      <c r="DMO855" s="999"/>
      <c r="DMP855" s="999"/>
      <c r="DMQ855" s="999"/>
      <c r="DMR855" s="999"/>
      <c r="DMS855" s="999"/>
      <c r="DMT855" s="999"/>
      <c r="DMU855" s="999"/>
      <c r="DMV855" s="999"/>
      <c r="DMW855" s="999"/>
      <c r="DMX855" s="999"/>
      <c r="DMY855" s="999"/>
      <c r="DMZ855" s="999"/>
      <c r="DNA855" s="999"/>
      <c r="DNB855" s="999"/>
      <c r="DNC855" s="999"/>
      <c r="DND855" s="999"/>
      <c r="DNE855" s="999"/>
      <c r="DNF855" s="999"/>
      <c r="DNG855" s="999"/>
      <c r="DNH855" s="999"/>
      <c r="DNI855" s="999"/>
      <c r="DNJ855" s="999"/>
      <c r="DNK855" s="999"/>
      <c r="DNL855" s="999"/>
      <c r="DNM855" s="999"/>
      <c r="DNN855" s="999"/>
      <c r="DNO855" s="999"/>
      <c r="DNP855" s="999"/>
      <c r="DNQ855" s="999"/>
      <c r="DNR855" s="999"/>
      <c r="DNS855" s="999"/>
      <c r="DNT855" s="999"/>
      <c r="DNU855" s="999"/>
      <c r="DNV855" s="999"/>
      <c r="DNW855" s="999"/>
      <c r="DNX855" s="999"/>
      <c r="DNY855" s="999"/>
      <c r="DNZ855" s="999"/>
      <c r="DOA855" s="999"/>
      <c r="DOB855" s="999"/>
      <c r="DOC855" s="999"/>
      <c r="DOD855" s="999"/>
      <c r="DOE855" s="999"/>
      <c r="DOF855" s="999"/>
      <c r="DOG855" s="999"/>
      <c r="DOH855" s="999"/>
      <c r="DOI855" s="999"/>
      <c r="DOJ855" s="999"/>
      <c r="DOK855" s="999"/>
      <c r="DOL855" s="999"/>
      <c r="DOM855" s="999"/>
      <c r="DON855" s="999"/>
      <c r="DOO855" s="999"/>
      <c r="DOP855" s="999"/>
      <c r="DOQ855" s="999"/>
      <c r="DOR855" s="999"/>
      <c r="DOS855" s="999"/>
      <c r="DOT855" s="999"/>
      <c r="DOU855" s="999"/>
      <c r="DOV855" s="999"/>
      <c r="DOW855" s="999"/>
      <c r="DOX855" s="999"/>
      <c r="DOY855" s="999"/>
      <c r="DOZ855" s="999"/>
      <c r="DPA855" s="999"/>
      <c r="DPB855" s="999"/>
      <c r="DPC855" s="999"/>
      <c r="DPD855" s="999"/>
      <c r="DPE855" s="999"/>
      <c r="DPF855" s="999"/>
      <c r="DPG855" s="999"/>
      <c r="DPH855" s="999"/>
      <c r="DPI855" s="999"/>
      <c r="DPJ855" s="999"/>
      <c r="DPK855" s="999"/>
      <c r="DPL855" s="999"/>
      <c r="DPM855" s="999"/>
      <c r="DPN855" s="999"/>
      <c r="DPO855" s="999"/>
      <c r="DPP855" s="999"/>
      <c r="DPQ855" s="999"/>
      <c r="DPR855" s="999"/>
      <c r="DPS855" s="999"/>
      <c r="DPT855" s="999"/>
      <c r="DPU855" s="999"/>
      <c r="DPV855" s="999"/>
      <c r="DPW855" s="999"/>
      <c r="DPX855" s="999"/>
      <c r="DPY855" s="999"/>
      <c r="DPZ855" s="999"/>
      <c r="DQA855" s="999"/>
      <c r="DQB855" s="999"/>
      <c r="DQC855" s="999"/>
      <c r="DQD855" s="999"/>
      <c r="DQE855" s="999"/>
      <c r="DQF855" s="999"/>
      <c r="DQG855" s="999"/>
      <c r="DQH855" s="999"/>
      <c r="DQI855" s="999"/>
      <c r="DQJ855" s="999"/>
      <c r="DQK855" s="999"/>
      <c r="DQL855" s="999"/>
      <c r="DQM855" s="999"/>
      <c r="DQN855" s="999"/>
      <c r="DQO855" s="999"/>
      <c r="DQP855" s="999"/>
      <c r="DQQ855" s="999"/>
      <c r="DQR855" s="999"/>
      <c r="DQS855" s="999"/>
      <c r="DQT855" s="999"/>
      <c r="DQU855" s="999"/>
      <c r="DQV855" s="999"/>
      <c r="DQW855" s="999"/>
      <c r="DQX855" s="999"/>
      <c r="DQY855" s="999"/>
      <c r="DQZ855" s="999"/>
      <c r="DRA855" s="999"/>
      <c r="DRB855" s="999"/>
      <c r="DRC855" s="999"/>
      <c r="DRD855" s="999"/>
      <c r="DRE855" s="999"/>
      <c r="DRF855" s="999"/>
      <c r="DRG855" s="999"/>
      <c r="DRH855" s="999"/>
      <c r="DRI855" s="999"/>
      <c r="DRJ855" s="999"/>
      <c r="DRK855" s="999"/>
      <c r="DRL855" s="999"/>
      <c r="DRM855" s="999"/>
      <c r="DRN855" s="999"/>
      <c r="DRO855" s="999"/>
      <c r="DRP855" s="999"/>
      <c r="DRQ855" s="999"/>
      <c r="DRR855" s="999"/>
      <c r="DRS855" s="999"/>
      <c r="DRT855" s="999"/>
      <c r="DRU855" s="999"/>
      <c r="DRV855" s="999"/>
      <c r="DRW855" s="999"/>
      <c r="DRX855" s="999"/>
      <c r="DRY855" s="999"/>
      <c r="DRZ855" s="999"/>
      <c r="DSA855" s="999"/>
      <c r="DSB855" s="999"/>
      <c r="DSC855" s="999"/>
      <c r="DSD855" s="999"/>
      <c r="DSE855" s="999"/>
      <c r="DSF855" s="999"/>
      <c r="DSG855" s="999"/>
      <c r="DSH855" s="999"/>
      <c r="DSI855" s="999"/>
      <c r="DSJ855" s="999"/>
      <c r="DSK855" s="999"/>
      <c r="DSL855" s="999"/>
      <c r="DSM855" s="999"/>
      <c r="DSN855" s="999"/>
      <c r="DSO855" s="999"/>
      <c r="DSP855" s="999"/>
      <c r="DSQ855" s="999"/>
      <c r="DSR855" s="999"/>
      <c r="DSS855" s="999"/>
      <c r="DST855" s="999"/>
      <c r="DSU855" s="999"/>
      <c r="DSV855" s="999"/>
      <c r="DSW855" s="999"/>
      <c r="DSX855" s="999"/>
      <c r="DSY855" s="999"/>
      <c r="DSZ855" s="999"/>
      <c r="DTA855" s="999"/>
      <c r="DTB855" s="999"/>
      <c r="DTC855" s="999"/>
      <c r="DTD855" s="999"/>
      <c r="DTE855" s="999"/>
      <c r="DTF855" s="999"/>
      <c r="DTG855" s="999"/>
      <c r="DTH855" s="999"/>
      <c r="DTI855" s="999"/>
      <c r="DTJ855" s="999"/>
      <c r="DTK855" s="999"/>
      <c r="DTL855" s="999"/>
      <c r="DTM855" s="999"/>
      <c r="DTN855" s="999"/>
      <c r="DTO855" s="999"/>
      <c r="DTP855" s="999"/>
      <c r="DTQ855" s="999"/>
      <c r="DTR855" s="999"/>
      <c r="DTS855" s="999"/>
      <c r="DTT855" s="999"/>
      <c r="DTU855" s="999"/>
      <c r="DTV855" s="999"/>
      <c r="DTW855" s="999"/>
      <c r="DTX855" s="999"/>
      <c r="DTY855" s="999"/>
      <c r="DTZ855" s="999"/>
      <c r="DUA855" s="999"/>
      <c r="DUB855" s="999"/>
      <c r="DUC855" s="999"/>
      <c r="DUD855" s="999"/>
      <c r="DUE855" s="999"/>
      <c r="DUF855" s="999"/>
      <c r="DUG855" s="999"/>
      <c r="DUH855" s="999"/>
      <c r="DUI855" s="999"/>
      <c r="DUJ855" s="999"/>
      <c r="DUK855" s="999"/>
      <c r="DUL855" s="999"/>
      <c r="DUM855" s="999"/>
      <c r="DUN855" s="999"/>
      <c r="DUO855" s="999"/>
      <c r="DUP855" s="999"/>
      <c r="DUQ855" s="999"/>
      <c r="DUR855" s="999"/>
      <c r="DUS855" s="999"/>
      <c r="DUT855" s="999"/>
      <c r="DUU855" s="999"/>
      <c r="DUV855" s="999"/>
      <c r="DUW855" s="999"/>
      <c r="DUX855" s="999"/>
      <c r="DUY855" s="999"/>
      <c r="DUZ855" s="999"/>
      <c r="DVA855" s="999"/>
      <c r="DVB855" s="999"/>
      <c r="DVC855" s="999"/>
      <c r="DVD855" s="999"/>
      <c r="DVE855" s="999"/>
      <c r="DVF855" s="999"/>
      <c r="DVG855" s="999"/>
      <c r="DVH855" s="999"/>
      <c r="DVI855" s="999"/>
      <c r="DVJ855" s="999"/>
      <c r="DVK855" s="999"/>
      <c r="DVL855" s="999"/>
      <c r="DVM855" s="999"/>
      <c r="DVN855" s="999"/>
      <c r="DVO855" s="999"/>
      <c r="DVP855" s="999"/>
      <c r="DVQ855" s="999"/>
      <c r="DVR855" s="999"/>
      <c r="DVS855" s="999"/>
      <c r="DVT855" s="999"/>
      <c r="DVU855" s="999"/>
      <c r="DVV855" s="999"/>
      <c r="DVW855" s="999"/>
      <c r="DVX855" s="999"/>
      <c r="DVY855" s="999"/>
      <c r="DVZ855" s="999"/>
      <c r="DWA855" s="999"/>
      <c r="DWB855" s="999"/>
      <c r="DWC855" s="999"/>
      <c r="DWD855" s="999"/>
      <c r="DWE855" s="999"/>
      <c r="DWF855" s="999"/>
      <c r="DWG855" s="999"/>
      <c r="DWH855" s="999"/>
      <c r="DWI855" s="999"/>
      <c r="DWJ855" s="999"/>
      <c r="DWK855" s="999"/>
      <c r="DWL855" s="999"/>
      <c r="DWM855" s="999"/>
      <c r="DWN855" s="999"/>
      <c r="DWO855" s="999"/>
      <c r="DWP855" s="999"/>
      <c r="DWQ855" s="999"/>
      <c r="DWR855" s="999"/>
      <c r="DWS855" s="999"/>
      <c r="DWT855" s="999"/>
      <c r="DWU855" s="999"/>
      <c r="DWV855" s="999"/>
      <c r="DWW855" s="999"/>
      <c r="DWX855" s="999"/>
      <c r="DWY855" s="999"/>
      <c r="DWZ855" s="999"/>
      <c r="DXA855" s="999"/>
      <c r="DXB855" s="999"/>
      <c r="DXC855" s="999"/>
      <c r="DXD855" s="999"/>
      <c r="DXE855" s="999"/>
      <c r="DXF855" s="999"/>
      <c r="DXG855" s="999"/>
      <c r="DXH855" s="999"/>
      <c r="DXI855" s="999"/>
      <c r="DXJ855" s="999"/>
      <c r="DXK855" s="999"/>
      <c r="DXL855" s="999"/>
      <c r="DXM855" s="999"/>
      <c r="DXN855" s="999"/>
      <c r="DXO855" s="999"/>
      <c r="DXP855" s="999"/>
      <c r="DXQ855" s="999"/>
      <c r="DXR855" s="999"/>
      <c r="DXS855" s="999"/>
      <c r="DXT855" s="999"/>
      <c r="DXU855" s="999"/>
      <c r="DXV855" s="999"/>
      <c r="DXW855" s="999"/>
      <c r="DXX855" s="999"/>
      <c r="DXY855" s="999"/>
      <c r="DXZ855" s="999"/>
      <c r="DYA855" s="999"/>
      <c r="DYB855" s="999"/>
      <c r="DYC855" s="999"/>
      <c r="DYD855" s="999"/>
      <c r="DYE855" s="999"/>
      <c r="DYF855" s="999"/>
      <c r="DYG855" s="999"/>
      <c r="DYH855" s="999"/>
      <c r="DYI855" s="999"/>
      <c r="DYJ855" s="999"/>
      <c r="DYK855" s="999"/>
      <c r="DYL855" s="999"/>
      <c r="DYM855" s="999"/>
      <c r="DYN855" s="999"/>
      <c r="DYO855" s="999"/>
      <c r="DYP855" s="999"/>
      <c r="DYQ855" s="999"/>
      <c r="DYR855" s="999"/>
      <c r="DYS855" s="999"/>
      <c r="DYT855" s="999"/>
      <c r="DYU855" s="999"/>
      <c r="DYV855" s="999"/>
      <c r="DYW855" s="999"/>
      <c r="DYX855" s="999"/>
      <c r="DYY855" s="999"/>
      <c r="DYZ855" s="999"/>
      <c r="DZA855" s="999"/>
      <c r="DZB855" s="999"/>
      <c r="DZC855" s="999"/>
      <c r="DZD855" s="999"/>
      <c r="DZE855" s="999"/>
      <c r="DZF855" s="999"/>
      <c r="DZG855" s="999"/>
      <c r="DZH855" s="999"/>
      <c r="DZI855" s="999"/>
      <c r="DZJ855" s="999"/>
      <c r="DZK855" s="999"/>
      <c r="DZL855" s="999"/>
      <c r="DZM855" s="999"/>
      <c r="DZN855" s="999"/>
      <c r="DZO855" s="999"/>
      <c r="DZP855" s="999"/>
      <c r="DZQ855" s="999"/>
      <c r="DZR855" s="999"/>
      <c r="DZS855" s="999"/>
      <c r="DZT855" s="999"/>
      <c r="DZU855" s="999"/>
      <c r="DZV855" s="999"/>
      <c r="DZW855" s="999"/>
      <c r="DZX855" s="999"/>
      <c r="DZY855" s="999"/>
      <c r="DZZ855" s="999"/>
      <c r="EAA855" s="999"/>
      <c r="EAB855" s="999"/>
      <c r="EAC855" s="999"/>
      <c r="EAD855" s="999"/>
      <c r="EAE855" s="999"/>
      <c r="EAF855" s="999"/>
      <c r="EAG855" s="999"/>
      <c r="EAH855" s="999"/>
      <c r="EAI855" s="999"/>
      <c r="EAJ855" s="999"/>
      <c r="EAK855" s="999"/>
      <c r="EAL855" s="999"/>
      <c r="EAM855" s="999"/>
      <c r="EAN855" s="999"/>
      <c r="EAO855" s="999"/>
      <c r="EAP855" s="999"/>
      <c r="EAQ855" s="999"/>
      <c r="EAR855" s="999"/>
      <c r="EAS855" s="999"/>
      <c r="EAT855" s="999"/>
      <c r="EAU855" s="999"/>
      <c r="EAV855" s="999"/>
      <c r="EAW855" s="999"/>
      <c r="EAX855" s="999"/>
      <c r="EAY855" s="999"/>
      <c r="EAZ855" s="999"/>
      <c r="EBA855" s="999"/>
      <c r="EBB855" s="999"/>
      <c r="EBC855" s="999"/>
      <c r="EBD855" s="999"/>
      <c r="EBE855" s="999"/>
      <c r="EBF855" s="999"/>
      <c r="EBG855" s="999"/>
      <c r="EBH855" s="999"/>
      <c r="EBI855" s="999"/>
      <c r="EBJ855" s="999"/>
      <c r="EBK855" s="999"/>
      <c r="EBL855" s="999"/>
      <c r="EBM855" s="999"/>
      <c r="EBN855" s="999"/>
      <c r="EBO855" s="999"/>
      <c r="EBP855" s="999"/>
      <c r="EBQ855" s="999"/>
      <c r="EBR855" s="999"/>
      <c r="EBS855" s="999"/>
      <c r="EBT855" s="999"/>
      <c r="EBU855" s="999"/>
      <c r="EBV855" s="999"/>
      <c r="EBW855" s="999"/>
      <c r="EBX855" s="999"/>
      <c r="EBY855" s="999"/>
      <c r="EBZ855" s="999"/>
      <c r="ECA855" s="999"/>
      <c r="ECB855" s="999"/>
      <c r="ECC855" s="999"/>
      <c r="ECD855" s="999"/>
      <c r="ECE855" s="999"/>
      <c r="ECF855" s="999"/>
      <c r="ECG855" s="999"/>
      <c r="ECH855" s="999"/>
      <c r="ECI855" s="999"/>
      <c r="ECJ855" s="999"/>
      <c r="ECK855" s="999"/>
      <c r="ECL855" s="999"/>
      <c r="ECM855" s="999"/>
      <c r="ECN855" s="999"/>
      <c r="ECO855" s="999"/>
      <c r="ECP855" s="999"/>
      <c r="ECQ855" s="999"/>
      <c r="ECR855" s="999"/>
      <c r="ECS855" s="999"/>
      <c r="ECT855" s="999"/>
      <c r="ECU855" s="999"/>
      <c r="ECV855" s="999"/>
      <c r="ECW855" s="999"/>
      <c r="ECX855" s="999"/>
      <c r="ECY855" s="999"/>
      <c r="ECZ855" s="999"/>
      <c r="EDA855" s="999"/>
      <c r="EDB855" s="999"/>
      <c r="EDC855" s="999"/>
      <c r="EDD855" s="999"/>
      <c r="EDE855" s="999"/>
      <c r="EDF855" s="999"/>
      <c r="EDG855" s="999"/>
      <c r="EDH855" s="999"/>
      <c r="EDI855" s="999"/>
      <c r="EDJ855" s="999"/>
      <c r="EDK855" s="999"/>
      <c r="EDL855" s="999"/>
      <c r="EDM855" s="999"/>
      <c r="EDN855" s="999"/>
      <c r="EDO855" s="999"/>
      <c r="EDP855" s="999"/>
      <c r="EDQ855" s="999"/>
      <c r="EDR855" s="999"/>
      <c r="EDS855" s="999"/>
      <c r="EDT855" s="999"/>
      <c r="EDU855" s="999"/>
      <c r="EDV855" s="999"/>
      <c r="EDW855" s="999"/>
      <c r="EDX855" s="999"/>
      <c r="EDY855" s="999"/>
      <c r="EDZ855" s="999"/>
      <c r="EEA855" s="999"/>
      <c r="EEB855" s="999"/>
      <c r="EEC855" s="999"/>
      <c r="EED855" s="999"/>
      <c r="EEE855" s="999"/>
      <c r="EEF855" s="999"/>
      <c r="EEG855" s="999"/>
      <c r="EEH855" s="999"/>
      <c r="EEI855" s="999"/>
      <c r="EEJ855" s="999"/>
      <c r="EEK855" s="999"/>
      <c r="EEL855" s="999"/>
      <c r="EEM855" s="999"/>
      <c r="EEN855" s="999"/>
      <c r="EEO855" s="999"/>
      <c r="EEP855" s="999"/>
      <c r="EEQ855" s="999"/>
      <c r="EER855" s="999"/>
      <c r="EES855" s="999"/>
      <c r="EET855" s="999"/>
      <c r="EEU855" s="999"/>
      <c r="EEV855" s="999"/>
      <c r="EEW855" s="999"/>
      <c r="EEX855" s="999"/>
      <c r="EEY855" s="999"/>
      <c r="EEZ855" s="999"/>
      <c r="EFA855" s="999"/>
      <c r="EFB855" s="999"/>
      <c r="EFC855" s="999"/>
      <c r="EFD855" s="999"/>
      <c r="EFE855" s="999"/>
      <c r="EFF855" s="999"/>
      <c r="EFG855" s="999"/>
      <c r="EFH855" s="999"/>
      <c r="EFI855" s="999"/>
      <c r="EFJ855" s="999"/>
      <c r="EFK855" s="999"/>
      <c r="EFL855" s="999"/>
      <c r="EFM855" s="999"/>
      <c r="EFN855" s="999"/>
      <c r="EFO855" s="999"/>
      <c r="EFP855" s="999"/>
      <c r="EFQ855" s="999"/>
      <c r="EFR855" s="999"/>
      <c r="EFS855" s="999"/>
      <c r="EFT855" s="999"/>
      <c r="EFU855" s="999"/>
      <c r="EFV855" s="999"/>
      <c r="EFW855" s="999"/>
      <c r="EFX855" s="999"/>
      <c r="EFY855" s="999"/>
      <c r="EFZ855" s="999"/>
      <c r="EGA855" s="999"/>
      <c r="EGB855" s="999"/>
      <c r="EGC855" s="999"/>
      <c r="EGD855" s="999"/>
      <c r="EGE855" s="999"/>
      <c r="EGF855" s="999"/>
      <c r="EGG855" s="999"/>
      <c r="EGH855" s="999"/>
      <c r="EGI855" s="999"/>
      <c r="EGJ855" s="999"/>
      <c r="EGK855" s="999"/>
      <c r="EGL855" s="999"/>
      <c r="EGM855" s="999"/>
      <c r="EGN855" s="999"/>
      <c r="EGO855" s="999"/>
      <c r="EGP855" s="999"/>
      <c r="EGQ855" s="999"/>
      <c r="EGR855" s="999"/>
      <c r="EGS855" s="999"/>
      <c r="EGT855" s="999"/>
      <c r="EGU855" s="999"/>
      <c r="EGV855" s="999"/>
      <c r="EGW855" s="999"/>
      <c r="EGX855" s="999"/>
      <c r="EGY855" s="999"/>
      <c r="EGZ855" s="999"/>
      <c r="EHA855" s="999"/>
      <c r="EHB855" s="999"/>
      <c r="EHC855" s="999"/>
      <c r="EHD855" s="999"/>
      <c r="EHE855" s="999"/>
      <c r="EHF855" s="999"/>
      <c r="EHG855" s="999"/>
      <c r="EHH855" s="999"/>
      <c r="EHI855" s="999"/>
      <c r="EHJ855" s="999"/>
      <c r="EHK855" s="999"/>
      <c r="EHL855" s="999"/>
      <c r="EHM855" s="999"/>
      <c r="EHN855" s="999"/>
      <c r="EHO855" s="999"/>
      <c r="EHP855" s="999"/>
      <c r="EHQ855" s="999"/>
      <c r="EHR855" s="999"/>
      <c r="EHS855" s="999"/>
      <c r="EHT855" s="999"/>
      <c r="EHU855" s="999"/>
      <c r="EHV855" s="999"/>
      <c r="EHW855" s="999"/>
      <c r="EHX855" s="999"/>
      <c r="EHY855" s="999"/>
      <c r="EHZ855" s="999"/>
      <c r="EIA855" s="999"/>
      <c r="EIB855" s="999"/>
      <c r="EIC855" s="999"/>
      <c r="EID855" s="999"/>
      <c r="EIE855" s="999"/>
      <c r="EIF855" s="999"/>
      <c r="EIG855" s="999"/>
      <c r="EIH855" s="999"/>
      <c r="EII855" s="999"/>
      <c r="EIJ855" s="999"/>
      <c r="EIK855" s="999"/>
      <c r="EIL855" s="999"/>
      <c r="EIM855" s="999"/>
      <c r="EIN855" s="999"/>
      <c r="EIO855" s="999"/>
      <c r="EIP855" s="999"/>
      <c r="EIQ855" s="999"/>
      <c r="EIR855" s="999"/>
      <c r="EIS855" s="999"/>
      <c r="EIT855" s="999"/>
      <c r="EIU855" s="999"/>
      <c r="EIV855" s="999"/>
      <c r="EIW855" s="999"/>
      <c r="EIX855" s="999"/>
      <c r="EIY855" s="999"/>
      <c r="EIZ855" s="999"/>
      <c r="EJA855" s="999"/>
      <c r="EJB855" s="999"/>
      <c r="EJC855" s="999"/>
      <c r="EJD855" s="999"/>
      <c r="EJE855" s="999"/>
      <c r="EJF855" s="999"/>
      <c r="EJG855" s="999"/>
      <c r="EJH855" s="999"/>
      <c r="EJI855" s="999"/>
      <c r="EJJ855" s="999"/>
      <c r="EJK855" s="999"/>
      <c r="EJL855" s="999"/>
      <c r="EJM855" s="999"/>
      <c r="EJN855" s="999"/>
      <c r="EJO855" s="999"/>
      <c r="EJP855" s="999"/>
      <c r="EJQ855" s="999"/>
      <c r="EJR855" s="999"/>
      <c r="EJS855" s="999"/>
      <c r="EJT855" s="999"/>
      <c r="EJU855" s="999"/>
      <c r="EJV855" s="999"/>
      <c r="EJW855" s="999"/>
      <c r="EJX855" s="999"/>
      <c r="EJY855" s="999"/>
      <c r="EJZ855" s="999"/>
      <c r="EKA855" s="999"/>
      <c r="EKB855" s="999"/>
      <c r="EKC855" s="999"/>
      <c r="EKD855" s="999"/>
      <c r="EKE855" s="999"/>
      <c r="EKF855" s="999"/>
      <c r="EKG855" s="999"/>
      <c r="EKH855" s="999"/>
      <c r="EKI855" s="999"/>
      <c r="EKJ855" s="999"/>
      <c r="EKK855" s="999"/>
      <c r="EKL855" s="999"/>
      <c r="EKM855" s="999"/>
      <c r="EKN855" s="999"/>
      <c r="EKO855" s="999"/>
      <c r="EKP855" s="999"/>
      <c r="EKQ855" s="999"/>
      <c r="EKR855" s="999"/>
      <c r="EKS855" s="999"/>
      <c r="EKT855" s="999"/>
      <c r="EKU855" s="999"/>
      <c r="EKV855" s="999"/>
      <c r="EKW855" s="999"/>
      <c r="EKX855" s="999"/>
      <c r="EKY855" s="999"/>
      <c r="EKZ855" s="999"/>
      <c r="ELA855" s="999"/>
      <c r="ELB855" s="999"/>
      <c r="ELC855" s="999"/>
      <c r="ELD855" s="999"/>
      <c r="ELE855" s="999"/>
      <c r="ELF855" s="999"/>
      <c r="ELG855" s="999"/>
      <c r="ELH855" s="999"/>
      <c r="ELI855" s="999"/>
      <c r="ELJ855" s="999"/>
      <c r="ELK855" s="999"/>
      <c r="ELL855" s="999"/>
      <c r="ELM855" s="999"/>
      <c r="ELN855" s="999"/>
      <c r="ELO855" s="999"/>
      <c r="ELP855" s="999"/>
      <c r="ELQ855" s="999"/>
      <c r="ELR855" s="999"/>
      <c r="ELS855" s="999"/>
      <c r="ELT855" s="999"/>
      <c r="ELU855" s="999"/>
      <c r="ELV855" s="999"/>
      <c r="ELW855" s="999"/>
      <c r="ELX855" s="999"/>
      <c r="ELY855" s="999"/>
      <c r="ELZ855" s="999"/>
      <c r="EMA855" s="999"/>
      <c r="EMB855" s="999"/>
      <c r="EMC855" s="999"/>
      <c r="EMD855" s="999"/>
      <c r="EME855" s="999"/>
      <c r="EMF855" s="999"/>
      <c r="EMG855" s="999"/>
      <c r="EMH855" s="999"/>
      <c r="EMI855" s="999"/>
      <c r="EMJ855" s="999"/>
      <c r="EMK855" s="999"/>
      <c r="EML855" s="999"/>
      <c r="EMM855" s="999"/>
      <c r="EMN855" s="999"/>
      <c r="EMO855" s="999"/>
      <c r="EMP855" s="999"/>
      <c r="EMQ855" s="999"/>
      <c r="EMR855" s="999"/>
      <c r="EMS855" s="999"/>
      <c r="EMT855" s="999"/>
      <c r="EMU855" s="999"/>
      <c r="EMV855" s="999"/>
      <c r="EMW855" s="999"/>
      <c r="EMX855" s="999"/>
      <c r="EMY855" s="999"/>
      <c r="EMZ855" s="999"/>
      <c r="ENA855" s="999"/>
      <c r="ENB855" s="999"/>
      <c r="ENC855" s="999"/>
      <c r="END855" s="999"/>
      <c r="ENE855" s="999"/>
      <c r="ENF855" s="999"/>
      <c r="ENG855" s="999"/>
      <c r="ENH855" s="999"/>
      <c r="ENI855" s="999"/>
      <c r="ENJ855" s="999"/>
      <c r="ENK855" s="999"/>
      <c r="ENL855" s="999"/>
      <c r="ENM855" s="999"/>
      <c r="ENN855" s="999"/>
      <c r="ENO855" s="999"/>
      <c r="ENP855" s="999"/>
      <c r="ENQ855" s="999"/>
      <c r="ENR855" s="999"/>
      <c r="ENS855" s="999"/>
      <c r="ENT855" s="999"/>
      <c r="ENU855" s="999"/>
      <c r="ENV855" s="999"/>
      <c r="ENW855" s="999"/>
      <c r="ENX855" s="999"/>
      <c r="ENY855" s="999"/>
      <c r="ENZ855" s="999"/>
      <c r="EOA855" s="999"/>
      <c r="EOB855" s="999"/>
      <c r="EOC855" s="999"/>
      <c r="EOD855" s="999"/>
      <c r="EOE855" s="999"/>
      <c r="EOF855" s="999"/>
      <c r="EOG855" s="999"/>
      <c r="EOH855" s="999"/>
      <c r="EOI855" s="999"/>
      <c r="EOJ855" s="999"/>
      <c r="EOK855" s="999"/>
      <c r="EOL855" s="999"/>
      <c r="EOM855" s="999"/>
      <c r="EON855" s="999"/>
      <c r="EOO855" s="999"/>
      <c r="EOP855" s="999"/>
      <c r="EOQ855" s="999"/>
      <c r="EOR855" s="999"/>
      <c r="EOS855" s="999"/>
      <c r="EOT855" s="999"/>
      <c r="EOU855" s="999"/>
      <c r="EOV855" s="999"/>
      <c r="EOW855" s="999"/>
      <c r="EOX855" s="999"/>
      <c r="EOY855" s="999"/>
      <c r="EOZ855" s="999"/>
      <c r="EPA855" s="999"/>
      <c r="EPB855" s="999"/>
      <c r="EPC855" s="999"/>
      <c r="EPD855" s="999"/>
      <c r="EPE855" s="999"/>
      <c r="EPF855" s="999"/>
      <c r="EPG855" s="999"/>
      <c r="EPH855" s="999"/>
      <c r="EPI855" s="999"/>
      <c r="EPJ855" s="999"/>
      <c r="EPK855" s="999"/>
      <c r="EPL855" s="999"/>
      <c r="EPM855" s="999"/>
      <c r="EPN855" s="999"/>
      <c r="EPO855" s="999"/>
      <c r="EPP855" s="999"/>
      <c r="EPQ855" s="999"/>
      <c r="EPR855" s="999"/>
      <c r="EPS855" s="999"/>
      <c r="EPT855" s="999"/>
      <c r="EPU855" s="999"/>
      <c r="EPV855" s="999"/>
      <c r="EPW855" s="999"/>
      <c r="EPX855" s="999"/>
      <c r="EPY855" s="999"/>
      <c r="EPZ855" s="999"/>
      <c r="EQA855" s="999"/>
      <c r="EQB855" s="999"/>
      <c r="EQC855" s="999"/>
      <c r="EQD855" s="999"/>
      <c r="EQE855" s="999"/>
      <c r="EQF855" s="999"/>
      <c r="EQG855" s="999"/>
      <c r="EQH855" s="999"/>
      <c r="EQI855" s="999"/>
      <c r="EQJ855" s="999"/>
      <c r="EQK855" s="999"/>
      <c r="EQL855" s="999"/>
      <c r="EQM855" s="999"/>
      <c r="EQN855" s="999"/>
      <c r="EQO855" s="999"/>
      <c r="EQP855" s="999"/>
      <c r="EQQ855" s="999"/>
      <c r="EQR855" s="999"/>
      <c r="EQS855" s="999"/>
      <c r="EQT855" s="999"/>
      <c r="EQU855" s="999"/>
      <c r="EQV855" s="999"/>
      <c r="EQW855" s="999"/>
      <c r="EQX855" s="999"/>
      <c r="EQY855" s="999"/>
      <c r="EQZ855" s="999"/>
      <c r="ERA855" s="999"/>
      <c r="ERB855" s="999"/>
      <c r="ERC855" s="999"/>
      <c r="ERD855" s="999"/>
      <c r="ERE855" s="999"/>
      <c r="ERF855" s="999"/>
      <c r="ERG855" s="999"/>
      <c r="ERH855" s="999"/>
      <c r="ERI855" s="999"/>
      <c r="ERJ855" s="999"/>
      <c r="ERK855" s="999"/>
      <c r="ERL855" s="999"/>
      <c r="ERM855" s="999"/>
      <c r="ERN855" s="999"/>
      <c r="ERO855" s="999"/>
      <c r="ERP855" s="999"/>
      <c r="ERQ855" s="999"/>
      <c r="ERR855" s="999"/>
      <c r="ERS855" s="999"/>
      <c r="ERT855" s="999"/>
      <c r="ERU855" s="999"/>
      <c r="ERV855" s="999"/>
      <c r="ERW855" s="999"/>
      <c r="ERX855" s="999"/>
      <c r="ERY855" s="999"/>
      <c r="ERZ855" s="999"/>
      <c r="ESA855" s="999"/>
      <c r="ESB855" s="999"/>
      <c r="ESC855" s="999"/>
      <c r="ESD855" s="999"/>
      <c r="ESE855" s="999"/>
      <c r="ESF855" s="999"/>
      <c r="ESG855" s="999"/>
      <c r="ESH855" s="999"/>
      <c r="ESI855" s="999"/>
      <c r="ESJ855" s="999"/>
      <c r="ESK855" s="999"/>
      <c r="ESL855" s="999"/>
      <c r="ESM855" s="999"/>
      <c r="ESN855" s="999"/>
      <c r="ESO855" s="999"/>
      <c r="ESP855" s="999"/>
      <c r="ESQ855" s="999"/>
      <c r="ESR855" s="999"/>
      <c r="ESS855" s="999"/>
      <c r="EST855" s="999"/>
      <c r="ESU855" s="999"/>
      <c r="ESV855" s="999"/>
      <c r="ESW855" s="999"/>
      <c r="ESX855" s="999"/>
      <c r="ESY855" s="999"/>
      <c r="ESZ855" s="999"/>
      <c r="ETA855" s="999"/>
      <c r="ETB855" s="999"/>
      <c r="ETC855" s="999"/>
      <c r="ETD855" s="999"/>
      <c r="ETE855" s="999"/>
      <c r="ETF855" s="999"/>
      <c r="ETG855" s="999"/>
      <c r="ETH855" s="999"/>
      <c r="ETI855" s="999"/>
      <c r="ETJ855" s="999"/>
      <c r="ETK855" s="999"/>
      <c r="ETL855" s="999"/>
      <c r="ETM855" s="999"/>
      <c r="ETN855" s="999"/>
      <c r="ETO855" s="999"/>
      <c r="ETP855" s="999"/>
      <c r="ETQ855" s="999"/>
      <c r="ETR855" s="999"/>
      <c r="ETS855" s="999"/>
      <c r="ETT855" s="999"/>
      <c r="ETU855" s="999"/>
      <c r="ETV855" s="999"/>
      <c r="ETW855" s="999"/>
      <c r="ETX855" s="999"/>
      <c r="ETY855" s="999"/>
      <c r="ETZ855" s="999"/>
      <c r="EUA855" s="999"/>
      <c r="EUB855" s="999"/>
      <c r="EUC855" s="999"/>
      <c r="EUD855" s="999"/>
      <c r="EUE855" s="999"/>
      <c r="EUF855" s="999"/>
      <c r="EUG855" s="999"/>
      <c r="EUH855" s="999"/>
      <c r="EUI855" s="999"/>
      <c r="EUJ855" s="999"/>
      <c r="EUK855" s="999"/>
      <c r="EUL855" s="999"/>
      <c r="EUM855" s="999"/>
      <c r="EUN855" s="999"/>
      <c r="EUO855" s="999"/>
      <c r="EUP855" s="999"/>
      <c r="EUQ855" s="999"/>
      <c r="EUR855" s="999"/>
      <c r="EUS855" s="999"/>
      <c r="EUT855" s="999"/>
      <c r="EUU855" s="999"/>
      <c r="EUV855" s="999"/>
      <c r="EUW855" s="999"/>
      <c r="EUX855" s="999"/>
      <c r="EUY855" s="999"/>
      <c r="EUZ855" s="999"/>
      <c r="EVA855" s="999"/>
      <c r="EVB855" s="999"/>
      <c r="EVC855" s="999"/>
      <c r="EVD855" s="999"/>
      <c r="EVE855" s="999"/>
      <c r="EVF855" s="999"/>
      <c r="EVG855" s="999"/>
      <c r="EVH855" s="999"/>
      <c r="EVI855" s="999"/>
      <c r="EVJ855" s="999"/>
      <c r="EVK855" s="999"/>
      <c r="EVL855" s="999"/>
      <c r="EVM855" s="999"/>
      <c r="EVN855" s="999"/>
      <c r="EVO855" s="999"/>
      <c r="EVP855" s="999"/>
      <c r="EVQ855" s="999"/>
      <c r="EVR855" s="999"/>
      <c r="EVS855" s="999"/>
      <c r="EVT855" s="999"/>
      <c r="EVU855" s="999"/>
      <c r="EVV855" s="999"/>
      <c r="EVW855" s="999"/>
      <c r="EVX855" s="999"/>
      <c r="EVY855" s="999"/>
      <c r="EVZ855" s="999"/>
      <c r="EWA855" s="999"/>
      <c r="EWB855" s="999"/>
      <c r="EWC855" s="999"/>
      <c r="EWD855" s="999"/>
      <c r="EWE855" s="999"/>
      <c r="EWF855" s="999"/>
      <c r="EWG855" s="999"/>
      <c r="EWH855" s="999"/>
      <c r="EWI855" s="999"/>
      <c r="EWJ855" s="999"/>
      <c r="EWK855" s="999"/>
      <c r="EWL855" s="999"/>
      <c r="EWM855" s="999"/>
      <c r="EWN855" s="999"/>
      <c r="EWO855" s="999"/>
      <c r="EWP855" s="999"/>
      <c r="EWQ855" s="999"/>
      <c r="EWR855" s="999"/>
      <c r="EWS855" s="999"/>
      <c r="EWT855" s="999"/>
      <c r="EWU855" s="999"/>
      <c r="EWV855" s="999"/>
      <c r="EWW855" s="999"/>
      <c r="EWX855" s="999"/>
      <c r="EWY855" s="999"/>
      <c r="EWZ855" s="999"/>
      <c r="EXA855" s="999"/>
      <c r="EXB855" s="999"/>
      <c r="EXC855" s="999"/>
      <c r="EXD855" s="999"/>
      <c r="EXE855" s="999"/>
      <c r="EXF855" s="999"/>
      <c r="EXG855" s="999"/>
      <c r="EXH855" s="999"/>
      <c r="EXI855" s="999"/>
      <c r="EXJ855" s="999"/>
      <c r="EXK855" s="999"/>
      <c r="EXL855" s="999"/>
      <c r="EXM855" s="999"/>
      <c r="EXN855" s="999"/>
      <c r="EXO855" s="999"/>
      <c r="EXP855" s="999"/>
      <c r="EXQ855" s="999"/>
      <c r="EXR855" s="999"/>
      <c r="EXS855" s="999"/>
      <c r="EXT855" s="999"/>
      <c r="EXU855" s="999"/>
      <c r="EXV855" s="999"/>
      <c r="EXW855" s="999"/>
      <c r="EXX855" s="999"/>
      <c r="EXY855" s="999"/>
      <c r="EXZ855" s="999"/>
      <c r="EYA855" s="999"/>
      <c r="EYB855" s="999"/>
      <c r="EYC855" s="999"/>
      <c r="EYD855" s="999"/>
      <c r="EYE855" s="999"/>
      <c r="EYF855" s="999"/>
      <c r="EYG855" s="999"/>
      <c r="EYH855" s="999"/>
      <c r="EYI855" s="999"/>
      <c r="EYJ855" s="999"/>
      <c r="EYK855" s="999"/>
      <c r="EYL855" s="999"/>
      <c r="EYM855" s="999"/>
      <c r="EYN855" s="999"/>
      <c r="EYO855" s="999"/>
      <c r="EYP855" s="999"/>
      <c r="EYQ855" s="999"/>
      <c r="EYR855" s="999"/>
      <c r="EYS855" s="999"/>
      <c r="EYT855" s="999"/>
      <c r="EYU855" s="999"/>
      <c r="EYV855" s="999"/>
      <c r="EYW855" s="999"/>
      <c r="EYX855" s="999"/>
      <c r="EYY855" s="999"/>
      <c r="EYZ855" s="999"/>
      <c r="EZA855" s="999"/>
      <c r="EZB855" s="999"/>
      <c r="EZC855" s="999"/>
      <c r="EZD855" s="999"/>
      <c r="EZE855" s="999"/>
      <c r="EZF855" s="999"/>
      <c r="EZG855" s="999"/>
      <c r="EZH855" s="999"/>
      <c r="EZI855" s="999"/>
      <c r="EZJ855" s="999"/>
      <c r="EZK855" s="999"/>
      <c r="EZL855" s="999"/>
      <c r="EZM855" s="999"/>
      <c r="EZN855" s="999"/>
      <c r="EZO855" s="999"/>
      <c r="EZP855" s="999"/>
      <c r="EZQ855" s="999"/>
      <c r="EZR855" s="999"/>
      <c r="EZS855" s="999"/>
      <c r="EZT855" s="999"/>
      <c r="EZU855" s="999"/>
      <c r="EZV855" s="999"/>
      <c r="EZW855" s="999"/>
      <c r="EZX855" s="999"/>
      <c r="EZY855" s="999"/>
      <c r="EZZ855" s="999"/>
      <c r="FAA855" s="999"/>
      <c r="FAB855" s="999"/>
      <c r="FAC855" s="999"/>
      <c r="FAD855" s="999"/>
      <c r="FAE855" s="999"/>
      <c r="FAF855" s="999"/>
      <c r="FAG855" s="999"/>
      <c r="FAH855" s="999"/>
      <c r="FAI855" s="999"/>
      <c r="FAJ855" s="999"/>
      <c r="FAK855" s="999"/>
      <c r="FAL855" s="999"/>
      <c r="FAM855" s="999"/>
      <c r="FAN855" s="999"/>
      <c r="FAO855" s="999"/>
      <c r="FAP855" s="999"/>
      <c r="FAQ855" s="999"/>
      <c r="FAR855" s="999"/>
      <c r="FAS855" s="999"/>
      <c r="FAT855" s="999"/>
      <c r="FAU855" s="999"/>
      <c r="FAV855" s="999"/>
      <c r="FAW855" s="999"/>
      <c r="FAX855" s="999"/>
      <c r="FAY855" s="999"/>
      <c r="FAZ855" s="999"/>
      <c r="FBA855" s="999"/>
      <c r="FBB855" s="999"/>
      <c r="FBC855" s="999"/>
      <c r="FBD855" s="999"/>
      <c r="FBE855" s="999"/>
      <c r="FBF855" s="999"/>
      <c r="FBG855" s="999"/>
      <c r="FBH855" s="999"/>
      <c r="FBI855" s="999"/>
      <c r="FBJ855" s="999"/>
      <c r="FBK855" s="999"/>
      <c r="FBL855" s="999"/>
      <c r="FBM855" s="999"/>
      <c r="FBN855" s="999"/>
      <c r="FBO855" s="999"/>
      <c r="FBP855" s="999"/>
      <c r="FBQ855" s="999"/>
      <c r="FBR855" s="999"/>
      <c r="FBS855" s="999"/>
      <c r="FBT855" s="999"/>
      <c r="FBU855" s="999"/>
      <c r="FBV855" s="999"/>
      <c r="FBW855" s="999"/>
      <c r="FBX855" s="999"/>
      <c r="FBY855" s="999"/>
      <c r="FBZ855" s="999"/>
      <c r="FCA855" s="999"/>
      <c r="FCB855" s="999"/>
      <c r="FCC855" s="999"/>
      <c r="FCD855" s="999"/>
      <c r="FCE855" s="999"/>
      <c r="FCF855" s="999"/>
      <c r="FCG855" s="999"/>
      <c r="FCH855" s="999"/>
      <c r="FCI855" s="999"/>
      <c r="FCJ855" s="999"/>
      <c r="FCK855" s="999"/>
      <c r="FCL855" s="999"/>
      <c r="FCM855" s="999"/>
      <c r="FCN855" s="999"/>
      <c r="FCO855" s="999"/>
      <c r="FCP855" s="999"/>
      <c r="FCQ855" s="999"/>
      <c r="FCR855" s="999"/>
      <c r="FCS855" s="999"/>
      <c r="FCT855" s="999"/>
      <c r="FCU855" s="999"/>
      <c r="FCV855" s="999"/>
      <c r="FCW855" s="999"/>
      <c r="FCX855" s="999"/>
      <c r="FCY855" s="999"/>
      <c r="FCZ855" s="999"/>
      <c r="FDA855" s="999"/>
      <c r="FDB855" s="999"/>
      <c r="FDC855" s="999"/>
      <c r="FDD855" s="999"/>
      <c r="FDE855" s="999"/>
      <c r="FDF855" s="999"/>
      <c r="FDG855" s="999"/>
      <c r="FDH855" s="999"/>
      <c r="FDI855" s="999"/>
      <c r="FDJ855" s="999"/>
      <c r="FDK855" s="999"/>
      <c r="FDL855" s="999"/>
      <c r="FDM855" s="999"/>
      <c r="FDN855" s="999"/>
      <c r="FDO855" s="999"/>
      <c r="FDP855" s="999"/>
      <c r="FDQ855" s="999"/>
      <c r="FDR855" s="999"/>
      <c r="FDS855" s="999"/>
      <c r="FDT855" s="999"/>
      <c r="FDU855" s="999"/>
      <c r="FDV855" s="999"/>
      <c r="FDW855" s="999"/>
      <c r="FDX855" s="999"/>
      <c r="FDY855" s="999"/>
      <c r="FDZ855" s="999"/>
      <c r="FEA855" s="999"/>
      <c r="FEB855" s="999"/>
      <c r="FEC855" s="999"/>
      <c r="FED855" s="999"/>
      <c r="FEE855" s="999"/>
      <c r="FEF855" s="999"/>
      <c r="FEG855" s="999"/>
      <c r="FEH855" s="999"/>
      <c r="FEI855" s="999"/>
      <c r="FEJ855" s="999"/>
      <c r="FEK855" s="999"/>
      <c r="FEL855" s="999"/>
      <c r="FEM855" s="999"/>
      <c r="FEN855" s="999"/>
      <c r="FEO855" s="999"/>
      <c r="FEP855" s="999"/>
      <c r="FEQ855" s="999"/>
      <c r="FER855" s="999"/>
      <c r="FES855" s="999"/>
      <c r="FET855" s="999"/>
      <c r="FEU855" s="999"/>
      <c r="FEV855" s="999"/>
      <c r="FEW855" s="999"/>
      <c r="FEX855" s="999"/>
      <c r="FEY855" s="999"/>
      <c r="FEZ855" s="999"/>
      <c r="FFA855" s="999"/>
      <c r="FFB855" s="999"/>
      <c r="FFC855" s="999"/>
      <c r="FFD855" s="999"/>
      <c r="FFE855" s="999"/>
      <c r="FFF855" s="999"/>
      <c r="FFG855" s="999"/>
      <c r="FFH855" s="999"/>
      <c r="FFI855" s="999"/>
      <c r="FFJ855" s="999"/>
      <c r="FFK855" s="999"/>
      <c r="FFL855" s="999"/>
      <c r="FFM855" s="999"/>
      <c r="FFN855" s="999"/>
      <c r="FFO855" s="999"/>
      <c r="FFP855" s="999"/>
      <c r="FFQ855" s="999"/>
      <c r="FFR855" s="999"/>
      <c r="FFS855" s="999"/>
      <c r="FFT855" s="999"/>
      <c r="FFU855" s="999"/>
      <c r="FFV855" s="999"/>
      <c r="FFW855" s="999"/>
      <c r="FFX855" s="999"/>
      <c r="FFY855" s="999"/>
      <c r="FFZ855" s="999"/>
      <c r="FGA855" s="999"/>
      <c r="FGB855" s="999"/>
      <c r="FGC855" s="999"/>
      <c r="FGD855" s="999"/>
      <c r="FGE855" s="999"/>
      <c r="FGF855" s="999"/>
      <c r="FGG855" s="999"/>
      <c r="FGH855" s="999"/>
      <c r="FGI855" s="999"/>
      <c r="FGJ855" s="999"/>
      <c r="FGK855" s="999"/>
      <c r="FGL855" s="999"/>
      <c r="FGM855" s="999"/>
      <c r="FGN855" s="999"/>
      <c r="FGO855" s="999"/>
      <c r="FGP855" s="999"/>
      <c r="FGQ855" s="999"/>
      <c r="FGR855" s="999"/>
      <c r="FGS855" s="999"/>
      <c r="FGT855" s="999"/>
      <c r="FGU855" s="999"/>
      <c r="FGV855" s="999"/>
      <c r="FGW855" s="999"/>
      <c r="FGX855" s="999"/>
      <c r="FGY855" s="999"/>
      <c r="FGZ855" s="999"/>
      <c r="FHA855" s="999"/>
      <c r="FHB855" s="999"/>
      <c r="FHC855" s="999"/>
      <c r="FHD855" s="999"/>
      <c r="FHE855" s="999"/>
      <c r="FHF855" s="999"/>
      <c r="FHG855" s="999"/>
      <c r="FHH855" s="999"/>
      <c r="FHI855" s="999"/>
      <c r="FHJ855" s="999"/>
      <c r="FHK855" s="999"/>
      <c r="FHL855" s="999"/>
      <c r="FHM855" s="999"/>
      <c r="FHN855" s="999"/>
      <c r="FHO855" s="999"/>
      <c r="FHP855" s="999"/>
      <c r="FHQ855" s="999"/>
      <c r="FHR855" s="999"/>
      <c r="FHS855" s="999"/>
      <c r="FHT855" s="999"/>
      <c r="FHU855" s="999"/>
      <c r="FHV855" s="999"/>
      <c r="FHW855" s="999"/>
      <c r="FHX855" s="999"/>
      <c r="FHY855" s="999"/>
      <c r="FHZ855" s="999"/>
      <c r="FIA855" s="999"/>
      <c r="FIB855" s="999"/>
      <c r="FIC855" s="999"/>
      <c r="FID855" s="999"/>
      <c r="FIE855" s="999"/>
      <c r="FIF855" s="999"/>
      <c r="FIG855" s="999"/>
      <c r="FIH855" s="999"/>
      <c r="FII855" s="999"/>
      <c r="FIJ855" s="999"/>
      <c r="FIK855" s="999"/>
      <c r="FIL855" s="999"/>
      <c r="FIM855" s="999"/>
      <c r="FIN855" s="999"/>
      <c r="FIO855" s="999"/>
      <c r="FIP855" s="999"/>
      <c r="FIQ855" s="999"/>
      <c r="FIR855" s="999"/>
      <c r="FIS855" s="999"/>
      <c r="FIT855" s="999"/>
      <c r="FIU855" s="999"/>
      <c r="FIV855" s="999"/>
      <c r="FIW855" s="999"/>
      <c r="FIX855" s="999"/>
      <c r="FIY855" s="999"/>
      <c r="FIZ855" s="999"/>
      <c r="FJA855" s="999"/>
      <c r="FJB855" s="999"/>
      <c r="FJC855" s="999"/>
      <c r="FJD855" s="999"/>
      <c r="FJE855" s="999"/>
      <c r="FJF855" s="999"/>
      <c r="FJG855" s="999"/>
      <c r="FJH855" s="999"/>
      <c r="FJI855" s="999"/>
      <c r="FJJ855" s="999"/>
      <c r="FJK855" s="999"/>
      <c r="FJL855" s="999"/>
      <c r="FJM855" s="999"/>
      <c r="FJN855" s="999"/>
      <c r="FJO855" s="999"/>
      <c r="FJP855" s="999"/>
      <c r="FJQ855" s="999"/>
      <c r="FJR855" s="999"/>
      <c r="FJS855" s="999"/>
      <c r="FJT855" s="999"/>
      <c r="FJU855" s="999"/>
      <c r="FJV855" s="999"/>
      <c r="FJW855" s="999"/>
      <c r="FJX855" s="999"/>
      <c r="FJY855" s="999"/>
      <c r="FJZ855" s="999"/>
      <c r="FKA855" s="999"/>
      <c r="FKB855" s="999"/>
      <c r="FKC855" s="999"/>
      <c r="FKD855" s="999"/>
      <c r="FKE855" s="999"/>
      <c r="FKF855" s="999"/>
      <c r="FKG855" s="999"/>
      <c r="FKH855" s="999"/>
      <c r="FKI855" s="999"/>
      <c r="FKJ855" s="999"/>
      <c r="FKK855" s="999"/>
      <c r="FKL855" s="999"/>
      <c r="FKM855" s="999"/>
      <c r="FKN855" s="999"/>
      <c r="FKO855" s="999"/>
      <c r="FKP855" s="999"/>
      <c r="FKQ855" s="999"/>
      <c r="FKR855" s="999"/>
      <c r="FKS855" s="999"/>
      <c r="FKT855" s="999"/>
      <c r="FKU855" s="999"/>
      <c r="FKV855" s="999"/>
      <c r="FKW855" s="999"/>
      <c r="FKX855" s="999"/>
      <c r="FKY855" s="999"/>
      <c r="FKZ855" s="999"/>
      <c r="FLA855" s="999"/>
      <c r="FLB855" s="999"/>
      <c r="FLC855" s="999"/>
      <c r="FLD855" s="999"/>
      <c r="FLE855" s="999"/>
      <c r="FLF855" s="999"/>
      <c r="FLG855" s="999"/>
      <c r="FLH855" s="999"/>
      <c r="FLI855" s="999"/>
      <c r="FLJ855" s="999"/>
      <c r="FLK855" s="999"/>
      <c r="FLL855" s="999"/>
      <c r="FLM855" s="999"/>
      <c r="FLN855" s="999"/>
      <c r="FLO855" s="999"/>
      <c r="FLP855" s="999"/>
      <c r="FLQ855" s="999"/>
      <c r="FLR855" s="999"/>
      <c r="FLS855" s="999"/>
      <c r="FLT855" s="999"/>
      <c r="FLU855" s="999"/>
      <c r="FLV855" s="999"/>
      <c r="FLW855" s="999"/>
      <c r="FLX855" s="999"/>
      <c r="FLY855" s="999"/>
      <c r="FLZ855" s="999"/>
      <c r="FMA855" s="999"/>
      <c r="FMB855" s="999"/>
      <c r="FMC855" s="999"/>
      <c r="FMD855" s="999"/>
      <c r="FME855" s="999"/>
      <c r="FMF855" s="999"/>
      <c r="FMG855" s="999"/>
      <c r="FMH855" s="999"/>
      <c r="FMI855" s="999"/>
      <c r="FMJ855" s="999"/>
      <c r="FMK855" s="999"/>
      <c r="FML855" s="999"/>
      <c r="FMM855" s="999"/>
      <c r="FMN855" s="999"/>
      <c r="FMO855" s="999"/>
      <c r="FMP855" s="999"/>
      <c r="FMQ855" s="999"/>
      <c r="FMR855" s="999"/>
      <c r="FMS855" s="999"/>
      <c r="FMT855" s="999"/>
      <c r="FMU855" s="999"/>
      <c r="FMV855" s="999"/>
      <c r="FMW855" s="999"/>
      <c r="FMX855" s="999"/>
      <c r="FMY855" s="999"/>
      <c r="FMZ855" s="999"/>
      <c r="FNA855" s="999"/>
      <c r="FNB855" s="999"/>
      <c r="FNC855" s="999"/>
      <c r="FND855" s="999"/>
      <c r="FNE855" s="999"/>
      <c r="FNF855" s="999"/>
      <c r="FNG855" s="999"/>
      <c r="FNH855" s="999"/>
      <c r="FNI855" s="999"/>
      <c r="FNJ855" s="999"/>
      <c r="FNK855" s="999"/>
      <c r="FNL855" s="999"/>
      <c r="FNM855" s="999"/>
      <c r="FNN855" s="999"/>
      <c r="FNO855" s="999"/>
      <c r="FNP855" s="999"/>
      <c r="FNQ855" s="999"/>
      <c r="FNR855" s="999"/>
      <c r="FNS855" s="999"/>
      <c r="FNT855" s="999"/>
      <c r="FNU855" s="999"/>
      <c r="FNV855" s="999"/>
      <c r="FNW855" s="999"/>
      <c r="FNX855" s="999"/>
      <c r="FNY855" s="999"/>
      <c r="FNZ855" s="999"/>
      <c r="FOA855" s="999"/>
      <c r="FOB855" s="999"/>
      <c r="FOC855" s="999"/>
      <c r="FOD855" s="999"/>
      <c r="FOE855" s="999"/>
      <c r="FOF855" s="999"/>
      <c r="FOG855" s="999"/>
      <c r="FOH855" s="999"/>
      <c r="FOI855" s="999"/>
      <c r="FOJ855" s="999"/>
      <c r="FOK855" s="999"/>
      <c r="FOL855" s="999"/>
      <c r="FOM855" s="999"/>
      <c r="FON855" s="999"/>
      <c r="FOO855" s="999"/>
      <c r="FOP855" s="999"/>
      <c r="FOQ855" s="999"/>
      <c r="FOR855" s="999"/>
      <c r="FOS855" s="999"/>
      <c r="FOT855" s="999"/>
      <c r="FOU855" s="999"/>
      <c r="FOV855" s="999"/>
      <c r="FOW855" s="999"/>
      <c r="FOX855" s="999"/>
      <c r="FOY855" s="999"/>
      <c r="FOZ855" s="999"/>
      <c r="FPA855" s="999"/>
      <c r="FPB855" s="999"/>
      <c r="FPC855" s="999"/>
      <c r="FPD855" s="999"/>
      <c r="FPE855" s="999"/>
      <c r="FPF855" s="999"/>
      <c r="FPG855" s="999"/>
      <c r="FPH855" s="999"/>
      <c r="FPI855" s="999"/>
      <c r="FPJ855" s="999"/>
      <c r="FPK855" s="999"/>
      <c r="FPL855" s="999"/>
      <c r="FPM855" s="999"/>
      <c r="FPN855" s="999"/>
      <c r="FPO855" s="999"/>
      <c r="FPP855" s="999"/>
      <c r="FPQ855" s="999"/>
      <c r="FPR855" s="999"/>
      <c r="FPS855" s="999"/>
      <c r="FPT855" s="999"/>
      <c r="FPU855" s="999"/>
      <c r="FPV855" s="999"/>
      <c r="FPW855" s="999"/>
      <c r="FPX855" s="999"/>
      <c r="FPY855" s="999"/>
      <c r="FPZ855" s="999"/>
      <c r="FQA855" s="999"/>
      <c r="FQB855" s="999"/>
      <c r="FQC855" s="999"/>
      <c r="FQD855" s="999"/>
      <c r="FQE855" s="999"/>
      <c r="FQF855" s="999"/>
      <c r="FQG855" s="999"/>
      <c r="FQH855" s="999"/>
      <c r="FQI855" s="999"/>
      <c r="FQJ855" s="999"/>
      <c r="FQK855" s="999"/>
      <c r="FQL855" s="999"/>
      <c r="FQM855" s="999"/>
      <c r="FQN855" s="999"/>
      <c r="FQO855" s="999"/>
      <c r="FQP855" s="999"/>
      <c r="FQQ855" s="999"/>
      <c r="FQR855" s="999"/>
      <c r="FQS855" s="999"/>
      <c r="FQT855" s="999"/>
      <c r="FQU855" s="999"/>
      <c r="FQV855" s="999"/>
      <c r="FQW855" s="999"/>
      <c r="FQX855" s="999"/>
      <c r="FQY855" s="999"/>
      <c r="FQZ855" s="999"/>
      <c r="FRA855" s="999"/>
      <c r="FRB855" s="999"/>
      <c r="FRC855" s="999"/>
      <c r="FRD855" s="999"/>
      <c r="FRE855" s="999"/>
      <c r="FRF855" s="999"/>
      <c r="FRG855" s="999"/>
      <c r="FRH855" s="999"/>
      <c r="FRI855" s="999"/>
      <c r="FRJ855" s="999"/>
      <c r="FRK855" s="999"/>
      <c r="FRL855" s="999"/>
      <c r="FRM855" s="999"/>
      <c r="FRN855" s="999"/>
      <c r="FRO855" s="999"/>
      <c r="FRP855" s="999"/>
      <c r="FRQ855" s="999"/>
      <c r="FRR855" s="999"/>
      <c r="FRS855" s="999"/>
      <c r="FRT855" s="999"/>
      <c r="FRU855" s="999"/>
      <c r="FRV855" s="999"/>
      <c r="FRW855" s="999"/>
      <c r="FRX855" s="999"/>
      <c r="FRY855" s="999"/>
      <c r="FRZ855" s="999"/>
      <c r="FSA855" s="999"/>
      <c r="FSB855" s="999"/>
      <c r="FSC855" s="999"/>
      <c r="FSD855" s="999"/>
      <c r="FSE855" s="999"/>
      <c r="FSF855" s="999"/>
      <c r="FSG855" s="999"/>
      <c r="FSH855" s="999"/>
      <c r="FSI855" s="999"/>
      <c r="FSJ855" s="999"/>
      <c r="FSK855" s="999"/>
      <c r="FSL855" s="999"/>
      <c r="FSM855" s="999"/>
      <c r="FSN855" s="999"/>
      <c r="FSO855" s="999"/>
      <c r="FSP855" s="999"/>
      <c r="FSQ855" s="999"/>
      <c r="FSR855" s="999"/>
      <c r="FSS855" s="999"/>
      <c r="FST855" s="999"/>
      <c r="FSU855" s="999"/>
      <c r="FSV855" s="999"/>
      <c r="FSW855" s="999"/>
      <c r="FSX855" s="999"/>
      <c r="FSY855" s="999"/>
      <c r="FSZ855" s="999"/>
      <c r="FTA855" s="999"/>
      <c r="FTB855" s="999"/>
      <c r="FTC855" s="999"/>
      <c r="FTD855" s="999"/>
      <c r="FTE855" s="999"/>
      <c r="FTF855" s="999"/>
      <c r="FTG855" s="999"/>
      <c r="FTH855" s="999"/>
      <c r="FTI855" s="999"/>
      <c r="FTJ855" s="999"/>
      <c r="FTK855" s="999"/>
      <c r="FTL855" s="999"/>
      <c r="FTM855" s="999"/>
      <c r="FTN855" s="999"/>
      <c r="FTO855" s="999"/>
      <c r="FTP855" s="999"/>
      <c r="FTQ855" s="999"/>
      <c r="FTR855" s="999"/>
      <c r="FTS855" s="999"/>
      <c r="FTT855" s="999"/>
      <c r="FTU855" s="999"/>
      <c r="FTV855" s="999"/>
      <c r="FTW855" s="999"/>
      <c r="FTX855" s="999"/>
      <c r="FTY855" s="999"/>
      <c r="FTZ855" s="999"/>
      <c r="FUA855" s="999"/>
      <c r="FUB855" s="999"/>
      <c r="FUC855" s="999"/>
      <c r="FUD855" s="999"/>
      <c r="FUE855" s="999"/>
      <c r="FUF855" s="999"/>
      <c r="FUG855" s="999"/>
      <c r="FUH855" s="999"/>
      <c r="FUI855" s="999"/>
      <c r="FUJ855" s="999"/>
      <c r="FUK855" s="999"/>
      <c r="FUL855" s="999"/>
      <c r="FUM855" s="999"/>
      <c r="FUN855" s="999"/>
      <c r="FUO855" s="999"/>
      <c r="FUP855" s="999"/>
      <c r="FUQ855" s="999"/>
      <c r="FUR855" s="999"/>
      <c r="FUS855" s="999"/>
      <c r="FUT855" s="999"/>
      <c r="FUU855" s="999"/>
      <c r="FUV855" s="999"/>
      <c r="FUW855" s="999"/>
      <c r="FUX855" s="999"/>
      <c r="FUY855" s="999"/>
      <c r="FUZ855" s="999"/>
      <c r="FVA855" s="999"/>
      <c r="FVB855" s="999"/>
      <c r="FVC855" s="999"/>
      <c r="FVD855" s="999"/>
      <c r="FVE855" s="999"/>
      <c r="FVF855" s="999"/>
      <c r="FVG855" s="999"/>
      <c r="FVH855" s="999"/>
      <c r="FVI855" s="999"/>
      <c r="FVJ855" s="999"/>
      <c r="FVK855" s="999"/>
      <c r="FVL855" s="999"/>
      <c r="FVM855" s="999"/>
      <c r="FVN855" s="999"/>
      <c r="FVO855" s="999"/>
      <c r="FVP855" s="999"/>
      <c r="FVQ855" s="999"/>
      <c r="FVR855" s="999"/>
      <c r="FVS855" s="999"/>
      <c r="FVT855" s="999"/>
      <c r="FVU855" s="999"/>
      <c r="FVV855" s="999"/>
      <c r="FVW855" s="999"/>
      <c r="FVX855" s="999"/>
      <c r="FVY855" s="999"/>
      <c r="FVZ855" s="999"/>
      <c r="FWA855" s="999"/>
      <c r="FWB855" s="999"/>
      <c r="FWC855" s="999"/>
      <c r="FWD855" s="999"/>
      <c r="FWE855" s="999"/>
      <c r="FWF855" s="999"/>
      <c r="FWG855" s="999"/>
      <c r="FWH855" s="999"/>
      <c r="FWI855" s="999"/>
      <c r="FWJ855" s="999"/>
      <c r="FWK855" s="999"/>
      <c r="FWL855" s="999"/>
      <c r="FWM855" s="999"/>
      <c r="FWN855" s="999"/>
      <c r="FWO855" s="999"/>
      <c r="FWP855" s="999"/>
      <c r="FWQ855" s="999"/>
      <c r="FWR855" s="999"/>
      <c r="FWS855" s="999"/>
      <c r="FWT855" s="999"/>
      <c r="FWU855" s="999"/>
      <c r="FWV855" s="999"/>
      <c r="FWW855" s="999"/>
      <c r="FWX855" s="999"/>
      <c r="FWY855" s="999"/>
      <c r="FWZ855" s="999"/>
      <c r="FXA855" s="999"/>
      <c r="FXB855" s="999"/>
      <c r="FXC855" s="999"/>
      <c r="FXD855" s="999"/>
      <c r="FXE855" s="999"/>
      <c r="FXF855" s="999"/>
      <c r="FXG855" s="999"/>
      <c r="FXH855" s="999"/>
      <c r="FXI855" s="999"/>
      <c r="FXJ855" s="999"/>
      <c r="FXK855" s="999"/>
      <c r="FXL855" s="999"/>
      <c r="FXM855" s="999"/>
      <c r="FXN855" s="999"/>
      <c r="FXO855" s="999"/>
      <c r="FXP855" s="999"/>
      <c r="FXQ855" s="999"/>
      <c r="FXR855" s="999"/>
      <c r="FXS855" s="999"/>
      <c r="FXT855" s="999"/>
      <c r="FXU855" s="999"/>
      <c r="FXV855" s="999"/>
      <c r="FXW855" s="999"/>
      <c r="FXX855" s="999"/>
      <c r="FXY855" s="999"/>
      <c r="FXZ855" s="999"/>
      <c r="FYA855" s="999"/>
      <c r="FYB855" s="999"/>
      <c r="FYC855" s="999"/>
      <c r="FYD855" s="999"/>
      <c r="FYE855" s="999"/>
      <c r="FYF855" s="999"/>
      <c r="FYG855" s="999"/>
      <c r="FYH855" s="999"/>
      <c r="FYI855" s="999"/>
      <c r="FYJ855" s="999"/>
      <c r="FYK855" s="999"/>
      <c r="FYL855" s="999"/>
      <c r="FYM855" s="999"/>
      <c r="FYN855" s="999"/>
      <c r="FYO855" s="999"/>
      <c r="FYP855" s="999"/>
      <c r="FYQ855" s="999"/>
      <c r="FYR855" s="999"/>
      <c r="FYS855" s="999"/>
      <c r="FYT855" s="999"/>
      <c r="FYU855" s="999"/>
      <c r="FYV855" s="999"/>
      <c r="FYW855" s="999"/>
      <c r="FYX855" s="999"/>
      <c r="FYY855" s="999"/>
      <c r="FYZ855" s="999"/>
      <c r="FZA855" s="999"/>
      <c r="FZB855" s="999"/>
      <c r="FZC855" s="999"/>
      <c r="FZD855" s="999"/>
      <c r="FZE855" s="999"/>
      <c r="FZF855" s="999"/>
      <c r="FZG855" s="999"/>
      <c r="FZH855" s="999"/>
      <c r="FZI855" s="999"/>
      <c r="FZJ855" s="999"/>
      <c r="FZK855" s="999"/>
      <c r="FZL855" s="999"/>
      <c r="FZM855" s="999"/>
      <c r="FZN855" s="999"/>
      <c r="FZO855" s="999"/>
      <c r="FZP855" s="999"/>
      <c r="FZQ855" s="999"/>
      <c r="FZR855" s="999"/>
      <c r="FZS855" s="999"/>
      <c r="FZT855" s="999"/>
      <c r="FZU855" s="999"/>
      <c r="FZV855" s="999"/>
      <c r="FZW855" s="999"/>
      <c r="FZX855" s="999"/>
      <c r="FZY855" s="999"/>
      <c r="FZZ855" s="999"/>
      <c r="GAA855" s="999"/>
      <c r="GAB855" s="999"/>
      <c r="GAC855" s="999"/>
      <c r="GAD855" s="999"/>
      <c r="GAE855" s="999"/>
      <c r="GAF855" s="999"/>
      <c r="GAG855" s="999"/>
      <c r="GAH855" s="999"/>
      <c r="GAI855" s="999"/>
      <c r="GAJ855" s="999"/>
      <c r="GAK855" s="999"/>
      <c r="GAL855" s="999"/>
      <c r="GAM855" s="999"/>
      <c r="GAN855" s="999"/>
      <c r="GAO855" s="999"/>
      <c r="GAP855" s="999"/>
      <c r="GAQ855" s="999"/>
      <c r="GAR855" s="999"/>
      <c r="GAS855" s="999"/>
      <c r="GAT855" s="999"/>
      <c r="GAU855" s="999"/>
      <c r="GAV855" s="999"/>
      <c r="GAW855" s="999"/>
      <c r="GAX855" s="999"/>
      <c r="GAY855" s="999"/>
      <c r="GAZ855" s="999"/>
      <c r="GBA855" s="999"/>
      <c r="GBB855" s="999"/>
      <c r="GBC855" s="999"/>
      <c r="GBD855" s="999"/>
      <c r="GBE855" s="999"/>
      <c r="GBF855" s="999"/>
      <c r="GBG855" s="999"/>
      <c r="GBH855" s="999"/>
      <c r="GBI855" s="999"/>
      <c r="GBJ855" s="999"/>
      <c r="GBK855" s="999"/>
      <c r="GBL855" s="999"/>
      <c r="GBM855" s="999"/>
      <c r="GBN855" s="999"/>
      <c r="GBO855" s="999"/>
      <c r="GBP855" s="999"/>
      <c r="GBQ855" s="999"/>
      <c r="GBR855" s="999"/>
      <c r="GBS855" s="999"/>
      <c r="GBT855" s="999"/>
      <c r="GBU855" s="999"/>
      <c r="GBV855" s="999"/>
      <c r="GBW855" s="999"/>
      <c r="GBX855" s="999"/>
      <c r="GBY855" s="999"/>
      <c r="GBZ855" s="999"/>
      <c r="GCA855" s="999"/>
      <c r="GCB855" s="999"/>
      <c r="GCC855" s="999"/>
      <c r="GCD855" s="999"/>
      <c r="GCE855" s="999"/>
      <c r="GCF855" s="999"/>
      <c r="GCG855" s="999"/>
      <c r="GCH855" s="999"/>
      <c r="GCI855" s="999"/>
      <c r="GCJ855" s="999"/>
      <c r="GCK855" s="999"/>
      <c r="GCL855" s="999"/>
      <c r="GCM855" s="999"/>
      <c r="GCN855" s="999"/>
      <c r="GCO855" s="999"/>
      <c r="GCP855" s="999"/>
      <c r="GCQ855" s="999"/>
      <c r="GCR855" s="999"/>
      <c r="GCS855" s="999"/>
      <c r="GCT855" s="999"/>
      <c r="GCU855" s="999"/>
      <c r="GCV855" s="999"/>
      <c r="GCW855" s="999"/>
      <c r="GCX855" s="999"/>
      <c r="GCY855" s="999"/>
      <c r="GCZ855" s="999"/>
      <c r="GDA855" s="999"/>
      <c r="GDB855" s="999"/>
      <c r="GDC855" s="999"/>
      <c r="GDD855" s="999"/>
      <c r="GDE855" s="999"/>
      <c r="GDF855" s="999"/>
      <c r="GDG855" s="999"/>
      <c r="GDH855" s="999"/>
      <c r="GDI855" s="999"/>
      <c r="GDJ855" s="999"/>
      <c r="GDK855" s="999"/>
      <c r="GDL855" s="999"/>
      <c r="GDM855" s="999"/>
      <c r="GDN855" s="999"/>
      <c r="GDO855" s="999"/>
      <c r="GDP855" s="999"/>
      <c r="GDQ855" s="999"/>
      <c r="GDR855" s="999"/>
      <c r="GDS855" s="999"/>
      <c r="GDT855" s="999"/>
      <c r="GDU855" s="999"/>
      <c r="GDV855" s="999"/>
      <c r="GDW855" s="999"/>
      <c r="GDX855" s="999"/>
      <c r="GDY855" s="999"/>
      <c r="GDZ855" s="999"/>
      <c r="GEA855" s="999"/>
      <c r="GEB855" s="999"/>
      <c r="GEC855" s="999"/>
      <c r="GED855" s="999"/>
      <c r="GEE855" s="999"/>
      <c r="GEF855" s="999"/>
      <c r="GEG855" s="999"/>
      <c r="GEH855" s="999"/>
      <c r="GEI855" s="999"/>
      <c r="GEJ855" s="999"/>
      <c r="GEK855" s="999"/>
      <c r="GEL855" s="999"/>
      <c r="GEM855" s="999"/>
      <c r="GEN855" s="999"/>
      <c r="GEO855" s="999"/>
      <c r="GEP855" s="999"/>
      <c r="GEQ855" s="999"/>
      <c r="GER855" s="999"/>
      <c r="GES855" s="999"/>
      <c r="GET855" s="999"/>
      <c r="GEU855" s="999"/>
      <c r="GEV855" s="999"/>
      <c r="GEW855" s="999"/>
      <c r="GEX855" s="999"/>
      <c r="GEY855" s="999"/>
      <c r="GEZ855" s="999"/>
      <c r="GFA855" s="999"/>
      <c r="GFB855" s="999"/>
      <c r="GFC855" s="999"/>
      <c r="GFD855" s="999"/>
      <c r="GFE855" s="999"/>
      <c r="GFF855" s="999"/>
      <c r="GFG855" s="999"/>
      <c r="GFH855" s="999"/>
      <c r="GFI855" s="999"/>
      <c r="GFJ855" s="999"/>
      <c r="GFK855" s="999"/>
      <c r="GFL855" s="999"/>
      <c r="GFM855" s="999"/>
      <c r="GFN855" s="999"/>
      <c r="GFO855" s="999"/>
      <c r="GFP855" s="999"/>
      <c r="GFQ855" s="999"/>
      <c r="GFR855" s="999"/>
      <c r="GFS855" s="999"/>
      <c r="GFT855" s="999"/>
      <c r="GFU855" s="999"/>
      <c r="GFV855" s="999"/>
      <c r="GFW855" s="999"/>
      <c r="GFX855" s="999"/>
      <c r="GFY855" s="999"/>
      <c r="GFZ855" s="999"/>
      <c r="GGA855" s="999"/>
      <c r="GGB855" s="999"/>
      <c r="GGC855" s="999"/>
      <c r="GGD855" s="999"/>
      <c r="GGE855" s="999"/>
      <c r="GGF855" s="999"/>
      <c r="GGG855" s="999"/>
      <c r="GGH855" s="999"/>
      <c r="GGI855" s="999"/>
      <c r="GGJ855" s="999"/>
      <c r="GGK855" s="999"/>
      <c r="GGL855" s="999"/>
      <c r="GGM855" s="999"/>
      <c r="GGN855" s="999"/>
      <c r="GGO855" s="999"/>
      <c r="GGP855" s="999"/>
      <c r="GGQ855" s="999"/>
      <c r="GGR855" s="999"/>
      <c r="GGS855" s="999"/>
      <c r="GGT855" s="999"/>
      <c r="GGU855" s="999"/>
      <c r="GGV855" s="999"/>
      <c r="GGW855" s="999"/>
      <c r="GGX855" s="999"/>
      <c r="GGY855" s="999"/>
      <c r="GGZ855" s="999"/>
      <c r="GHA855" s="999"/>
      <c r="GHB855" s="999"/>
      <c r="GHC855" s="999"/>
      <c r="GHD855" s="999"/>
      <c r="GHE855" s="999"/>
      <c r="GHF855" s="999"/>
      <c r="GHG855" s="999"/>
      <c r="GHH855" s="999"/>
      <c r="GHI855" s="999"/>
      <c r="GHJ855" s="999"/>
      <c r="GHK855" s="999"/>
      <c r="GHL855" s="999"/>
      <c r="GHM855" s="999"/>
      <c r="GHN855" s="999"/>
      <c r="GHO855" s="999"/>
      <c r="GHP855" s="999"/>
      <c r="GHQ855" s="999"/>
      <c r="GHR855" s="999"/>
      <c r="GHS855" s="999"/>
      <c r="GHT855" s="999"/>
      <c r="GHU855" s="999"/>
      <c r="GHV855" s="999"/>
      <c r="GHW855" s="999"/>
      <c r="GHX855" s="999"/>
      <c r="GHY855" s="999"/>
      <c r="GHZ855" s="999"/>
      <c r="GIA855" s="999"/>
      <c r="GIB855" s="999"/>
      <c r="GIC855" s="999"/>
      <c r="GID855" s="999"/>
      <c r="GIE855" s="999"/>
      <c r="GIF855" s="999"/>
      <c r="GIG855" s="999"/>
      <c r="GIH855" s="999"/>
      <c r="GII855" s="999"/>
      <c r="GIJ855" s="999"/>
      <c r="GIK855" s="999"/>
      <c r="GIL855" s="999"/>
      <c r="GIM855" s="999"/>
      <c r="GIN855" s="999"/>
      <c r="GIO855" s="999"/>
      <c r="GIP855" s="999"/>
      <c r="GIQ855" s="999"/>
      <c r="GIR855" s="999"/>
      <c r="GIS855" s="999"/>
      <c r="GIT855" s="999"/>
      <c r="GIU855" s="999"/>
      <c r="GIV855" s="999"/>
      <c r="GIW855" s="999"/>
      <c r="GIX855" s="999"/>
      <c r="GIY855" s="999"/>
      <c r="GIZ855" s="999"/>
      <c r="GJA855" s="999"/>
      <c r="GJB855" s="999"/>
      <c r="GJC855" s="999"/>
      <c r="GJD855" s="999"/>
      <c r="GJE855" s="999"/>
      <c r="GJF855" s="999"/>
      <c r="GJG855" s="999"/>
      <c r="GJH855" s="999"/>
      <c r="GJI855" s="999"/>
      <c r="GJJ855" s="999"/>
      <c r="GJK855" s="999"/>
      <c r="GJL855" s="999"/>
      <c r="GJM855" s="999"/>
      <c r="GJN855" s="999"/>
      <c r="GJO855" s="999"/>
      <c r="GJP855" s="999"/>
      <c r="GJQ855" s="999"/>
      <c r="GJR855" s="999"/>
      <c r="GJS855" s="999"/>
      <c r="GJT855" s="999"/>
      <c r="GJU855" s="999"/>
      <c r="GJV855" s="999"/>
      <c r="GJW855" s="999"/>
      <c r="GJX855" s="999"/>
      <c r="GJY855" s="999"/>
      <c r="GJZ855" s="999"/>
      <c r="GKA855" s="999"/>
      <c r="GKB855" s="999"/>
      <c r="GKC855" s="999"/>
      <c r="GKD855" s="999"/>
      <c r="GKE855" s="999"/>
      <c r="GKF855" s="999"/>
      <c r="GKG855" s="999"/>
      <c r="GKH855" s="999"/>
      <c r="GKI855" s="999"/>
      <c r="GKJ855" s="999"/>
      <c r="GKK855" s="999"/>
      <c r="GKL855" s="999"/>
      <c r="GKM855" s="999"/>
      <c r="GKN855" s="999"/>
      <c r="GKO855" s="999"/>
      <c r="GKP855" s="999"/>
      <c r="GKQ855" s="999"/>
      <c r="GKR855" s="999"/>
      <c r="GKS855" s="999"/>
      <c r="GKT855" s="999"/>
      <c r="GKU855" s="999"/>
      <c r="GKV855" s="999"/>
      <c r="GKW855" s="999"/>
      <c r="GKX855" s="999"/>
      <c r="GKY855" s="999"/>
      <c r="GKZ855" s="999"/>
      <c r="GLA855" s="999"/>
      <c r="GLB855" s="999"/>
      <c r="GLC855" s="999"/>
      <c r="GLD855" s="999"/>
      <c r="GLE855" s="999"/>
      <c r="GLF855" s="999"/>
      <c r="GLG855" s="999"/>
      <c r="GLH855" s="999"/>
      <c r="GLI855" s="999"/>
      <c r="GLJ855" s="999"/>
      <c r="GLK855" s="999"/>
      <c r="GLL855" s="999"/>
      <c r="GLM855" s="999"/>
      <c r="GLN855" s="999"/>
      <c r="GLO855" s="999"/>
      <c r="GLP855" s="999"/>
      <c r="GLQ855" s="999"/>
      <c r="GLR855" s="999"/>
      <c r="GLS855" s="999"/>
      <c r="GLT855" s="999"/>
      <c r="GLU855" s="999"/>
      <c r="GLV855" s="999"/>
      <c r="GLW855" s="999"/>
      <c r="GLX855" s="999"/>
      <c r="GLY855" s="999"/>
      <c r="GLZ855" s="999"/>
      <c r="GMA855" s="999"/>
      <c r="GMB855" s="999"/>
      <c r="GMC855" s="999"/>
      <c r="GMD855" s="999"/>
      <c r="GME855" s="999"/>
      <c r="GMF855" s="999"/>
      <c r="GMG855" s="999"/>
      <c r="GMH855" s="999"/>
      <c r="GMI855" s="999"/>
      <c r="GMJ855" s="999"/>
      <c r="GMK855" s="999"/>
      <c r="GML855" s="999"/>
      <c r="GMM855" s="999"/>
      <c r="GMN855" s="999"/>
      <c r="GMO855" s="999"/>
      <c r="GMP855" s="999"/>
      <c r="GMQ855" s="999"/>
      <c r="GMR855" s="999"/>
      <c r="GMS855" s="999"/>
      <c r="GMT855" s="999"/>
      <c r="GMU855" s="999"/>
      <c r="GMV855" s="999"/>
      <c r="GMW855" s="999"/>
      <c r="GMX855" s="999"/>
      <c r="GMY855" s="999"/>
      <c r="GMZ855" s="999"/>
      <c r="GNA855" s="999"/>
      <c r="GNB855" s="999"/>
      <c r="GNC855" s="999"/>
      <c r="GND855" s="999"/>
      <c r="GNE855" s="999"/>
      <c r="GNF855" s="999"/>
      <c r="GNG855" s="999"/>
      <c r="GNH855" s="999"/>
      <c r="GNI855" s="999"/>
      <c r="GNJ855" s="999"/>
      <c r="GNK855" s="999"/>
      <c r="GNL855" s="999"/>
      <c r="GNM855" s="999"/>
      <c r="GNN855" s="999"/>
      <c r="GNO855" s="999"/>
      <c r="GNP855" s="999"/>
      <c r="GNQ855" s="999"/>
      <c r="GNR855" s="999"/>
      <c r="GNS855" s="999"/>
      <c r="GNT855" s="999"/>
      <c r="GNU855" s="999"/>
      <c r="GNV855" s="999"/>
      <c r="GNW855" s="999"/>
      <c r="GNX855" s="999"/>
      <c r="GNY855" s="999"/>
      <c r="GNZ855" s="999"/>
      <c r="GOA855" s="999"/>
      <c r="GOB855" s="999"/>
      <c r="GOC855" s="999"/>
      <c r="GOD855" s="999"/>
      <c r="GOE855" s="999"/>
      <c r="GOF855" s="999"/>
      <c r="GOG855" s="999"/>
      <c r="GOH855" s="999"/>
      <c r="GOI855" s="999"/>
      <c r="GOJ855" s="999"/>
      <c r="GOK855" s="999"/>
      <c r="GOL855" s="999"/>
      <c r="GOM855" s="999"/>
      <c r="GON855" s="999"/>
      <c r="GOO855" s="999"/>
      <c r="GOP855" s="999"/>
      <c r="GOQ855" s="999"/>
      <c r="GOR855" s="999"/>
      <c r="GOS855" s="999"/>
      <c r="GOT855" s="999"/>
      <c r="GOU855" s="999"/>
      <c r="GOV855" s="999"/>
      <c r="GOW855" s="999"/>
      <c r="GOX855" s="999"/>
      <c r="GOY855" s="999"/>
      <c r="GOZ855" s="999"/>
      <c r="GPA855" s="999"/>
      <c r="GPB855" s="999"/>
      <c r="GPC855" s="999"/>
      <c r="GPD855" s="999"/>
      <c r="GPE855" s="999"/>
      <c r="GPF855" s="999"/>
      <c r="GPG855" s="999"/>
      <c r="GPH855" s="999"/>
      <c r="GPI855" s="999"/>
      <c r="GPJ855" s="999"/>
      <c r="GPK855" s="999"/>
      <c r="GPL855" s="999"/>
      <c r="GPM855" s="999"/>
      <c r="GPN855" s="999"/>
      <c r="GPO855" s="999"/>
      <c r="GPP855" s="999"/>
      <c r="GPQ855" s="999"/>
      <c r="GPR855" s="999"/>
      <c r="GPS855" s="999"/>
      <c r="GPT855" s="999"/>
      <c r="GPU855" s="999"/>
      <c r="GPV855" s="999"/>
      <c r="GPW855" s="999"/>
      <c r="GPX855" s="999"/>
      <c r="GPY855" s="999"/>
      <c r="GPZ855" s="999"/>
      <c r="GQA855" s="999"/>
      <c r="GQB855" s="999"/>
      <c r="GQC855" s="999"/>
      <c r="GQD855" s="999"/>
      <c r="GQE855" s="999"/>
      <c r="GQF855" s="999"/>
      <c r="GQG855" s="999"/>
      <c r="GQH855" s="999"/>
      <c r="GQI855" s="999"/>
      <c r="GQJ855" s="999"/>
      <c r="GQK855" s="999"/>
      <c r="GQL855" s="999"/>
      <c r="GQM855" s="999"/>
      <c r="GQN855" s="999"/>
      <c r="GQO855" s="999"/>
      <c r="GQP855" s="999"/>
      <c r="GQQ855" s="999"/>
      <c r="GQR855" s="999"/>
      <c r="GQS855" s="999"/>
      <c r="GQT855" s="999"/>
      <c r="GQU855" s="999"/>
      <c r="GQV855" s="999"/>
      <c r="GQW855" s="999"/>
      <c r="GQX855" s="999"/>
      <c r="GQY855" s="999"/>
      <c r="GQZ855" s="999"/>
      <c r="GRA855" s="999"/>
      <c r="GRB855" s="999"/>
      <c r="GRC855" s="999"/>
      <c r="GRD855" s="999"/>
      <c r="GRE855" s="999"/>
      <c r="GRF855" s="999"/>
      <c r="GRG855" s="999"/>
      <c r="GRH855" s="999"/>
      <c r="GRI855" s="999"/>
      <c r="GRJ855" s="999"/>
      <c r="GRK855" s="999"/>
      <c r="GRL855" s="999"/>
      <c r="GRM855" s="999"/>
      <c r="GRN855" s="999"/>
      <c r="GRO855" s="999"/>
      <c r="GRP855" s="999"/>
      <c r="GRQ855" s="999"/>
      <c r="GRR855" s="999"/>
      <c r="GRS855" s="999"/>
      <c r="GRT855" s="999"/>
      <c r="GRU855" s="999"/>
      <c r="GRV855" s="999"/>
      <c r="GRW855" s="999"/>
      <c r="GRX855" s="999"/>
      <c r="GRY855" s="999"/>
      <c r="GRZ855" s="999"/>
      <c r="GSA855" s="999"/>
      <c r="GSB855" s="999"/>
      <c r="GSC855" s="999"/>
      <c r="GSD855" s="999"/>
      <c r="GSE855" s="999"/>
      <c r="GSF855" s="999"/>
      <c r="GSG855" s="999"/>
      <c r="GSH855" s="999"/>
      <c r="GSI855" s="999"/>
      <c r="GSJ855" s="999"/>
      <c r="GSK855" s="999"/>
      <c r="GSL855" s="999"/>
      <c r="GSM855" s="999"/>
      <c r="GSN855" s="999"/>
      <c r="GSO855" s="999"/>
      <c r="GSP855" s="999"/>
      <c r="GSQ855" s="999"/>
      <c r="GSR855" s="999"/>
      <c r="GSS855" s="999"/>
      <c r="GST855" s="999"/>
      <c r="GSU855" s="999"/>
      <c r="GSV855" s="999"/>
      <c r="GSW855" s="999"/>
      <c r="GSX855" s="999"/>
      <c r="GSY855" s="999"/>
      <c r="GSZ855" s="999"/>
      <c r="GTA855" s="999"/>
      <c r="GTB855" s="999"/>
      <c r="GTC855" s="999"/>
      <c r="GTD855" s="999"/>
      <c r="GTE855" s="999"/>
      <c r="GTF855" s="999"/>
      <c r="GTG855" s="999"/>
      <c r="GTH855" s="999"/>
      <c r="GTI855" s="999"/>
      <c r="GTJ855" s="999"/>
      <c r="GTK855" s="999"/>
      <c r="GTL855" s="999"/>
      <c r="GTM855" s="999"/>
      <c r="GTN855" s="999"/>
      <c r="GTO855" s="999"/>
      <c r="GTP855" s="999"/>
      <c r="GTQ855" s="999"/>
      <c r="GTR855" s="999"/>
      <c r="GTS855" s="999"/>
      <c r="GTT855" s="999"/>
      <c r="GTU855" s="999"/>
      <c r="GTV855" s="999"/>
      <c r="GTW855" s="999"/>
      <c r="GTX855" s="999"/>
      <c r="GTY855" s="999"/>
      <c r="GTZ855" s="999"/>
      <c r="GUA855" s="999"/>
      <c r="GUB855" s="999"/>
      <c r="GUC855" s="999"/>
      <c r="GUD855" s="999"/>
      <c r="GUE855" s="999"/>
      <c r="GUF855" s="999"/>
      <c r="GUG855" s="999"/>
      <c r="GUH855" s="999"/>
      <c r="GUI855" s="999"/>
      <c r="GUJ855" s="999"/>
      <c r="GUK855" s="999"/>
      <c r="GUL855" s="999"/>
      <c r="GUM855" s="999"/>
      <c r="GUN855" s="999"/>
      <c r="GUO855" s="999"/>
      <c r="GUP855" s="999"/>
      <c r="GUQ855" s="999"/>
      <c r="GUR855" s="999"/>
      <c r="GUS855" s="999"/>
      <c r="GUT855" s="999"/>
      <c r="GUU855" s="999"/>
      <c r="GUV855" s="999"/>
      <c r="GUW855" s="999"/>
      <c r="GUX855" s="999"/>
      <c r="GUY855" s="999"/>
      <c r="GUZ855" s="999"/>
      <c r="GVA855" s="999"/>
      <c r="GVB855" s="999"/>
      <c r="GVC855" s="999"/>
      <c r="GVD855" s="999"/>
      <c r="GVE855" s="999"/>
      <c r="GVF855" s="999"/>
      <c r="GVG855" s="999"/>
      <c r="GVH855" s="999"/>
      <c r="GVI855" s="999"/>
      <c r="GVJ855" s="999"/>
      <c r="GVK855" s="999"/>
      <c r="GVL855" s="999"/>
      <c r="GVM855" s="999"/>
      <c r="GVN855" s="999"/>
      <c r="GVO855" s="999"/>
      <c r="GVP855" s="999"/>
      <c r="GVQ855" s="999"/>
      <c r="GVR855" s="999"/>
      <c r="GVS855" s="999"/>
      <c r="GVT855" s="999"/>
      <c r="GVU855" s="999"/>
      <c r="GVV855" s="999"/>
      <c r="GVW855" s="999"/>
      <c r="GVX855" s="999"/>
      <c r="GVY855" s="999"/>
      <c r="GVZ855" s="999"/>
      <c r="GWA855" s="999"/>
      <c r="GWB855" s="999"/>
      <c r="GWC855" s="999"/>
      <c r="GWD855" s="999"/>
      <c r="GWE855" s="999"/>
      <c r="GWF855" s="999"/>
      <c r="GWG855" s="999"/>
      <c r="GWH855" s="999"/>
      <c r="GWI855" s="999"/>
      <c r="GWJ855" s="999"/>
      <c r="GWK855" s="999"/>
      <c r="GWL855" s="999"/>
      <c r="GWM855" s="999"/>
      <c r="GWN855" s="999"/>
      <c r="GWO855" s="999"/>
      <c r="GWP855" s="999"/>
      <c r="GWQ855" s="999"/>
      <c r="GWR855" s="999"/>
      <c r="GWS855" s="999"/>
      <c r="GWT855" s="999"/>
      <c r="GWU855" s="999"/>
      <c r="GWV855" s="999"/>
      <c r="GWW855" s="999"/>
      <c r="GWX855" s="999"/>
      <c r="GWY855" s="999"/>
      <c r="GWZ855" s="999"/>
      <c r="GXA855" s="999"/>
      <c r="GXB855" s="999"/>
      <c r="GXC855" s="999"/>
      <c r="GXD855" s="999"/>
      <c r="GXE855" s="999"/>
      <c r="GXF855" s="999"/>
      <c r="GXG855" s="999"/>
      <c r="GXH855" s="999"/>
      <c r="GXI855" s="999"/>
      <c r="GXJ855" s="999"/>
      <c r="GXK855" s="999"/>
      <c r="GXL855" s="999"/>
      <c r="GXM855" s="999"/>
      <c r="GXN855" s="999"/>
      <c r="GXO855" s="999"/>
      <c r="GXP855" s="999"/>
      <c r="GXQ855" s="999"/>
      <c r="GXR855" s="999"/>
      <c r="GXS855" s="999"/>
      <c r="GXT855" s="999"/>
      <c r="GXU855" s="999"/>
      <c r="GXV855" s="999"/>
      <c r="GXW855" s="999"/>
      <c r="GXX855" s="999"/>
      <c r="GXY855" s="999"/>
      <c r="GXZ855" s="999"/>
      <c r="GYA855" s="999"/>
      <c r="GYB855" s="999"/>
      <c r="GYC855" s="999"/>
      <c r="GYD855" s="999"/>
      <c r="GYE855" s="999"/>
      <c r="GYF855" s="999"/>
      <c r="GYG855" s="999"/>
      <c r="GYH855" s="999"/>
      <c r="GYI855" s="999"/>
      <c r="GYJ855" s="999"/>
      <c r="GYK855" s="999"/>
      <c r="GYL855" s="999"/>
      <c r="GYM855" s="999"/>
      <c r="GYN855" s="999"/>
      <c r="GYO855" s="999"/>
      <c r="GYP855" s="999"/>
      <c r="GYQ855" s="999"/>
      <c r="GYR855" s="999"/>
      <c r="GYS855" s="999"/>
      <c r="GYT855" s="999"/>
      <c r="GYU855" s="999"/>
      <c r="GYV855" s="999"/>
      <c r="GYW855" s="999"/>
      <c r="GYX855" s="999"/>
      <c r="GYY855" s="999"/>
      <c r="GYZ855" s="999"/>
      <c r="GZA855" s="999"/>
      <c r="GZB855" s="999"/>
      <c r="GZC855" s="999"/>
      <c r="GZD855" s="999"/>
      <c r="GZE855" s="999"/>
      <c r="GZF855" s="999"/>
      <c r="GZG855" s="999"/>
      <c r="GZH855" s="999"/>
      <c r="GZI855" s="999"/>
      <c r="GZJ855" s="999"/>
      <c r="GZK855" s="999"/>
      <c r="GZL855" s="999"/>
      <c r="GZM855" s="999"/>
      <c r="GZN855" s="999"/>
      <c r="GZO855" s="999"/>
      <c r="GZP855" s="999"/>
      <c r="GZQ855" s="999"/>
      <c r="GZR855" s="999"/>
      <c r="GZS855" s="999"/>
      <c r="GZT855" s="999"/>
      <c r="GZU855" s="999"/>
      <c r="GZV855" s="999"/>
      <c r="GZW855" s="999"/>
      <c r="GZX855" s="999"/>
      <c r="GZY855" s="999"/>
      <c r="GZZ855" s="999"/>
      <c r="HAA855" s="999"/>
      <c r="HAB855" s="999"/>
      <c r="HAC855" s="999"/>
      <c r="HAD855" s="999"/>
      <c r="HAE855" s="999"/>
      <c r="HAF855" s="999"/>
      <c r="HAG855" s="999"/>
      <c r="HAH855" s="999"/>
      <c r="HAI855" s="999"/>
      <c r="HAJ855" s="999"/>
      <c r="HAK855" s="999"/>
      <c r="HAL855" s="999"/>
      <c r="HAM855" s="999"/>
      <c r="HAN855" s="999"/>
      <c r="HAO855" s="999"/>
      <c r="HAP855" s="999"/>
      <c r="HAQ855" s="999"/>
      <c r="HAR855" s="999"/>
      <c r="HAS855" s="999"/>
      <c r="HAT855" s="999"/>
      <c r="HAU855" s="999"/>
      <c r="HAV855" s="999"/>
      <c r="HAW855" s="999"/>
      <c r="HAX855" s="999"/>
      <c r="HAY855" s="999"/>
      <c r="HAZ855" s="999"/>
      <c r="HBA855" s="999"/>
      <c r="HBB855" s="999"/>
      <c r="HBC855" s="999"/>
      <c r="HBD855" s="999"/>
      <c r="HBE855" s="999"/>
      <c r="HBF855" s="999"/>
      <c r="HBG855" s="999"/>
      <c r="HBH855" s="999"/>
      <c r="HBI855" s="999"/>
      <c r="HBJ855" s="999"/>
      <c r="HBK855" s="999"/>
      <c r="HBL855" s="999"/>
      <c r="HBM855" s="999"/>
      <c r="HBN855" s="999"/>
      <c r="HBO855" s="999"/>
      <c r="HBP855" s="999"/>
      <c r="HBQ855" s="999"/>
      <c r="HBR855" s="999"/>
      <c r="HBS855" s="999"/>
      <c r="HBT855" s="999"/>
      <c r="HBU855" s="999"/>
      <c r="HBV855" s="999"/>
      <c r="HBW855" s="999"/>
      <c r="HBX855" s="999"/>
      <c r="HBY855" s="999"/>
      <c r="HBZ855" s="999"/>
      <c r="HCA855" s="999"/>
      <c r="HCB855" s="999"/>
      <c r="HCC855" s="999"/>
      <c r="HCD855" s="999"/>
      <c r="HCE855" s="999"/>
      <c r="HCF855" s="999"/>
      <c r="HCG855" s="999"/>
      <c r="HCH855" s="999"/>
      <c r="HCI855" s="999"/>
      <c r="HCJ855" s="999"/>
      <c r="HCK855" s="999"/>
      <c r="HCL855" s="999"/>
      <c r="HCM855" s="999"/>
      <c r="HCN855" s="999"/>
      <c r="HCO855" s="999"/>
      <c r="HCP855" s="999"/>
      <c r="HCQ855" s="999"/>
      <c r="HCR855" s="999"/>
      <c r="HCS855" s="999"/>
      <c r="HCT855" s="999"/>
      <c r="HCU855" s="999"/>
      <c r="HCV855" s="999"/>
      <c r="HCW855" s="999"/>
      <c r="HCX855" s="999"/>
      <c r="HCY855" s="999"/>
      <c r="HCZ855" s="999"/>
      <c r="HDA855" s="999"/>
      <c r="HDB855" s="999"/>
      <c r="HDC855" s="999"/>
      <c r="HDD855" s="999"/>
      <c r="HDE855" s="999"/>
      <c r="HDF855" s="999"/>
      <c r="HDG855" s="999"/>
      <c r="HDH855" s="999"/>
      <c r="HDI855" s="999"/>
      <c r="HDJ855" s="999"/>
      <c r="HDK855" s="999"/>
      <c r="HDL855" s="999"/>
      <c r="HDM855" s="999"/>
      <c r="HDN855" s="999"/>
      <c r="HDO855" s="999"/>
      <c r="HDP855" s="999"/>
      <c r="HDQ855" s="999"/>
      <c r="HDR855" s="999"/>
      <c r="HDS855" s="999"/>
      <c r="HDT855" s="999"/>
      <c r="HDU855" s="999"/>
      <c r="HDV855" s="999"/>
      <c r="HDW855" s="999"/>
      <c r="HDX855" s="999"/>
      <c r="HDY855" s="999"/>
      <c r="HDZ855" s="999"/>
      <c r="HEA855" s="999"/>
      <c r="HEB855" s="999"/>
      <c r="HEC855" s="999"/>
      <c r="HED855" s="999"/>
      <c r="HEE855" s="999"/>
      <c r="HEF855" s="999"/>
      <c r="HEG855" s="999"/>
      <c r="HEH855" s="999"/>
      <c r="HEI855" s="999"/>
      <c r="HEJ855" s="999"/>
      <c r="HEK855" s="999"/>
      <c r="HEL855" s="999"/>
      <c r="HEM855" s="999"/>
      <c r="HEN855" s="999"/>
      <c r="HEO855" s="999"/>
      <c r="HEP855" s="999"/>
      <c r="HEQ855" s="999"/>
      <c r="HER855" s="999"/>
      <c r="HES855" s="999"/>
      <c r="HET855" s="999"/>
      <c r="HEU855" s="999"/>
      <c r="HEV855" s="999"/>
      <c r="HEW855" s="999"/>
      <c r="HEX855" s="999"/>
      <c r="HEY855" s="999"/>
      <c r="HEZ855" s="999"/>
      <c r="HFA855" s="999"/>
      <c r="HFB855" s="999"/>
      <c r="HFC855" s="999"/>
      <c r="HFD855" s="999"/>
      <c r="HFE855" s="999"/>
      <c r="HFF855" s="999"/>
      <c r="HFG855" s="999"/>
      <c r="HFH855" s="999"/>
      <c r="HFI855" s="999"/>
      <c r="HFJ855" s="999"/>
      <c r="HFK855" s="999"/>
      <c r="HFL855" s="999"/>
      <c r="HFM855" s="999"/>
      <c r="HFN855" s="999"/>
      <c r="HFO855" s="999"/>
      <c r="HFP855" s="999"/>
      <c r="HFQ855" s="999"/>
      <c r="HFR855" s="999"/>
      <c r="HFS855" s="999"/>
      <c r="HFT855" s="999"/>
      <c r="HFU855" s="999"/>
      <c r="HFV855" s="999"/>
      <c r="HFW855" s="999"/>
      <c r="HFX855" s="999"/>
      <c r="HFY855" s="999"/>
      <c r="HFZ855" s="999"/>
      <c r="HGA855" s="999"/>
      <c r="HGB855" s="999"/>
      <c r="HGC855" s="999"/>
      <c r="HGD855" s="999"/>
      <c r="HGE855" s="999"/>
      <c r="HGF855" s="999"/>
      <c r="HGG855" s="999"/>
      <c r="HGH855" s="999"/>
      <c r="HGI855" s="999"/>
      <c r="HGJ855" s="999"/>
      <c r="HGK855" s="999"/>
      <c r="HGL855" s="999"/>
      <c r="HGM855" s="999"/>
      <c r="HGN855" s="999"/>
      <c r="HGO855" s="999"/>
      <c r="HGP855" s="999"/>
      <c r="HGQ855" s="999"/>
      <c r="HGR855" s="999"/>
      <c r="HGS855" s="999"/>
      <c r="HGT855" s="999"/>
      <c r="HGU855" s="999"/>
      <c r="HGV855" s="999"/>
      <c r="HGW855" s="999"/>
      <c r="HGX855" s="999"/>
      <c r="HGY855" s="999"/>
      <c r="HGZ855" s="999"/>
      <c r="HHA855" s="999"/>
      <c r="HHB855" s="999"/>
      <c r="HHC855" s="999"/>
      <c r="HHD855" s="999"/>
      <c r="HHE855" s="999"/>
      <c r="HHF855" s="999"/>
      <c r="HHG855" s="999"/>
      <c r="HHH855" s="999"/>
      <c r="HHI855" s="999"/>
      <c r="HHJ855" s="999"/>
      <c r="HHK855" s="999"/>
      <c r="HHL855" s="999"/>
      <c r="HHM855" s="999"/>
      <c r="HHN855" s="999"/>
      <c r="HHO855" s="999"/>
      <c r="HHP855" s="999"/>
      <c r="HHQ855" s="999"/>
      <c r="HHR855" s="999"/>
      <c r="HHS855" s="999"/>
      <c r="HHT855" s="999"/>
      <c r="HHU855" s="999"/>
      <c r="HHV855" s="999"/>
      <c r="HHW855" s="999"/>
      <c r="HHX855" s="999"/>
      <c r="HHY855" s="999"/>
      <c r="HHZ855" s="999"/>
      <c r="HIA855" s="999"/>
      <c r="HIB855" s="999"/>
      <c r="HIC855" s="999"/>
      <c r="HID855" s="999"/>
      <c r="HIE855" s="999"/>
      <c r="HIF855" s="999"/>
      <c r="HIG855" s="999"/>
      <c r="HIH855" s="999"/>
      <c r="HII855" s="999"/>
      <c r="HIJ855" s="999"/>
      <c r="HIK855" s="999"/>
      <c r="HIL855" s="999"/>
      <c r="HIM855" s="999"/>
      <c r="HIN855" s="999"/>
      <c r="HIO855" s="999"/>
      <c r="HIP855" s="999"/>
      <c r="HIQ855" s="999"/>
      <c r="HIR855" s="999"/>
      <c r="HIS855" s="999"/>
      <c r="HIT855" s="999"/>
      <c r="HIU855" s="999"/>
      <c r="HIV855" s="999"/>
      <c r="HIW855" s="999"/>
      <c r="HIX855" s="999"/>
      <c r="HIY855" s="999"/>
      <c r="HIZ855" s="999"/>
      <c r="HJA855" s="999"/>
      <c r="HJB855" s="999"/>
      <c r="HJC855" s="999"/>
      <c r="HJD855" s="999"/>
      <c r="HJE855" s="999"/>
      <c r="HJF855" s="999"/>
      <c r="HJG855" s="999"/>
      <c r="HJH855" s="999"/>
      <c r="HJI855" s="999"/>
      <c r="HJJ855" s="999"/>
      <c r="HJK855" s="999"/>
      <c r="HJL855" s="999"/>
      <c r="HJM855" s="999"/>
      <c r="HJN855" s="999"/>
      <c r="HJO855" s="999"/>
      <c r="HJP855" s="999"/>
      <c r="HJQ855" s="999"/>
      <c r="HJR855" s="999"/>
      <c r="HJS855" s="999"/>
      <c r="HJT855" s="999"/>
      <c r="HJU855" s="999"/>
      <c r="HJV855" s="999"/>
      <c r="HJW855" s="999"/>
      <c r="HJX855" s="999"/>
      <c r="HJY855" s="999"/>
      <c r="HJZ855" s="999"/>
      <c r="HKA855" s="999"/>
      <c r="HKB855" s="999"/>
      <c r="HKC855" s="999"/>
      <c r="HKD855" s="999"/>
      <c r="HKE855" s="999"/>
      <c r="HKF855" s="999"/>
      <c r="HKG855" s="999"/>
      <c r="HKH855" s="999"/>
      <c r="HKI855" s="999"/>
      <c r="HKJ855" s="999"/>
      <c r="HKK855" s="999"/>
      <c r="HKL855" s="999"/>
      <c r="HKM855" s="999"/>
      <c r="HKN855" s="999"/>
      <c r="HKO855" s="999"/>
      <c r="HKP855" s="999"/>
      <c r="HKQ855" s="999"/>
      <c r="HKR855" s="999"/>
      <c r="HKS855" s="999"/>
      <c r="HKT855" s="999"/>
      <c r="HKU855" s="999"/>
      <c r="HKV855" s="999"/>
      <c r="HKW855" s="999"/>
      <c r="HKX855" s="999"/>
      <c r="HKY855" s="999"/>
      <c r="HKZ855" s="999"/>
      <c r="HLA855" s="999"/>
      <c r="HLB855" s="999"/>
      <c r="HLC855" s="999"/>
      <c r="HLD855" s="999"/>
      <c r="HLE855" s="999"/>
      <c r="HLF855" s="999"/>
      <c r="HLG855" s="999"/>
      <c r="HLH855" s="999"/>
      <c r="HLI855" s="999"/>
      <c r="HLJ855" s="999"/>
      <c r="HLK855" s="999"/>
      <c r="HLL855" s="999"/>
      <c r="HLM855" s="999"/>
      <c r="HLN855" s="999"/>
      <c r="HLO855" s="999"/>
      <c r="HLP855" s="999"/>
      <c r="HLQ855" s="999"/>
      <c r="HLR855" s="999"/>
      <c r="HLS855" s="999"/>
      <c r="HLT855" s="999"/>
      <c r="HLU855" s="999"/>
      <c r="HLV855" s="999"/>
      <c r="HLW855" s="999"/>
      <c r="HLX855" s="999"/>
      <c r="HLY855" s="999"/>
      <c r="HLZ855" s="999"/>
      <c r="HMA855" s="999"/>
      <c r="HMB855" s="999"/>
      <c r="HMC855" s="999"/>
      <c r="HMD855" s="999"/>
      <c r="HME855" s="999"/>
      <c r="HMF855" s="999"/>
      <c r="HMG855" s="999"/>
      <c r="HMH855" s="999"/>
      <c r="HMI855" s="999"/>
      <c r="HMJ855" s="999"/>
      <c r="HMK855" s="999"/>
      <c r="HML855" s="999"/>
      <c r="HMM855" s="999"/>
      <c r="HMN855" s="999"/>
      <c r="HMO855" s="999"/>
      <c r="HMP855" s="999"/>
      <c r="HMQ855" s="999"/>
      <c r="HMR855" s="999"/>
      <c r="HMS855" s="999"/>
      <c r="HMT855" s="999"/>
      <c r="HMU855" s="999"/>
      <c r="HMV855" s="999"/>
      <c r="HMW855" s="999"/>
      <c r="HMX855" s="999"/>
      <c r="HMY855" s="999"/>
      <c r="HMZ855" s="999"/>
      <c r="HNA855" s="999"/>
      <c r="HNB855" s="999"/>
      <c r="HNC855" s="999"/>
      <c r="HND855" s="999"/>
      <c r="HNE855" s="999"/>
      <c r="HNF855" s="999"/>
      <c r="HNG855" s="999"/>
      <c r="HNH855" s="999"/>
      <c r="HNI855" s="999"/>
      <c r="HNJ855" s="999"/>
      <c r="HNK855" s="999"/>
      <c r="HNL855" s="999"/>
      <c r="HNM855" s="999"/>
      <c r="HNN855" s="999"/>
      <c r="HNO855" s="999"/>
      <c r="HNP855" s="999"/>
      <c r="HNQ855" s="999"/>
      <c r="HNR855" s="999"/>
      <c r="HNS855" s="999"/>
      <c r="HNT855" s="999"/>
      <c r="HNU855" s="999"/>
      <c r="HNV855" s="999"/>
      <c r="HNW855" s="999"/>
      <c r="HNX855" s="999"/>
      <c r="HNY855" s="999"/>
      <c r="HNZ855" s="999"/>
      <c r="HOA855" s="999"/>
      <c r="HOB855" s="999"/>
      <c r="HOC855" s="999"/>
      <c r="HOD855" s="999"/>
      <c r="HOE855" s="999"/>
      <c r="HOF855" s="999"/>
      <c r="HOG855" s="999"/>
      <c r="HOH855" s="999"/>
      <c r="HOI855" s="999"/>
      <c r="HOJ855" s="999"/>
      <c r="HOK855" s="999"/>
      <c r="HOL855" s="999"/>
      <c r="HOM855" s="999"/>
      <c r="HON855" s="999"/>
      <c r="HOO855" s="999"/>
      <c r="HOP855" s="999"/>
      <c r="HOQ855" s="999"/>
      <c r="HOR855" s="999"/>
      <c r="HOS855" s="999"/>
      <c r="HOT855" s="999"/>
      <c r="HOU855" s="999"/>
      <c r="HOV855" s="999"/>
      <c r="HOW855" s="999"/>
      <c r="HOX855" s="999"/>
      <c r="HOY855" s="999"/>
      <c r="HOZ855" s="999"/>
      <c r="HPA855" s="999"/>
      <c r="HPB855" s="999"/>
      <c r="HPC855" s="999"/>
      <c r="HPD855" s="999"/>
      <c r="HPE855" s="999"/>
      <c r="HPF855" s="999"/>
      <c r="HPG855" s="999"/>
      <c r="HPH855" s="999"/>
      <c r="HPI855" s="999"/>
      <c r="HPJ855" s="999"/>
      <c r="HPK855" s="999"/>
      <c r="HPL855" s="999"/>
      <c r="HPM855" s="999"/>
      <c r="HPN855" s="999"/>
      <c r="HPO855" s="999"/>
      <c r="HPP855" s="999"/>
      <c r="HPQ855" s="999"/>
      <c r="HPR855" s="999"/>
      <c r="HPS855" s="999"/>
      <c r="HPT855" s="999"/>
      <c r="HPU855" s="999"/>
      <c r="HPV855" s="999"/>
      <c r="HPW855" s="999"/>
      <c r="HPX855" s="999"/>
      <c r="HPY855" s="999"/>
      <c r="HPZ855" s="999"/>
      <c r="HQA855" s="999"/>
      <c r="HQB855" s="999"/>
      <c r="HQC855" s="999"/>
      <c r="HQD855" s="999"/>
      <c r="HQE855" s="999"/>
      <c r="HQF855" s="999"/>
      <c r="HQG855" s="999"/>
      <c r="HQH855" s="999"/>
      <c r="HQI855" s="999"/>
      <c r="HQJ855" s="999"/>
      <c r="HQK855" s="999"/>
      <c r="HQL855" s="999"/>
      <c r="HQM855" s="999"/>
      <c r="HQN855" s="999"/>
      <c r="HQO855" s="999"/>
      <c r="HQP855" s="999"/>
      <c r="HQQ855" s="999"/>
      <c r="HQR855" s="999"/>
      <c r="HQS855" s="999"/>
      <c r="HQT855" s="999"/>
      <c r="HQU855" s="999"/>
      <c r="HQV855" s="999"/>
      <c r="HQW855" s="999"/>
      <c r="HQX855" s="999"/>
      <c r="HQY855" s="999"/>
      <c r="HQZ855" s="999"/>
      <c r="HRA855" s="999"/>
      <c r="HRB855" s="999"/>
      <c r="HRC855" s="999"/>
      <c r="HRD855" s="999"/>
      <c r="HRE855" s="999"/>
      <c r="HRF855" s="999"/>
      <c r="HRG855" s="999"/>
      <c r="HRH855" s="999"/>
      <c r="HRI855" s="999"/>
      <c r="HRJ855" s="999"/>
      <c r="HRK855" s="999"/>
      <c r="HRL855" s="999"/>
      <c r="HRM855" s="999"/>
      <c r="HRN855" s="999"/>
      <c r="HRO855" s="999"/>
      <c r="HRP855" s="999"/>
      <c r="HRQ855" s="999"/>
      <c r="HRR855" s="999"/>
      <c r="HRS855" s="999"/>
      <c r="HRT855" s="999"/>
      <c r="HRU855" s="999"/>
      <c r="HRV855" s="999"/>
      <c r="HRW855" s="999"/>
      <c r="HRX855" s="999"/>
      <c r="HRY855" s="999"/>
      <c r="HRZ855" s="999"/>
      <c r="HSA855" s="999"/>
      <c r="HSB855" s="999"/>
      <c r="HSC855" s="999"/>
      <c r="HSD855" s="999"/>
      <c r="HSE855" s="999"/>
      <c r="HSF855" s="999"/>
      <c r="HSG855" s="999"/>
      <c r="HSH855" s="999"/>
      <c r="HSI855" s="999"/>
      <c r="HSJ855" s="999"/>
      <c r="HSK855" s="999"/>
      <c r="HSL855" s="999"/>
      <c r="HSM855" s="999"/>
      <c r="HSN855" s="999"/>
      <c r="HSO855" s="999"/>
      <c r="HSP855" s="999"/>
      <c r="HSQ855" s="999"/>
      <c r="HSR855" s="999"/>
      <c r="HSS855" s="999"/>
      <c r="HST855" s="999"/>
      <c r="HSU855" s="999"/>
      <c r="HSV855" s="999"/>
      <c r="HSW855" s="999"/>
      <c r="HSX855" s="999"/>
      <c r="HSY855" s="999"/>
      <c r="HSZ855" s="999"/>
      <c r="HTA855" s="999"/>
      <c r="HTB855" s="999"/>
      <c r="HTC855" s="999"/>
      <c r="HTD855" s="999"/>
      <c r="HTE855" s="999"/>
      <c r="HTF855" s="999"/>
      <c r="HTG855" s="999"/>
      <c r="HTH855" s="999"/>
      <c r="HTI855" s="999"/>
      <c r="HTJ855" s="999"/>
      <c r="HTK855" s="999"/>
      <c r="HTL855" s="999"/>
      <c r="HTM855" s="999"/>
      <c r="HTN855" s="999"/>
      <c r="HTO855" s="999"/>
      <c r="HTP855" s="999"/>
      <c r="HTQ855" s="999"/>
      <c r="HTR855" s="999"/>
      <c r="HTS855" s="999"/>
      <c r="HTT855" s="999"/>
      <c r="HTU855" s="999"/>
      <c r="HTV855" s="999"/>
      <c r="HTW855" s="999"/>
      <c r="HTX855" s="999"/>
      <c r="HTY855" s="999"/>
      <c r="HTZ855" s="999"/>
      <c r="HUA855" s="999"/>
      <c r="HUB855" s="999"/>
      <c r="HUC855" s="999"/>
      <c r="HUD855" s="999"/>
      <c r="HUE855" s="999"/>
      <c r="HUF855" s="999"/>
      <c r="HUG855" s="999"/>
      <c r="HUH855" s="999"/>
      <c r="HUI855" s="999"/>
      <c r="HUJ855" s="999"/>
      <c r="HUK855" s="999"/>
      <c r="HUL855" s="999"/>
      <c r="HUM855" s="999"/>
      <c r="HUN855" s="999"/>
      <c r="HUO855" s="999"/>
      <c r="HUP855" s="999"/>
      <c r="HUQ855" s="999"/>
      <c r="HUR855" s="999"/>
      <c r="HUS855" s="999"/>
      <c r="HUT855" s="999"/>
      <c r="HUU855" s="999"/>
      <c r="HUV855" s="999"/>
      <c r="HUW855" s="999"/>
      <c r="HUX855" s="999"/>
      <c r="HUY855" s="999"/>
      <c r="HUZ855" s="999"/>
      <c r="HVA855" s="999"/>
      <c r="HVB855" s="999"/>
      <c r="HVC855" s="999"/>
      <c r="HVD855" s="999"/>
      <c r="HVE855" s="999"/>
      <c r="HVF855" s="999"/>
      <c r="HVG855" s="999"/>
      <c r="HVH855" s="999"/>
      <c r="HVI855" s="999"/>
      <c r="HVJ855" s="999"/>
      <c r="HVK855" s="999"/>
      <c r="HVL855" s="999"/>
      <c r="HVM855" s="999"/>
      <c r="HVN855" s="999"/>
      <c r="HVO855" s="999"/>
      <c r="HVP855" s="999"/>
      <c r="HVQ855" s="999"/>
      <c r="HVR855" s="999"/>
      <c r="HVS855" s="999"/>
      <c r="HVT855" s="999"/>
      <c r="HVU855" s="999"/>
      <c r="HVV855" s="999"/>
      <c r="HVW855" s="999"/>
      <c r="HVX855" s="999"/>
      <c r="HVY855" s="999"/>
      <c r="HVZ855" s="999"/>
      <c r="HWA855" s="999"/>
      <c r="HWB855" s="999"/>
      <c r="HWC855" s="999"/>
      <c r="HWD855" s="999"/>
      <c r="HWE855" s="999"/>
      <c r="HWF855" s="999"/>
      <c r="HWG855" s="999"/>
      <c r="HWH855" s="999"/>
      <c r="HWI855" s="999"/>
      <c r="HWJ855" s="999"/>
      <c r="HWK855" s="999"/>
      <c r="HWL855" s="999"/>
      <c r="HWM855" s="999"/>
      <c r="HWN855" s="999"/>
      <c r="HWO855" s="999"/>
      <c r="HWP855" s="999"/>
      <c r="HWQ855" s="999"/>
      <c r="HWR855" s="999"/>
      <c r="HWS855" s="999"/>
      <c r="HWT855" s="999"/>
      <c r="HWU855" s="999"/>
      <c r="HWV855" s="999"/>
      <c r="HWW855" s="999"/>
      <c r="HWX855" s="999"/>
      <c r="HWY855" s="999"/>
      <c r="HWZ855" s="999"/>
      <c r="HXA855" s="999"/>
      <c r="HXB855" s="999"/>
      <c r="HXC855" s="999"/>
      <c r="HXD855" s="999"/>
      <c r="HXE855" s="999"/>
      <c r="HXF855" s="999"/>
      <c r="HXG855" s="999"/>
      <c r="HXH855" s="999"/>
      <c r="HXI855" s="999"/>
      <c r="HXJ855" s="999"/>
      <c r="HXK855" s="999"/>
      <c r="HXL855" s="999"/>
      <c r="HXM855" s="999"/>
      <c r="HXN855" s="999"/>
      <c r="HXO855" s="999"/>
      <c r="HXP855" s="999"/>
      <c r="HXQ855" s="999"/>
      <c r="HXR855" s="999"/>
      <c r="HXS855" s="999"/>
      <c r="HXT855" s="999"/>
      <c r="HXU855" s="999"/>
      <c r="HXV855" s="999"/>
      <c r="HXW855" s="999"/>
      <c r="HXX855" s="999"/>
      <c r="HXY855" s="999"/>
      <c r="HXZ855" s="999"/>
      <c r="HYA855" s="999"/>
      <c r="HYB855" s="999"/>
      <c r="HYC855" s="999"/>
      <c r="HYD855" s="999"/>
      <c r="HYE855" s="999"/>
      <c r="HYF855" s="999"/>
      <c r="HYG855" s="999"/>
      <c r="HYH855" s="999"/>
      <c r="HYI855" s="999"/>
      <c r="HYJ855" s="999"/>
      <c r="HYK855" s="999"/>
      <c r="HYL855" s="999"/>
      <c r="HYM855" s="999"/>
      <c r="HYN855" s="999"/>
      <c r="HYO855" s="999"/>
      <c r="HYP855" s="999"/>
      <c r="HYQ855" s="999"/>
      <c r="HYR855" s="999"/>
      <c r="HYS855" s="999"/>
      <c r="HYT855" s="999"/>
      <c r="HYU855" s="999"/>
      <c r="HYV855" s="999"/>
      <c r="HYW855" s="999"/>
      <c r="HYX855" s="999"/>
      <c r="HYY855" s="999"/>
      <c r="HYZ855" s="999"/>
      <c r="HZA855" s="999"/>
      <c r="HZB855" s="999"/>
      <c r="HZC855" s="999"/>
      <c r="HZD855" s="999"/>
      <c r="HZE855" s="999"/>
      <c r="HZF855" s="999"/>
      <c r="HZG855" s="999"/>
      <c r="HZH855" s="999"/>
      <c r="HZI855" s="999"/>
      <c r="HZJ855" s="999"/>
      <c r="HZK855" s="999"/>
      <c r="HZL855" s="999"/>
      <c r="HZM855" s="999"/>
      <c r="HZN855" s="999"/>
      <c r="HZO855" s="999"/>
      <c r="HZP855" s="999"/>
      <c r="HZQ855" s="999"/>
      <c r="HZR855" s="999"/>
      <c r="HZS855" s="999"/>
      <c r="HZT855" s="999"/>
      <c r="HZU855" s="999"/>
      <c r="HZV855" s="999"/>
      <c r="HZW855" s="999"/>
      <c r="HZX855" s="999"/>
      <c r="HZY855" s="999"/>
      <c r="HZZ855" s="999"/>
      <c r="IAA855" s="999"/>
      <c r="IAB855" s="999"/>
      <c r="IAC855" s="999"/>
      <c r="IAD855" s="999"/>
      <c r="IAE855" s="999"/>
      <c r="IAF855" s="999"/>
      <c r="IAG855" s="999"/>
      <c r="IAH855" s="999"/>
      <c r="IAI855" s="999"/>
      <c r="IAJ855" s="999"/>
      <c r="IAK855" s="999"/>
      <c r="IAL855" s="999"/>
      <c r="IAM855" s="999"/>
      <c r="IAN855" s="999"/>
      <c r="IAO855" s="999"/>
      <c r="IAP855" s="999"/>
      <c r="IAQ855" s="999"/>
      <c r="IAR855" s="999"/>
      <c r="IAS855" s="999"/>
      <c r="IAT855" s="999"/>
      <c r="IAU855" s="999"/>
      <c r="IAV855" s="999"/>
      <c r="IAW855" s="999"/>
      <c r="IAX855" s="999"/>
      <c r="IAY855" s="999"/>
      <c r="IAZ855" s="999"/>
      <c r="IBA855" s="999"/>
      <c r="IBB855" s="999"/>
      <c r="IBC855" s="999"/>
      <c r="IBD855" s="999"/>
      <c r="IBE855" s="999"/>
      <c r="IBF855" s="999"/>
      <c r="IBG855" s="999"/>
      <c r="IBH855" s="999"/>
      <c r="IBI855" s="999"/>
      <c r="IBJ855" s="999"/>
      <c r="IBK855" s="999"/>
      <c r="IBL855" s="999"/>
      <c r="IBM855" s="999"/>
      <c r="IBN855" s="999"/>
      <c r="IBO855" s="999"/>
      <c r="IBP855" s="999"/>
      <c r="IBQ855" s="999"/>
      <c r="IBR855" s="999"/>
      <c r="IBS855" s="999"/>
      <c r="IBT855" s="999"/>
      <c r="IBU855" s="999"/>
      <c r="IBV855" s="999"/>
      <c r="IBW855" s="999"/>
      <c r="IBX855" s="999"/>
      <c r="IBY855" s="999"/>
      <c r="IBZ855" s="999"/>
      <c r="ICA855" s="999"/>
      <c r="ICB855" s="999"/>
      <c r="ICC855" s="999"/>
      <c r="ICD855" s="999"/>
      <c r="ICE855" s="999"/>
      <c r="ICF855" s="999"/>
      <c r="ICG855" s="999"/>
      <c r="ICH855" s="999"/>
      <c r="ICI855" s="999"/>
      <c r="ICJ855" s="999"/>
      <c r="ICK855" s="999"/>
      <c r="ICL855" s="999"/>
      <c r="ICM855" s="999"/>
      <c r="ICN855" s="999"/>
      <c r="ICO855" s="999"/>
      <c r="ICP855" s="999"/>
      <c r="ICQ855" s="999"/>
      <c r="ICR855" s="999"/>
      <c r="ICS855" s="999"/>
      <c r="ICT855" s="999"/>
      <c r="ICU855" s="999"/>
      <c r="ICV855" s="999"/>
      <c r="ICW855" s="999"/>
      <c r="ICX855" s="999"/>
      <c r="ICY855" s="999"/>
      <c r="ICZ855" s="999"/>
      <c r="IDA855" s="999"/>
      <c r="IDB855" s="999"/>
      <c r="IDC855" s="999"/>
      <c r="IDD855" s="999"/>
      <c r="IDE855" s="999"/>
      <c r="IDF855" s="999"/>
      <c r="IDG855" s="999"/>
      <c r="IDH855" s="999"/>
      <c r="IDI855" s="999"/>
      <c r="IDJ855" s="999"/>
      <c r="IDK855" s="999"/>
      <c r="IDL855" s="999"/>
      <c r="IDM855" s="999"/>
      <c r="IDN855" s="999"/>
      <c r="IDO855" s="999"/>
      <c r="IDP855" s="999"/>
      <c r="IDQ855" s="999"/>
      <c r="IDR855" s="999"/>
      <c r="IDS855" s="999"/>
      <c r="IDT855" s="999"/>
      <c r="IDU855" s="999"/>
      <c r="IDV855" s="999"/>
      <c r="IDW855" s="999"/>
      <c r="IDX855" s="999"/>
      <c r="IDY855" s="999"/>
      <c r="IDZ855" s="999"/>
      <c r="IEA855" s="999"/>
      <c r="IEB855" s="999"/>
      <c r="IEC855" s="999"/>
      <c r="IED855" s="999"/>
      <c r="IEE855" s="999"/>
      <c r="IEF855" s="999"/>
      <c r="IEG855" s="999"/>
      <c r="IEH855" s="999"/>
      <c r="IEI855" s="999"/>
      <c r="IEJ855" s="999"/>
      <c r="IEK855" s="999"/>
      <c r="IEL855" s="999"/>
      <c r="IEM855" s="999"/>
      <c r="IEN855" s="999"/>
      <c r="IEO855" s="999"/>
      <c r="IEP855" s="999"/>
      <c r="IEQ855" s="999"/>
      <c r="IER855" s="999"/>
      <c r="IES855" s="999"/>
      <c r="IET855" s="999"/>
      <c r="IEU855" s="999"/>
      <c r="IEV855" s="999"/>
      <c r="IEW855" s="999"/>
      <c r="IEX855" s="999"/>
      <c r="IEY855" s="999"/>
      <c r="IEZ855" s="999"/>
      <c r="IFA855" s="999"/>
      <c r="IFB855" s="999"/>
      <c r="IFC855" s="999"/>
      <c r="IFD855" s="999"/>
      <c r="IFE855" s="999"/>
      <c r="IFF855" s="999"/>
      <c r="IFG855" s="999"/>
      <c r="IFH855" s="999"/>
      <c r="IFI855" s="999"/>
      <c r="IFJ855" s="999"/>
      <c r="IFK855" s="999"/>
      <c r="IFL855" s="999"/>
      <c r="IFM855" s="999"/>
      <c r="IFN855" s="999"/>
      <c r="IFO855" s="999"/>
      <c r="IFP855" s="999"/>
      <c r="IFQ855" s="999"/>
      <c r="IFR855" s="999"/>
      <c r="IFS855" s="999"/>
      <c r="IFT855" s="999"/>
      <c r="IFU855" s="999"/>
      <c r="IFV855" s="999"/>
      <c r="IFW855" s="999"/>
      <c r="IFX855" s="999"/>
      <c r="IFY855" s="999"/>
      <c r="IFZ855" s="999"/>
      <c r="IGA855" s="999"/>
      <c r="IGB855" s="999"/>
      <c r="IGC855" s="999"/>
      <c r="IGD855" s="999"/>
      <c r="IGE855" s="999"/>
      <c r="IGF855" s="999"/>
      <c r="IGG855" s="999"/>
      <c r="IGH855" s="999"/>
      <c r="IGI855" s="999"/>
      <c r="IGJ855" s="999"/>
      <c r="IGK855" s="999"/>
      <c r="IGL855" s="999"/>
      <c r="IGM855" s="999"/>
      <c r="IGN855" s="999"/>
      <c r="IGO855" s="999"/>
      <c r="IGP855" s="999"/>
      <c r="IGQ855" s="999"/>
      <c r="IGR855" s="999"/>
      <c r="IGS855" s="999"/>
      <c r="IGT855" s="999"/>
      <c r="IGU855" s="999"/>
      <c r="IGV855" s="999"/>
      <c r="IGW855" s="999"/>
      <c r="IGX855" s="999"/>
      <c r="IGY855" s="999"/>
      <c r="IGZ855" s="999"/>
      <c r="IHA855" s="999"/>
      <c r="IHB855" s="999"/>
      <c r="IHC855" s="999"/>
      <c r="IHD855" s="999"/>
      <c r="IHE855" s="999"/>
      <c r="IHF855" s="999"/>
      <c r="IHG855" s="999"/>
      <c r="IHH855" s="999"/>
      <c r="IHI855" s="999"/>
      <c r="IHJ855" s="999"/>
      <c r="IHK855" s="999"/>
      <c r="IHL855" s="999"/>
      <c r="IHM855" s="999"/>
      <c r="IHN855" s="999"/>
      <c r="IHO855" s="999"/>
      <c r="IHP855" s="999"/>
      <c r="IHQ855" s="999"/>
      <c r="IHR855" s="999"/>
      <c r="IHS855" s="999"/>
      <c r="IHT855" s="999"/>
      <c r="IHU855" s="999"/>
      <c r="IHV855" s="999"/>
      <c r="IHW855" s="999"/>
      <c r="IHX855" s="999"/>
      <c r="IHY855" s="999"/>
      <c r="IHZ855" s="999"/>
      <c r="IIA855" s="999"/>
      <c r="IIB855" s="999"/>
      <c r="IIC855" s="999"/>
      <c r="IID855" s="999"/>
      <c r="IIE855" s="999"/>
      <c r="IIF855" s="999"/>
      <c r="IIG855" s="999"/>
      <c r="IIH855" s="999"/>
      <c r="III855" s="999"/>
      <c r="IIJ855" s="999"/>
      <c r="IIK855" s="999"/>
      <c r="IIL855" s="999"/>
      <c r="IIM855" s="999"/>
      <c r="IIN855" s="999"/>
      <c r="IIO855" s="999"/>
      <c r="IIP855" s="999"/>
      <c r="IIQ855" s="999"/>
      <c r="IIR855" s="999"/>
      <c r="IIS855" s="999"/>
      <c r="IIT855" s="999"/>
      <c r="IIU855" s="999"/>
      <c r="IIV855" s="999"/>
      <c r="IIW855" s="999"/>
      <c r="IIX855" s="999"/>
      <c r="IIY855" s="999"/>
      <c r="IIZ855" s="999"/>
      <c r="IJA855" s="999"/>
      <c r="IJB855" s="999"/>
      <c r="IJC855" s="999"/>
      <c r="IJD855" s="999"/>
      <c r="IJE855" s="999"/>
      <c r="IJF855" s="999"/>
      <c r="IJG855" s="999"/>
      <c r="IJH855" s="999"/>
      <c r="IJI855" s="999"/>
      <c r="IJJ855" s="999"/>
      <c r="IJK855" s="999"/>
      <c r="IJL855" s="999"/>
      <c r="IJM855" s="999"/>
      <c r="IJN855" s="999"/>
      <c r="IJO855" s="999"/>
      <c r="IJP855" s="999"/>
      <c r="IJQ855" s="999"/>
      <c r="IJR855" s="999"/>
      <c r="IJS855" s="999"/>
      <c r="IJT855" s="999"/>
      <c r="IJU855" s="999"/>
      <c r="IJV855" s="999"/>
      <c r="IJW855" s="999"/>
      <c r="IJX855" s="999"/>
      <c r="IJY855" s="999"/>
      <c r="IJZ855" s="999"/>
      <c r="IKA855" s="999"/>
      <c r="IKB855" s="999"/>
      <c r="IKC855" s="999"/>
      <c r="IKD855" s="999"/>
      <c r="IKE855" s="999"/>
      <c r="IKF855" s="999"/>
      <c r="IKG855" s="999"/>
      <c r="IKH855" s="999"/>
      <c r="IKI855" s="999"/>
      <c r="IKJ855" s="999"/>
      <c r="IKK855" s="999"/>
      <c r="IKL855" s="999"/>
      <c r="IKM855" s="999"/>
      <c r="IKN855" s="999"/>
      <c r="IKO855" s="999"/>
      <c r="IKP855" s="999"/>
      <c r="IKQ855" s="999"/>
      <c r="IKR855" s="999"/>
      <c r="IKS855" s="999"/>
      <c r="IKT855" s="999"/>
      <c r="IKU855" s="999"/>
      <c r="IKV855" s="999"/>
      <c r="IKW855" s="999"/>
      <c r="IKX855" s="999"/>
      <c r="IKY855" s="999"/>
      <c r="IKZ855" s="999"/>
      <c r="ILA855" s="999"/>
      <c r="ILB855" s="999"/>
      <c r="ILC855" s="999"/>
      <c r="ILD855" s="999"/>
      <c r="ILE855" s="999"/>
      <c r="ILF855" s="999"/>
      <c r="ILG855" s="999"/>
      <c r="ILH855" s="999"/>
      <c r="ILI855" s="999"/>
      <c r="ILJ855" s="999"/>
      <c r="ILK855" s="999"/>
      <c r="ILL855" s="999"/>
      <c r="ILM855" s="999"/>
      <c r="ILN855" s="999"/>
      <c r="ILO855" s="999"/>
      <c r="ILP855" s="999"/>
      <c r="ILQ855" s="999"/>
      <c r="ILR855" s="999"/>
      <c r="ILS855" s="999"/>
      <c r="ILT855" s="999"/>
      <c r="ILU855" s="999"/>
      <c r="ILV855" s="999"/>
      <c r="ILW855" s="999"/>
      <c r="ILX855" s="999"/>
      <c r="ILY855" s="999"/>
      <c r="ILZ855" s="999"/>
      <c r="IMA855" s="999"/>
      <c r="IMB855" s="999"/>
      <c r="IMC855" s="999"/>
      <c r="IMD855" s="999"/>
      <c r="IME855" s="999"/>
      <c r="IMF855" s="999"/>
      <c r="IMG855" s="999"/>
      <c r="IMH855" s="999"/>
      <c r="IMI855" s="999"/>
      <c r="IMJ855" s="999"/>
      <c r="IMK855" s="999"/>
      <c r="IML855" s="999"/>
      <c r="IMM855" s="999"/>
      <c r="IMN855" s="999"/>
      <c r="IMO855" s="999"/>
      <c r="IMP855" s="999"/>
      <c r="IMQ855" s="999"/>
      <c r="IMR855" s="999"/>
      <c r="IMS855" s="999"/>
      <c r="IMT855" s="999"/>
      <c r="IMU855" s="999"/>
      <c r="IMV855" s="999"/>
      <c r="IMW855" s="999"/>
      <c r="IMX855" s="999"/>
      <c r="IMY855" s="999"/>
      <c r="IMZ855" s="999"/>
      <c r="INA855" s="999"/>
      <c r="INB855" s="999"/>
      <c r="INC855" s="999"/>
      <c r="IND855" s="999"/>
      <c r="INE855" s="999"/>
      <c r="INF855" s="999"/>
      <c r="ING855" s="999"/>
      <c r="INH855" s="999"/>
      <c r="INI855" s="999"/>
      <c r="INJ855" s="999"/>
      <c r="INK855" s="999"/>
      <c r="INL855" s="999"/>
      <c r="INM855" s="999"/>
      <c r="INN855" s="999"/>
      <c r="INO855" s="999"/>
      <c r="INP855" s="999"/>
      <c r="INQ855" s="999"/>
      <c r="INR855" s="999"/>
      <c r="INS855" s="999"/>
      <c r="INT855" s="999"/>
      <c r="INU855" s="999"/>
      <c r="INV855" s="999"/>
      <c r="INW855" s="999"/>
      <c r="INX855" s="999"/>
      <c r="INY855" s="999"/>
      <c r="INZ855" s="999"/>
      <c r="IOA855" s="999"/>
      <c r="IOB855" s="999"/>
      <c r="IOC855" s="999"/>
      <c r="IOD855" s="999"/>
      <c r="IOE855" s="999"/>
      <c r="IOF855" s="999"/>
      <c r="IOG855" s="999"/>
      <c r="IOH855" s="999"/>
      <c r="IOI855" s="999"/>
      <c r="IOJ855" s="999"/>
      <c r="IOK855" s="999"/>
      <c r="IOL855" s="999"/>
      <c r="IOM855" s="999"/>
      <c r="ION855" s="999"/>
      <c r="IOO855" s="999"/>
      <c r="IOP855" s="999"/>
      <c r="IOQ855" s="999"/>
      <c r="IOR855" s="999"/>
      <c r="IOS855" s="999"/>
      <c r="IOT855" s="999"/>
      <c r="IOU855" s="999"/>
      <c r="IOV855" s="999"/>
      <c r="IOW855" s="999"/>
      <c r="IOX855" s="999"/>
      <c r="IOY855" s="999"/>
      <c r="IOZ855" s="999"/>
      <c r="IPA855" s="999"/>
      <c r="IPB855" s="999"/>
      <c r="IPC855" s="999"/>
      <c r="IPD855" s="999"/>
      <c r="IPE855" s="999"/>
      <c r="IPF855" s="999"/>
      <c r="IPG855" s="999"/>
      <c r="IPH855" s="999"/>
      <c r="IPI855" s="999"/>
      <c r="IPJ855" s="999"/>
      <c r="IPK855" s="999"/>
      <c r="IPL855" s="999"/>
      <c r="IPM855" s="999"/>
      <c r="IPN855" s="999"/>
      <c r="IPO855" s="999"/>
      <c r="IPP855" s="999"/>
      <c r="IPQ855" s="999"/>
      <c r="IPR855" s="999"/>
      <c r="IPS855" s="999"/>
      <c r="IPT855" s="999"/>
      <c r="IPU855" s="999"/>
      <c r="IPV855" s="999"/>
      <c r="IPW855" s="999"/>
      <c r="IPX855" s="999"/>
      <c r="IPY855" s="999"/>
      <c r="IPZ855" s="999"/>
      <c r="IQA855" s="999"/>
      <c r="IQB855" s="999"/>
      <c r="IQC855" s="999"/>
      <c r="IQD855" s="999"/>
      <c r="IQE855" s="999"/>
      <c r="IQF855" s="999"/>
      <c r="IQG855" s="999"/>
      <c r="IQH855" s="999"/>
      <c r="IQI855" s="999"/>
      <c r="IQJ855" s="999"/>
      <c r="IQK855" s="999"/>
      <c r="IQL855" s="999"/>
      <c r="IQM855" s="999"/>
      <c r="IQN855" s="999"/>
      <c r="IQO855" s="999"/>
      <c r="IQP855" s="999"/>
      <c r="IQQ855" s="999"/>
      <c r="IQR855" s="999"/>
      <c r="IQS855" s="999"/>
      <c r="IQT855" s="999"/>
      <c r="IQU855" s="999"/>
      <c r="IQV855" s="999"/>
      <c r="IQW855" s="999"/>
      <c r="IQX855" s="999"/>
      <c r="IQY855" s="999"/>
      <c r="IQZ855" s="999"/>
      <c r="IRA855" s="999"/>
      <c r="IRB855" s="999"/>
      <c r="IRC855" s="999"/>
      <c r="IRD855" s="999"/>
      <c r="IRE855" s="999"/>
      <c r="IRF855" s="999"/>
      <c r="IRG855" s="999"/>
      <c r="IRH855" s="999"/>
      <c r="IRI855" s="999"/>
      <c r="IRJ855" s="999"/>
      <c r="IRK855" s="999"/>
      <c r="IRL855" s="999"/>
      <c r="IRM855" s="999"/>
      <c r="IRN855" s="999"/>
      <c r="IRO855" s="999"/>
      <c r="IRP855" s="999"/>
      <c r="IRQ855" s="999"/>
      <c r="IRR855" s="999"/>
      <c r="IRS855" s="999"/>
      <c r="IRT855" s="999"/>
      <c r="IRU855" s="999"/>
      <c r="IRV855" s="999"/>
      <c r="IRW855" s="999"/>
      <c r="IRX855" s="999"/>
      <c r="IRY855" s="999"/>
      <c r="IRZ855" s="999"/>
      <c r="ISA855" s="999"/>
      <c r="ISB855" s="999"/>
      <c r="ISC855" s="999"/>
      <c r="ISD855" s="999"/>
      <c r="ISE855" s="999"/>
      <c r="ISF855" s="999"/>
      <c r="ISG855" s="999"/>
      <c r="ISH855" s="999"/>
      <c r="ISI855" s="999"/>
      <c r="ISJ855" s="999"/>
      <c r="ISK855" s="999"/>
      <c r="ISL855" s="999"/>
      <c r="ISM855" s="999"/>
      <c r="ISN855" s="999"/>
      <c r="ISO855" s="999"/>
      <c r="ISP855" s="999"/>
      <c r="ISQ855" s="999"/>
      <c r="ISR855" s="999"/>
      <c r="ISS855" s="999"/>
      <c r="IST855" s="999"/>
      <c r="ISU855" s="999"/>
      <c r="ISV855" s="999"/>
      <c r="ISW855" s="999"/>
      <c r="ISX855" s="999"/>
      <c r="ISY855" s="999"/>
      <c r="ISZ855" s="999"/>
      <c r="ITA855" s="999"/>
      <c r="ITB855" s="999"/>
      <c r="ITC855" s="999"/>
      <c r="ITD855" s="999"/>
      <c r="ITE855" s="999"/>
      <c r="ITF855" s="999"/>
      <c r="ITG855" s="999"/>
      <c r="ITH855" s="999"/>
      <c r="ITI855" s="999"/>
      <c r="ITJ855" s="999"/>
      <c r="ITK855" s="999"/>
      <c r="ITL855" s="999"/>
      <c r="ITM855" s="999"/>
      <c r="ITN855" s="999"/>
      <c r="ITO855" s="999"/>
      <c r="ITP855" s="999"/>
      <c r="ITQ855" s="999"/>
      <c r="ITR855" s="999"/>
      <c r="ITS855" s="999"/>
      <c r="ITT855" s="999"/>
      <c r="ITU855" s="999"/>
      <c r="ITV855" s="999"/>
      <c r="ITW855" s="999"/>
      <c r="ITX855" s="999"/>
      <c r="ITY855" s="999"/>
      <c r="ITZ855" s="999"/>
      <c r="IUA855" s="999"/>
      <c r="IUB855" s="999"/>
      <c r="IUC855" s="999"/>
      <c r="IUD855" s="999"/>
      <c r="IUE855" s="999"/>
      <c r="IUF855" s="999"/>
      <c r="IUG855" s="999"/>
      <c r="IUH855" s="999"/>
      <c r="IUI855" s="999"/>
      <c r="IUJ855" s="999"/>
      <c r="IUK855" s="999"/>
      <c r="IUL855" s="999"/>
      <c r="IUM855" s="999"/>
      <c r="IUN855" s="999"/>
      <c r="IUO855" s="999"/>
      <c r="IUP855" s="999"/>
      <c r="IUQ855" s="999"/>
      <c r="IUR855" s="999"/>
      <c r="IUS855" s="999"/>
      <c r="IUT855" s="999"/>
      <c r="IUU855" s="999"/>
      <c r="IUV855" s="999"/>
      <c r="IUW855" s="999"/>
      <c r="IUX855" s="999"/>
      <c r="IUY855" s="999"/>
      <c r="IUZ855" s="999"/>
      <c r="IVA855" s="999"/>
      <c r="IVB855" s="999"/>
      <c r="IVC855" s="999"/>
      <c r="IVD855" s="999"/>
      <c r="IVE855" s="999"/>
      <c r="IVF855" s="999"/>
      <c r="IVG855" s="999"/>
      <c r="IVH855" s="999"/>
      <c r="IVI855" s="999"/>
      <c r="IVJ855" s="999"/>
      <c r="IVK855" s="999"/>
      <c r="IVL855" s="999"/>
      <c r="IVM855" s="999"/>
      <c r="IVN855" s="999"/>
      <c r="IVO855" s="999"/>
      <c r="IVP855" s="999"/>
      <c r="IVQ855" s="999"/>
      <c r="IVR855" s="999"/>
      <c r="IVS855" s="999"/>
      <c r="IVT855" s="999"/>
      <c r="IVU855" s="999"/>
      <c r="IVV855" s="999"/>
      <c r="IVW855" s="999"/>
      <c r="IVX855" s="999"/>
      <c r="IVY855" s="999"/>
      <c r="IVZ855" s="999"/>
      <c r="IWA855" s="999"/>
      <c r="IWB855" s="999"/>
      <c r="IWC855" s="999"/>
      <c r="IWD855" s="999"/>
      <c r="IWE855" s="999"/>
      <c r="IWF855" s="999"/>
      <c r="IWG855" s="999"/>
      <c r="IWH855" s="999"/>
      <c r="IWI855" s="999"/>
      <c r="IWJ855" s="999"/>
      <c r="IWK855" s="999"/>
      <c r="IWL855" s="999"/>
      <c r="IWM855" s="999"/>
      <c r="IWN855" s="999"/>
      <c r="IWO855" s="999"/>
      <c r="IWP855" s="999"/>
      <c r="IWQ855" s="999"/>
      <c r="IWR855" s="999"/>
      <c r="IWS855" s="999"/>
      <c r="IWT855" s="999"/>
      <c r="IWU855" s="999"/>
      <c r="IWV855" s="999"/>
      <c r="IWW855" s="999"/>
      <c r="IWX855" s="999"/>
      <c r="IWY855" s="999"/>
      <c r="IWZ855" s="999"/>
      <c r="IXA855" s="999"/>
      <c r="IXB855" s="999"/>
      <c r="IXC855" s="999"/>
      <c r="IXD855" s="999"/>
      <c r="IXE855" s="999"/>
      <c r="IXF855" s="999"/>
      <c r="IXG855" s="999"/>
      <c r="IXH855" s="999"/>
      <c r="IXI855" s="999"/>
      <c r="IXJ855" s="999"/>
      <c r="IXK855" s="999"/>
      <c r="IXL855" s="999"/>
      <c r="IXM855" s="999"/>
      <c r="IXN855" s="999"/>
      <c r="IXO855" s="999"/>
      <c r="IXP855" s="999"/>
      <c r="IXQ855" s="999"/>
      <c r="IXR855" s="999"/>
      <c r="IXS855" s="999"/>
      <c r="IXT855" s="999"/>
      <c r="IXU855" s="999"/>
      <c r="IXV855" s="999"/>
      <c r="IXW855" s="999"/>
      <c r="IXX855" s="999"/>
      <c r="IXY855" s="999"/>
      <c r="IXZ855" s="999"/>
      <c r="IYA855" s="999"/>
      <c r="IYB855" s="999"/>
      <c r="IYC855" s="999"/>
      <c r="IYD855" s="999"/>
      <c r="IYE855" s="999"/>
      <c r="IYF855" s="999"/>
      <c r="IYG855" s="999"/>
      <c r="IYH855" s="999"/>
      <c r="IYI855" s="999"/>
      <c r="IYJ855" s="999"/>
      <c r="IYK855" s="999"/>
      <c r="IYL855" s="999"/>
      <c r="IYM855" s="999"/>
      <c r="IYN855" s="999"/>
      <c r="IYO855" s="999"/>
      <c r="IYP855" s="999"/>
      <c r="IYQ855" s="999"/>
      <c r="IYR855" s="999"/>
      <c r="IYS855" s="999"/>
      <c r="IYT855" s="999"/>
      <c r="IYU855" s="999"/>
      <c r="IYV855" s="999"/>
      <c r="IYW855" s="999"/>
      <c r="IYX855" s="999"/>
      <c r="IYY855" s="999"/>
      <c r="IYZ855" s="999"/>
      <c r="IZA855" s="999"/>
      <c r="IZB855" s="999"/>
      <c r="IZC855" s="999"/>
      <c r="IZD855" s="999"/>
      <c r="IZE855" s="999"/>
      <c r="IZF855" s="999"/>
      <c r="IZG855" s="999"/>
      <c r="IZH855" s="999"/>
      <c r="IZI855" s="999"/>
      <c r="IZJ855" s="999"/>
      <c r="IZK855" s="999"/>
      <c r="IZL855" s="999"/>
      <c r="IZM855" s="999"/>
      <c r="IZN855" s="999"/>
      <c r="IZO855" s="999"/>
      <c r="IZP855" s="999"/>
      <c r="IZQ855" s="999"/>
      <c r="IZR855" s="999"/>
      <c r="IZS855" s="999"/>
      <c r="IZT855" s="999"/>
      <c r="IZU855" s="999"/>
      <c r="IZV855" s="999"/>
      <c r="IZW855" s="999"/>
      <c r="IZX855" s="999"/>
      <c r="IZY855" s="999"/>
      <c r="IZZ855" s="999"/>
      <c r="JAA855" s="999"/>
      <c r="JAB855" s="999"/>
      <c r="JAC855" s="999"/>
      <c r="JAD855" s="999"/>
      <c r="JAE855" s="999"/>
      <c r="JAF855" s="999"/>
      <c r="JAG855" s="999"/>
      <c r="JAH855" s="999"/>
      <c r="JAI855" s="999"/>
      <c r="JAJ855" s="999"/>
      <c r="JAK855" s="999"/>
      <c r="JAL855" s="999"/>
      <c r="JAM855" s="999"/>
      <c r="JAN855" s="999"/>
      <c r="JAO855" s="999"/>
      <c r="JAP855" s="999"/>
      <c r="JAQ855" s="999"/>
      <c r="JAR855" s="999"/>
      <c r="JAS855" s="999"/>
      <c r="JAT855" s="999"/>
      <c r="JAU855" s="999"/>
      <c r="JAV855" s="999"/>
      <c r="JAW855" s="999"/>
      <c r="JAX855" s="999"/>
      <c r="JAY855" s="999"/>
      <c r="JAZ855" s="999"/>
      <c r="JBA855" s="999"/>
      <c r="JBB855" s="999"/>
      <c r="JBC855" s="999"/>
      <c r="JBD855" s="999"/>
      <c r="JBE855" s="999"/>
      <c r="JBF855" s="999"/>
      <c r="JBG855" s="999"/>
      <c r="JBH855" s="999"/>
      <c r="JBI855" s="999"/>
      <c r="JBJ855" s="999"/>
      <c r="JBK855" s="999"/>
      <c r="JBL855" s="999"/>
      <c r="JBM855" s="999"/>
      <c r="JBN855" s="999"/>
      <c r="JBO855" s="999"/>
      <c r="JBP855" s="999"/>
      <c r="JBQ855" s="999"/>
      <c r="JBR855" s="999"/>
      <c r="JBS855" s="999"/>
      <c r="JBT855" s="999"/>
      <c r="JBU855" s="999"/>
      <c r="JBV855" s="999"/>
      <c r="JBW855" s="999"/>
      <c r="JBX855" s="999"/>
      <c r="JBY855" s="999"/>
      <c r="JBZ855" s="999"/>
      <c r="JCA855" s="999"/>
      <c r="JCB855" s="999"/>
      <c r="JCC855" s="999"/>
      <c r="JCD855" s="999"/>
      <c r="JCE855" s="999"/>
      <c r="JCF855" s="999"/>
      <c r="JCG855" s="999"/>
      <c r="JCH855" s="999"/>
      <c r="JCI855" s="999"/>
      <c r="JCJ855" s="999"/>
      <c r="JCK855" s="999"/>
      <c r="JCL855" s="999"/>
      <c r="JCM855" s="999"/>
      <c r="JCN855" s="999"/>
      <c r="JCO855" s="999"/>
      <c r="JCP855" s="999"/>
      <c r="JCQ855" s="999"/>
      <c r="JCR855" s="999"/>
      <c r="JCS855" s="999"/>
      <c r="JCT855" s="999"/>
      <c r="JCU855" s="999"/>
      <c r="JCV855" s="999"/>
      <c r="JCW855" s="999"/>
      <c r="JCX855" s="999"/>
      <c r="JCY855" s="999"/>
      <c r="JCZ855" s="999"/>
      <c r="JDA855" s="999"/>
      <c r="JDB855" s="999"/>
      <c r="JDC855" s="999"/>
      <c r="JDD855" s="999"/>
      <c r="JDE855" s="999"/>
      <c r="JDF855" s="999"/>
      <c r="JDG855" s="999"/>
      <c r="JDH855" s="999"/>
      <c r="JDI855" s="999"/>
      <c r="JDJ855" s="999"/>
      <c r="JDK855" s="999"/>
      <c r="JDL855" s="999"/>
      <c r="JDM855" s="999"/>
      <c r="JDN855" s="999"/>
      <c r="JDO855" s="999"/>
      <c r="JDP855" s="999"/>
      <c r="JDQ855" s="999"/>
      <c r="JDR855" s="999"/>
      <c r="JDS855" s="999"/>
      <c r="JDT855" s="999"/>
      <c r="JDU855" s="999"/>
      <c r="JDV855" s="999"/>
      <c r="JDW855" s="999"/>
      <c r="JDX855" s="999"/>
      <c r="JDY855" s="999"/>
      <c r="JDZ855" s="999"/>
      <c r="JEA855" s="999"/>
      <c r="JEB855" s="999"/>
      <c r="JEC855" s="999"/>
      <c r="JED855" s="999"/>
      <c r="JEE855" s="999"/>
      <c r="JEF855" s="999"/>
      <c r="JEG855" s="999"/>
      <c r="JEH855" s="999"/>
      <c r="JEI855" s="999"/>
      <c r="JEJ855" s="999"/>
      <c r="JEK855" s="999"/>
      <c r="JEL855" s="999"/>
      <c r="JEM855" s="999"/>
      <c r="JEN855" s="999"/>
      <c r="JEO855" s="999"/>
      <c r="JEP855" s="999"/>
      <c r="JEQ855" s="999"/>
      <c r="JER855" s="999"/>
      <c r="JES855" s="999"/>
      <c r="JET855" s="999"/>
      <c r="JEU855" s="999"/>
      <c r="JEV855" s="999"/>
      <c r="JEW855" s="999"/>
      <c r="JEX855" s="999"/>
      <c r="JEY855" s="999"/>
      <c r="JEZ855" s="999"/>
      <c r="JFA855" s="999"/>
      <c r="JFB855" s="999"/>
      <c r="JFC855" s="999"/>
      <c r="JFD855" s="999"/>
      <c r="JFE855" s="999"/>
      <c r="JFF855" s="999"/>
      <c r="JFG855" s="999"/>
      <c r="JFH855" s="999"/>
      <c r="JFI855" s="999"/>
      <c r="JFJ855" s="999"/>
      <c r="JFK855" s="999"/>
      <c r="JFL855" s="999"/>
      <c r="JFM855" s="999"/>
      <c r="JFN855" s="999"/>
      <c r="JFO855" s="999"/>
      <c r="JFP855" s="999"/>
      <c r="JFQ855" s="999"/>
      <c r="JFR855" s="999"/>
      <c r="JFS855" s="999"/>
      <c r="JFT855" s="999"/>
      <c r="JFU855" s="999"/>
      <c r="JFV855" s="999"/>
      <c r="JFW855" s="999"/>
      <c r="JFX855" s="999"/>
      <c r="JFY855" s="999"/>
      <c r="JFZ855" s="999"/>
      <c r="JGA855" s="999"/>
      <c r="JGB855" s="999"/>
      <c r="JGC855" s="999"/>
      <c r="JGD855" s="999"/>
      <c r="JGE855" s="999"/>
      <c r="JGF855" s="999"/>
      <c r="JGG855" s="999"/>
      <c r="JGH855" s="999"/>
      <c r="JGI855" s="999"/>
      <c r="JGJ855" s="999"/>
      <c r="JGK855" s="999"/>
      <c r="JGL855" s="999"/>
      <c r="JGM855" s="999"/>
      <c r="JGN855" s="999"/>
      <c r="JGO855" s="999"/>
      <c r="JGP855" s="999"/>
      <c r="JGQ855" s="999"/>
      <c r="JGR855" s="999"/>
      <c r="JGS855" s="999"/>
      <c r="JGT855" s="999"/>
      <c r="JGU855" s="999"/>
      <c r="JGV855" s="999"/>
      <c r="JGW855" s="999"/>
      <c r="JGX855" s="999"/>
      <c r="JGY855" s="999"/>
      <c r="JGZ855" s="999"/>
      <c r="JHA855" s="999"/>
      <c r="JHB855" s="999"/>
      <c r="JHC855" s="999"/>
      <c r="JHD855" s="999"/>
      <c r="JHE855" s="999"/>
      <c r="JHF855" s="999"/>
      <c r="JHG855" s="999"/>
      <c r="JHH855" s="999"/>
      <c r="JHI855" s="999"/>
      <c r="JHJ855" s="999"/>
      <c r="JHK855" s="999"/>
      <c r="JHL855" s="999"/>
      <c r="JHM855" s="999"/>
      <c r="JHN855" s="999"/>
      <c r="JHO855" s="999"/>
      <c r="JHP855" s="999"/>
      <c r="JHQ855" s="999"/>
      <c r="JHR855" s="999"/>
      <c r="JHS855" s="999"/>
      <c r="JHT855" s="999"/>
      <c r="JHU855" s="999"/>
      <c r="JHV855" s="999"/>
      <c r="JHW855" s="999"/>
      <c r="JHX855" s="999"/>
      <c r="JHY855" s="999"/>
      <c r="JHZ855" s="999"/>
      <c r="JIA855" s="999"/>
      <c r="JIB855" s="999"/>
      <c r="JIC855" s="999"/>
      <c r="JID855" s="999"/>
      <c r="JIE855" s="999"/>
      <c r="JIF855" s="999"/>
      <c r="JIG855" s="999"/>
      <c r="JIH855" s="999"/>
      <c r="JII855" s="999"/>
      <c r="JIJ855" s="999"/>
      <c r="JIK855" s="999"/>
      <c r="JIL855" s="999"/>
      <c r="JIM855" s="999"/>
      <c r="JIN855" s="999"/>
      <c r="JIO855" s="999"/>
      <c r="JIP855" s="999"/>
      <c r="JIQ855" s="999"/>
      <c r="JIR855" s="999"/>
      <c r="JIS855" s="999"/>
      <c r="JIT855" s="999"/>
      <c r="JIU855" s="999"/>
      <c r="JIV855" s="999"/>
      <c r="JIW855" s="999"/>
      <c r="JIX855" s="999"/>
      <c r="JIY855" s="999"/>
      <c r="JIZ855" s="999"/>
      <c r="JJA855" s="999"/>
      <c r="JJB855" s="999"/>
      <c r="JJC855" s="999"/>
      <c r="JJD855" s="999"/>
      <c r="JJE855" s="999"/>
      <c r="JJF855" s="999"/>
      <c r="JJG855" s="999"/>
      <c r="JJH855" s="999"/>
      <c r="JJI855" s="999"/>
      <c r="JJJ855" s="999"/>
      <c r="JJK855" s="999"/>
      <c r="JJL855" s="999"/>
      <c r="JJM855" s="999"/>
      <c r="JJN855" s="999"/>
      <c r="JJO855" s="999"/>
      <c r="JJP855" s="999"/>
      <c r="JJQ855" s="999"/>
      <c r="JJR855" s="999"/>
      <c r="JJS855" s="999"/>
      <c r="JJT855" s="999"/>
      <c r="JJU855" s="999"/>
      <c r="JJV855" s="999"/>
      <c r="JJW855" s="999"/>
      <c r="JJX855" s="999"/>
      <c r="JJY855" s="999"/>
      <c r="JJZ855" s="999"/>
      <c r="JKA855" s="999"/>
      <c r="JKB855" s="999"/>
      <c r="JKC855" s="999"/>
      <c r="JKD855" s="999"/>
      <c r="JKE855" s="999"/>
      <c r="JKF855" s="999"/>
      <c r="JKG855" s="999"/>
      <c r="JKH855" s="999"/>
      <c r="JKI855" s="999"/>
      <c r="JKJ855" s="999"/>
      <c r="JKK855" s="999"/>
      <c r="JKL855" s="999"/>
      <c r="JKM855" s="999"/>
      <c r="JKN855" s="999"/>
      <c r="JKO855" s="999"/>
      <c r="JKP855" s="999"/>
      <c r="JKQ855" s="999"/>
      <c r="JKR855" s="999"/>
      <c r="JKS855" s="999"/>
      <c r="JKT855" s="999"/>
      <c r="JKU855" s="999"/>
      <c r="JKV855" s="999"/>
      <c r="JKW855" s="999"/>
      <c r="JKX855" s="999"/>
      <c r="JKY855" s="999"/>
      <c r="JKZ855" s="999"/>
      <c r="JLA855" s="999"/>
      <c r="JLB855" s="999"/>
      <c r="JLC855" s="999"/>
      <c r="JLD855" s="999"/>
      <c r="JLE855" s="999"/>
      <c r="JLF855" s="999"/>
      <c r="JLG855" s="999"/>
      <c r="JLH855" s="999"/>
      <c r="JLI855" s="999"/>
      <c r="JLJ855" s="999"/>
      <c r="JLK855" s="999"/>
      <c r="JLL855" s="999"/>
      <c r="JLM855" s="999"/>
      <c r="JLN855" s="999"/>
      <c r="JLO855" s="999"/>
      <c r="JLP855" s="999"/>
      <c r="JLQ855" s="999"/>
      <c r="JLR855" s="999"/>
      <c r="JLS855" s="999"/>
      <c r="JLT855" s="999"/>
      <c r="JLU855" s="999"/>
      <c r="JLV855" s="999"/>
      <c r="JLW855" s="999"/>
      <c r="JLX855" s="999"/>
      <c r="JLY855" s="999"/>
      <c r="JLZ855" s="999"/>
      <c r="JMA855" s="999"/>
      <c r="JMB855" s="999"/>
      <c r="JMC855" s="999"/>
      <c r="JMD855" s="999"/>
      <c r="JME855" s="999"/>
      <c r="JMF855" s="999"/>
      <c r="JMG855" s="999"/>
      <c r="JMH855" s="999"/>
      <c r="JMI855" s="999"/>
      <c r="JMJ855" s="999"/>
      <c r="JMK855" s="999"/>
      <c r="JML855" s="999"/>
      <c r="JMM855" s="999"/>
      <c r="JMN855" s="999"/>
      <c r="JMO855" s="999"/>
      <c r="JMP855" s="999"/>
      <c r="JMQ855" s="999"/>
      <c r="JMR855" s="999"/>
      <c r="JMS855" s="999"/>
      <c r="JMT855" s="999"/>
      <c r="JMU855" s="999"/>
      <c r="JMV855" s="999"/>
      <c r="JMW855" s="999"/>
      <c r="JMX855" s="999"/>
      <c r="JMY855" s="999"/>
      <c r="JMZ855" s="999"/>
      <c r="JNA855" s="999"/>
      <c r="JNB855" s="999"/>
      <c r="JNC855" s="999"/>
      <c r="JND855" s="999"/>
      <c r="JNE855" s="999"/>
      <c r="JNF855" s="999"/>
      <c r="JNG855" s="999"/>
      <c r="JNH855" s="999"/>
      <c r="JNI855" s="999"/>
      <c r="JNJ855" s="999"/>
      <c r="JNK855" s="999"/>
      <c r="JNL855" s="999"/>
      <c r="JNM855" s="999"/>
      <c r="JNN855" s="999"/>
      <c r="JNO855" s="999"/>
      <c r="JNP855" s="999"/>
      <c r="JNQ855" s="999"/>
      <c r="JNR855" s="999"/>
      <c r="JNS855" s="999"/>
      <c r="JNT855" s="999"/>
      <c r="JNU855" s="999"/>
      <c r="JNV855" s="999"/>
      <c r="JNW855" s="999"/>
      <c r="JNX855" s="999"/>
      <c r="JNY855" s="999"/>
      <c r="JNZ855" s="999"/>
      <c r="JOA855" s="999"/>
      <c r="JOB855" s="999"/>
      <c r="JOC855" s="999"/>
      <c r="JOD855" s="999"/>
      <c r="JOE855" s="999"/>
      <c r="JOF855" s="999"/>
      <c r="JOG855" s="999"/>
      <c r="JOH855" s="999"/>
      <c r="JOI855" s="999"/>
      <c r="JOJ855" s="999"/>
      <c r="JOK855" s="999"/>
      <c r="JOL855" s="999"/>
      <c r="JOM855" s="999"/>
      <c r="JON855" s="999"/>
      <c r="JOO855" s="999"/>
      <c r="JOP855" s="999"/>
      <c r="JOQ855" s="999"/>
      <c r="JOR855" s="999"/>
      <c r="JOS855" s="999"/>
      <c r="JOT855" s="999"/>
      <c r="JOU855" s="999"/>
      <c r="JOV855" s="999"/>
      <c r="JOW855" s="999"/>
      <c r="JOX855" s="999"/>
      <c r="JOY855" s="999"/>
      <c r="JOZ855" s="999"/>
      <c r="JPA855" s="999"/>
      <c r="JPB855" s="999"/>
      <c r="JPC855" s="999"/>
      <c r="JPD855" s="999"/>
      <c r="JPE855" s="999"/>
      <c r="JPF855" s="999"/>
      <c r="JPG855" s="999"/>
      <c r="JPH855" s="999"/>
      <c r="JPI855" s="999"/>
      <c r="JPJ855" s="999"/>
      <c r="JPK855" s="999"/>
      <c r="JPL855" s="999"/>
      <c r="JPM855" s="999"/>
      <c r="JPN855" s="999"/>
      <c r="JPO855" s="999"/>
      <c r="JPP855" s="999"/>
      <c r="JPQ855" s="999"/>
      <c r="JPR855" s="999"/>
      <c r="JPS855" s="999"/>
      <c r="JPT855" s="999"/>
      <c r="JPU855" s="999"/>
      <c r="JPV855" s="999"/>
      <c r="JPW855" s="999"/>
      <c r="JPX855" s="999"/>
      <c r="JPY855" s="999"/>
      <c r="JPZ855" s="999"/>
      <c r="JQA855" s="999"/>
      <c r="JQB855" s="999"/>
      <c r="JQC855" s="999"/>
      <c r="JQD855" s="999"/>
      <c r="JQE855" s="999"/>
      <c r="JQF855" s="999"/>
      <c r="JQG855" s="999"/>
      <c r="JQH855" s="999"/>
      <c r="JQI855" s="999"/>
      <c r="JQJ855" s="999"/>
      <c r="JQK855" s="999"/>
      <c r="JQL855" s="999"/>
      <c r="JQM855" s="999"/>
      <c r="JQN855" s="999"/>
      <c r="JQO855" s="999"/>
      <c r="JQP855" s="999"/>
      <c r="JQQ855" s="999"/>
      <c r="JQR855" s="999"/>
      <c r="JQS855" s="999"/>
      <c r="JQT855" s="999"/>
      <c r="JQU855" s="999"/>
      <c r="JQV855" s="999"/>
      <c r="JQW855" s="999"/>
      <c r="JQX855" s="999"/>
      <c r="JQY855" s="999"/>
      <c r="JQZ855" s="999"/>
      <c r="JRA855" s="999"/>
      <c r="JRB855" s="999"/>
      <c r="JRC855" s="999"/>
      <c r="JRD855" s="999"/>
      <c r="JRE855" s="999"/>
      <c r="JRF855" s="999"/>
      <c r="JRG855" s="999"/>
      <c r="JRH855" s="999"/>
      <c r="JRI855" s="999"/>
      <c r="JRJ855" s="999"/>
      <c r="JRK855" s="999"/>
      <c r="JRL855" s="999"/>
      <c r="JRM855" s="999"/>
      <c r="JRN855" s="999"/>
      <c r="JRO855" s="999"/>
      <c r="JRP855" s="999"/>
      <c r="JRQ855" s="999"/>
      <c r="JRR855" s="999"/>
      <c r="JRS855" s="999"/>
      <c r="JRT855" s="999"/>
      <c r="JRU855" s="999"/>
      <c r="JRV855" s="999"/>
      <c r="JRW855" s="999"/>
      <c r="JRX855" s="999"/>
      <c r="JRY855" s="999"/>
      <c r="JRZ855" s="999"/>
      <c r="JSA855" s="999"/>
      <c r="JSB855" s="999"/>
      <c r="JSC855" s="999"/>
      <c r="JSD855" s="999"/>
      <c r="JSE855" s="999"/>
      <c r="JSF855" s="999"/>
      <c r="JSG855" s="999"/>
      <c r="JSH855" s="999"/>
      <c r="JSI855" s="999"/>
      <c r="JSJ855" s="999"/>
      <c r="JSK855" s="999"/>
      <c r="JSL855" s="999"/>
      <c r="JSM855" s="999"/>
      <c r="JSN855" s="999"/>
      <c r="JSO855" s="999"/>
      <c r="JSP855" s="999"/>
      <c r="JSQ855" s="999"/>
      <c r="JSR855" s="999"/>
      <c r="JSS855" s="999"/>
      <c r="JST855" s="999"/>
      <c r="JSU855" s="999"/>
      <c r="JSV855" s="999"/>
      <c r="JSW855" s="999"/>
      <c r="JSX855" s="999"/>
      <c r="JSY855" s="999"/>
      <c r="JSZ855" s="999"/>
      <c r="JTA855" s="999"/>
      <c r="JTB855" s="999"/>
      <c r="JTC855" s="999"/>
      <c r="JTD855" s="999"/>
      <c r="JTE855" s="999"/>
      <c r="JTF855" s="999"/>
      <c r="JTG855" s="999"/>
      <c r="JTH855" s="999"/>
      <c r="JTI855" s="999"/>
      <c r="JTJ855" s="999"/>
      <c r="JTK855" s="999"/>
      <c r="JTL855" s="999"/>
      <c r="JTM855" s="999"/>
      <c r="JTN855" s="999"/>
      <c r="JTO855" s="999"/>
      <c r="JTP855" s="999"/>
      <c r="JTQ855" s="999"/>
      <c r="JTR855" s="999"/>
      <c r="JTS855" s="999"/>
      <c r="JTT855" s="999"/>
      <c r="JTU855" s="999"/>
      <c r="JTV855" s="999"/>
      <c r="JTW855" s="999"/>
      <c r="JTX855" s="999"/>
      <c r="JTY855" s="999"/>
      <c r="JTZ855" s="999"/>
      <c r="JUA855" s="999"/>
      <c r="JUB855" s="999"/>
      <c r="JUC855" s="999"/>
      <c r="JUD855" s="999"/>
      <c r="JUE855" s="999"/>
      <c r="JUF855" s="999"/>
      <c r="JUG855" s="999"/>
      <c r="JUH855" s="999"/>
      <c r="JUI855" s="999"/>
      <c r="JUJ855" s="999"/>
      <c r="JUK855" s="999"/>
      <c r="JUL855" s="999"/>
      <c r="JUM855" s="999"/>
      <c r="JUN855" s="999"/>
      <c r="JUO855" s="999"/>
      <c r="JUP855" s="999"/>
      <c r="JUQ855" s="999"/>
      <c r="JUR855" s="999"/>
      <c r="JUS855" s="999"/>
      <c r="JUT855" s="999"/>
      <c r="JUU855" s="999"/>
      <c r="JUV855" s="999"/>
      <c r="JUW855" s="999"/>
      <c r="JUX855" s="999"/>
      <c r="JUY855" s="999"/>
      <c r="JUZ855" s="999"/>
      <c r="JVA855" s="999"/>
      <c r="JVB855" s="999"/>
      <c r="JVC855" s="999"/>
      <c r="JVD855" s="999"/>
      <c r="JVE855" s="999"/>
      <c r="JVF855" s="999"/>
      <c r="JVG855" s="999"/>
      <c r="JVH855" s="999"/>
      <c r="JVI855" s="999"/>
      <c r="JVJ855" s="999"/>
      <c r="JVK855" s="999"/>
      <c r="JVL855" s="999"/>
      <c r="JVM855" s="999"/>
      <c r="JVN855" s="999"/>
      <c r="JVO855" s="999"/>
      <c r="JVP855" s="999"/>
      <c r="JVQ855" s="999"/>
      <c r="JVR855" s="999"/>
      <c r="JVS855" s="999"/>
      <c r="JVT855" s="999"/>
      <c r="JVU855" s="999"/>
      <c r="JVV855" s="999"/>
      <c r="JVW855" s="999"/>
      <c r="JVX855" s="999"/>
      <c r="JVY855" s="999"/>
      <c r="JVZ855" s="999"/>
      <c r="JWA855" s="999"/>
      <c r="JWB855" s="999"/>
      <c r="JWC855" s="999"/>
      <c r="JWD855" s="999"/>
      <c r="JWE855" s="999"/>
      <c r="JWF855" s="999"/>
      <c r="JWG855" s="999"/>
      <c r="JWH855" s="999"/>
      <c r="JWI855" s="999"/>
      <c r="JWJ855" s="999"/>
      <c r="JWK855" s="999"/>
      <c r="JWL855" s="999"/>
      <c r="JWM855" s="999"/>
      <c r="JWN855" s="999"/>
      <c r="JWO855" s="999"/>
      <c r="JWP855" s="999"/>
      <c r="JWQ855" s="999"/>
      <c r="JWR855" s="999"/>
      <c r="JWS855" s="999"/>
      <c r="JWT855" s="999"/>
      <c r="JWU855" s="999"/>
      <c r="JWV855" s="999"/>
      <c r="JWW855" s="999"/>
      <c r="JWX855" s="999"/>
      <c r="JWY855" s="999"/>
      <c r="JWZ855" s="999"/>
      <c r="JXA855" s="999"/>
      <c r="JXB855" s="999"/>
      <c r="JXC855" s="999"/>
      <c r="JXD855" s="999"/>
      <c r="JXE855" s="999"/>
      <c r="JXF855" s="999"/>
      <c r="JXG855" s="999"/>
      <c r="JXH855" s="999"/>
      <c r="JXI855" s="999"/>
      <c r="JXJ855" s="999"/>
      <c r="JXK855" s="999"/>
      <c r="JXL855" s="999"/>
      <c r="JXM855" s="999"/>
      <c r="JXN855" s="999"/>
      <c r="JXO855" s="999"/>
      <c r="JXP855" s="999"/>
      <c r="JXQ855" s="999"/>
      <c r="JXR855" s="999"/>
      <c r="JXS855" s="999"/>
      <c r="JXT855" s="999"/>
      <c r="JXU855" s="999"/>
      <c r="JXV855" s="999"/>
      <c r="JXW855" s="999"/>
      <c r="JXX855" s="999"/>
      <c r="JXY855" s="999"/>
      <c r="JXZ855" s="999"/>
      <c r="JYA855" s="999"/>
      <c r="JYB855" s="999"/>
      <c r="JYC855" s="999"/>
      <c r="JYD855" s="999"/>
      <c r="JYE855" s="999"/>
      <c r="JYF855" s="999"/>
      <c r="JYG855" s="999"/>
      <c r="JYH855" s="999"/>
      <c r="JYI855" s="999"/>
      <c r="JYJ855" s="999"/>
      <c r="JYK855" s="999"/>
      <c r="JYL855" s="999"/>
      <c r="JYM855" s="999"/>
      <c r="JYN855" s="999"/>
      <c r="JYO855" s="999"/>
      <c r="JYP855" s="999"/>
      <c r="JYQ855" s="999"/>
      <c r="JYR855" s="999"/>
      <c r="JYS855" s="999"/>
      <c r="JYT855" s="999"/>
      <c r="JYU855" s="999"/>
      <c r="JYV855" s="999"/>
      <c r="JYW855" s="999"/>
      <c r="JYX855" s="999"/>
      <c r="JYY855" s="999"/>
      <c r="JYZ855" s="999"/>
      <c r="JZA855" s="999"/>
      <c r="JZB855" s="999"/>
      <c r="JZC855" s="999"/>
      <c r="JZD855" s="999"/>
      <c r="JZE855" s="999"/>
      <c r="JZF855" s="999"/>
      <c r="JZG855" s="999"/>
      <c r="JZH855" s="999"/>
      <c r="JZI855" s="999"/>
      <c r="JZJ855" s="999"/>
      <c r="JZK855" s="999"/>
      <c r="JZL855" s="999"/>
      <c r="JZM855" s="999"/>
      <c r="JZN855" s="999"/>
      <c r="JZO855" s="999"/>
      <c r="JZP855" s="999"/>
      <c r="JZQ855" s="999"/>
      <c r="JZR855" s="999"/>
      <c r="JZS855" s="999"/>
      <c r="JZT855" s="999"/>
      <c r="JZU855" s="999"/>
      <c r="JZV855" s="999"/>
      <c r="JZW855" s="999"/>
      <c r="JZX855" s="999"/>
      <c r="JZY855" s="999"/>
      <c r="JZZ855" s="999"/>
      <c r="KAA855" s="999"/>
      <c r="KAB855" s="999"/>
      <c r="KAC855" s="999"/>
      <c r="KAD855" s="999"/>
      <c r="KAE855" s="999"/>
      <c r="KAF855" s="999"/>
      <c r="KAG855" s="999"/>
      <c r="KAH855" s="999"/>
      <c r="KAI855" s="999"/>
      <c r="KAJ855" s="999"/>
      <c r="KAK855" s="999"/>
      <c r="KAL855" s="999"/>
      <c r="KAM855" s="999"/>
      <c r="KAN855" s="999"/>
      <c r="KAO855" s="999"/>
      <c r="KAP855" s="999"/>
      <c r="KAQ855" s="999"/>
      <c r="KAR855" s="999"/>
      <c r="KAS855" s="999"/>
      <c r="KAT855" s="999"/>
      <c r="KAU855" s="999"/>
      <c r="KAV855" s="999"/>
      <c r="KAW855" s="999"/>
      <c r="KAX855" s="999"/>
      <c r="KAY855" s="999"/>
      <c r="KAZ855" s="999"/>
      <c r="KBA855" s="999"/>
      <c r="KBB855" s="999"/>
      <c r="KBC855" s="999"/>
      <c r="KBD855" s="999"/>
      <c r="KBE855" s="999"/>
      <c r="KBF855" s="999"/>
      <c r="KBG855" s="999"/>
      <c r="KBH855" s="999"/>
      <c r="KBI855" s="999"/>
      <c r="KBJ855" s="999"/>
      <c r="KBK855" s="999"/>
      <c r="KBL855" s="999"/>
      <c r="KBM855" s="999"/>
      <c r="KBN855" s="999"/>
      <c r="KBO855" s="999"/>
      <c r="KBP855" s="999"/>
      <c r="KBQ855" s="999"/>
      <c r="KBR855" s="999"/>
      <c r="KBS855" s="999"/>
      <c r="KBT855" s="999"/>
      <c r="KBU855" s="999"/>
      <c r="KBV855" s="999"/>
      <c r="KBW855" s="999"/>
      <c r="KBX855" s="999"/>
      <c r="KBY855" s="999"/>
      <c r="KBZ855" s="999"/>
      <c r="KCA855" s="999"/>
      <c r="KCB855" s="999"/>
      <c r="KCC855" s="999"/>
      <c r="KCD855" s="999"/>
      <c r="KCE855" s="999"/>
      <c r="KCF855" s="999"/>
      <c r="KCG855" s="999"/>
      <c r="KCH855" s="999"/>
      <c r="KCI855" s="999"/>
      <c r="KCJ855" s="999"/>
      <c r="KCK855" s="999"/>
      <c r="KCL855" s="999"/>
      <c r="KCM855" s="999"/>
      <c r="KCN855" s="999"/>
      <c r="KCO855" s="999"/>
      <c r="KCP855" s="999"/>
      <c r="KCQ855" s="999"/>
      <c r="KCR855" s="999"/>
      <c r="KCS855" s="999"/>
      <c r="KCT855" s="999"/>
      <c r="KCU855" s="999"/>
      <c r="KCV855" s="999"/>
      <c r="KCW855" s="999"/>
      <c r="KCX855" s="999"/>
      <c r="KCY855" s="999"/>
      <c r="KCZ855" s="999"/>
      <c r="KDA855" s="999"/>
      <c r="KDB855" s="999"/>
      <c r="KDC855" s="999"/>
      <c r="KDD855" s="999"/>
      <c r="KDE855" s="999"/>
      <c r="KDF855" s="999"/>
      <c r="KDG855" s="999"/>
      <c r="KDH855" s="999"/>
      <c r="KDI855" s="999"/>
      <c r="KDJ855" s="999"/>
      <c r="KDK855" s="999"/>
      <c r="KDL855" s="999"/>
      <c r="KDM855" s="999"/>
      <c r="KDN855" s="999"/>
      <c r="KDO855" s="999"/>
      <c r="KDP855" s="999"/>
      <c r="KDQ855" s="999"/>
      <c r="KDR855" s="999"/>
      <c r="KDS855" s="999"/>
      <c r="KDT855" s="999"/>
      <c r="KDU855" s="999"/>
      <c r="KDV855" s="999"/>
      <c r="KDW855" s="999"/>
      <c r="KDX855" s="999"/>
      <c r="KDY855" s="999"/>
      <c r="KDZ855" s="999"/>
      <c r="KEA855" s="999"/>
      <c r="KEB855" s="999"/>
      <c r="KEC855" s="999"/>
      <c r="KED855" s="999"/>
      <c r="KEE855" s="999"/>
      <c r="KEF855" s="999"/>
      <c r="KEG855" s="999"/>
      <c r="KEH855" s="999"/>
      <c r="KEI855" s="999"/>
      <c r="KEJ855" s="999"/>
      <c r="KEK855" s="999"/>
      <c r="KEL855" s="999"/>
      <c r="KEM855" s="999"/>
      <c r="KEN855" s="999"/>
      <c r="KEO855" s="999"/>
      <c r="KEP855" s="999"/>
      <c r="KEQ855" s="999"/>
      <c r="KER855" s="999"/>
      <c r="KES855" s="999"/>
      <c r="KET855" s="999"/>
      <c r="KEU855" s="999"/>
      <c r="KEV855" s="999"/>
      <c r="KEW855" s="999"/>
      <c r="KEX855" s="999"/>
      <c r="KEY855" s="999"/>
      <c r="KEZ855" s="999"/>
      <c r="KFA855" s="999"/>
      <c r="KFB855" s="999"/>
      <c r="KFC855" s="999"/>
      <c r="KFD855" s="999"/>
      <c r="KFE855" s="999"/>
      <c r="KFF855" s="999"/>
      <c r="KFG855" s="999"/>
      <c r="KFH855" s="999"/>
      <c r="KFI855" s="999"/>
      <c r="KFJ855" s="999"/>
      <c r="KFK855" s="999"/>
      <c r="KFL855" s="999"/>
      <c r="KFM855" s="999"/>
      <c r="KFN855" s="999"/>
      <c r="KFO855" s="999"/>
      <c r="KFP855" s="999"/>
      <c r="KFQ855" s="999"/>
      <c r="KFR855" s="999"/>
      <c r="KFS855" s="999"/>
      <c r="KFT855" s="999"/>
      <c r="KFU855" s="999"/>
      <c r="KFV855" s="999"/>
      <c r="KFW855" s="999"/>
      <c r="KFX855" s="999"/>
      <c r="KFY855" s="999"/>
      <c r="KFZ855" s="999"/>
      <c r="KGA855" s="999"/>
      <c r="KGB855" s="999"/>
      <c r="KGC855" s="999"/>
      <c r="KGD855" s="999"/>
      <c r="KGE855" s="999"/>
      <c r="KGF855" s="999"/>
      <c r="KGG855" s="999"/>
      <c r="KGH855" s="999"/>
      <c r="KGI855" s="999"/>
      <c r="KGJ855" s="999"/>
      <c r="KGK855" s="999"/>
      <c r="KGL855" s="999"/>
      <c r="KGM855" s="999"/>
      <c r="KGN855" s="999"/>
      <c r="KGO855" s="999"/>
      <c r="KGP855" s="999"/>
      <c r="KGQ855" s="999"/>
      <c r="KGR855" s="999"/>
      <c r="KGS855" s="999"/>
      <c r="KGT855" s="999"/>
      <c r="KGU855" s="999"/>
      <c r="KGV855" s="999"/>
      <c r="KGW855" s="999"/>
      <c r="KGX855" s="999"/>
      <c r="KGY855" s="999"/>
      <c r="KGZ855" s="999"/>
      <c r="KHA855" s="999"/>
      <c r="KHB855" s="999"/>
      <c r="KHC855" s="999"/>
      <c r="KHD855" s="999"/>
      <c r="KHE855" s="999"/>
      <c r="KHF855" s="999"/>
      <c r="KHG855" s="999"/>
      <c r="KHH855" s="999"/>
      <c r="KHI855" s="999"/>
      <c r="KHJ855" s="999"/>
      <c r="KHK855" s="999"/>
      <c r="KHL855" s="999"/>
      <c r="KHM855" s="999"/>
      <c r="KHN855" s="999"/>
      <c r="KHO855" s="999"/>
      <c r="KHP855" s="999"/>
      <c r="KHQ855" s="999"/>
      <c r="KHR855" s="999"/>
      <c r="KHS855" s="999"/>
      <c r="KHT855" s="999"/>
      <c r="KHU855" s="999"/>
      <c r="KHV855" s="999"/>
      <c r="KHW855" s="999"/>
      <c r="KHX855" s="999"/>
      <c r="KHY855" s="999"/>
      <c r="KHZ855" s="999"/>
      <c r="KIA855" s="999"/>
      <c r="KIB855" s="999"/>
      <c r="KIC855" s="999"/>
      <c r="KID855" s="999"/>
      <c r="KIE855" s="999"/>
      <c r="KIF855" s="999"/>
      <c r="KIG855" s="999"/>
      <c r="KIH855" s="999"/>
      <c r="KII855" s="999"/>
      <c r="KIJ855" s="999"/>
      <c r="KIK855" s="999"/>
      <c r="KIL855" s="999"/>
      <c r="KIM855" s="999"/>
      <c r="KIN855" s="999"/>
      <c r="KIO855" s="999"/>
      <c r="KIP855" s="999"/>
      <c r="KIQ855" s="999"/>
      <c r="KIR855" s="999"/>
      <c r="KIS855" s="999"/>
      <c r="KIT855" s="999"/>
      <c r="KIU855" s="999"/>
      <c r="KIV855" s="999"/>
      <c r="KIW855" s="999"/>
      <c r="KIX855" s="999"/>
      <c r="KIY855" s="999"/>
      <c r="KIZ855" s="999"/>
      <c r="KJA855" s="999"/>
      <c r="KJB855" s="999"/>
      <c r="KJC855" s="999"/>
      <c r="KJD855" s="999"/>
      <c r="KJE855" s="999"/>
      <c r="KJF855" s="999"/>
      <c r="KJG855" s="999"/>
      <c r="KJH855" s="999"/>
      <c r="KJI855" s="999"/>
      <c r="KJJ855" s="999"/>
      <c r="KJK855" s="999"/>
      <c r="KJL855" s="999"/>
      <c r="KJM855" s="999"/>
      <c r="KJN855" s="999"/>
      <c r="KJO855" s="999"/>
      <c r="KJP855" s="999"/>
      <c r="KJQ855" s="999"/>
      <c r="KJR855" s="999"/>
      <c r="KJS855" s="999"/>
      <c r="KJT855" s="999"/>
      <c r="KJU855" s="999"/>
      <c r="KJV855" s="999"/>
      <c r="KJW855" s="999"/>
      <c r="KJX855" s="999"/>
      <c r="KJY855" s="999"/>
      <c r="KJZ855" s="999"/>
      <c r="KKA855" s="999"/>
      <c r="KKB855" s="999"/>
      <c r="KKC855" s="999"/>
      <c r="KKD855" s="999"/>
      <c r="KKE855" s="999"/>
      <c r="KKF855" s="999"/>
      <c r="KKG855" s="999"/>
      <c r="KKH855" s="999"/>
      <c r="KKI855" s="999"/>
      <c r="KKJ855" s="999"/>
      <c r="KKK855" s="999"/>
      <c r="KKL855" s="999"/>
      <c r="KKM855" s="999"/>
      <c r="KKN855" s="999"/>
      <c r="KKO855" s="999"/>
      <c r="KKP855" s="999"/>
      <c r="KKQ855" s="999"/>
      <c r="KKR855" s="999"/>
      <c r="KKS855" s="999"/>
      <c r="KKT855" s="999"/>
      <c r="KKU855" s="999"/>
      <c r="KKV855" s="999"/>
      <c r="KKW855" s="999"/>
      <c r="KKX855" s="999"/>
      <c r="KKY855" s="999"/>
      <c r="KKZ855" s="999"/>
      <c r="KLA855" s="999"/>
      <c r="KLB855" s="999"/>
      <c r="KLC855" s="999"/>
      <c r="KLD855" s="999"/>
      <c r="KLE855" s="999"/>
      <c r="KLF855" s="999"/>
      <c r="KLG855" s="999"/>
      <c r="KLH855" s="999"/>
      <c r="KLI855" s="999"/>
      <c r="KLJ855" s="999"/>
      <c r="KLK855" s="999"/>
      <c r="KLL855" s="999"/>
      <c r="KLM855" s="999"/>
      <c r="KLN855" s="999"/>
      <c r="KLO855" s="999"/>
      <c r="KLP855" s="999"/>
      <c r="KLQ855" s="999"/>
      <c r="KLR855" s="999"/>
      <c r="KLS855" s="999"/>
      <c r="KLT855" s="999"/>
      <c r="KLU855" s="999"/>
      <c r="KLV855" s="999"/>
      <c r="KLW855" s="999"/>
      <c r="KLX855" s="999"/>
      <c r="KLY855" s="999"/>
      <c r="KLZ855" s="999"/>
      <c r="KMA855" s="999"/>
      <c r="KMB855" s="999"/>
      <c r="KMC855" s="999"/>
      <c r="KMD855" s="999"/>
      <c r="KME855" s="999"/>
      <c r="KMF855" s="999"/>
      <c r="KMG855" s="999"/>
      <c r="KMH855" s="999"/>
      <c r="KMI855" s="999"/>
      <c r="KMJ855" s="999"/>
      <c r="KMK855" s="999"/>
      <c r="KML855" s="999"/>
      <c r="KMM855" s="999"/>
      <c r="KMN855" s="999"/>
      <c r="KMO855" s="999"/>
      <c r="KMP855" s="999"/>
      <c r="KMQ855" s="999"/>
      <c r="KMR855" s="999"/>
      <c r="KMS855" s="999"/>
      <c r="KMT855" s="999"/>
      <c r="KMU855" s="999"/>
      <c r="KMV855" s="999"/>
      <c r="KMW855" s="999"/>
      <c r="KMX855" s="999"/>
      <c r="KMY855" s="999"/>
      <c r="KMZ855" s="999"/>
      <c r="KNA855" s="999"/>
      <c r="KNB855" s="999"/>
      <c r="KNC855" s="999"/>
      <c r="KND855" s="999"/>
      <c r="KNE855" s="999"/>
      <c r="KNF855" s="999"/>
      <c r="KNG855" s="999"/>
      <c r="KNH855" s="999"/>
      <c r="KNI855" s="999"/>
      <c r="KNJ855" s="999"/>
      <c r="KNK855" s="999"/>
      <c r="KNL855" s="999"/>
      <c r="KNM855" s="999"/>
      <c r="KNN855" s="999"/>
      <c r="KNO855" s="999"/>
      <c r="KNP855" s="999"/>
      <c r="KNQ855" s="999"/>
      <c r="KNR855" s="999"/>
      <c r="KNS855" s="999"/>
      <c r="KNT855" s="999"/>
      <c r="KNU855" s="999"/>
      <c r="KNV855" s="999"/>
      <c r="KNW855" s="999"/>
      <c r="KNX855" s="999"/>
      <c r="KNY855" s="999"/>
      <c r="KNZ855" s="999"/>
      <c r="KOA855" s="999"/>
      <c r="KOB855" s="999"/>
      <c r="KOC855" s="999"/>
      <c r="KOD855" s="999"/>
      <c r="KOE855" s="999"/>
      <c r="KOF855" s="999"/>
      <c r="KOG855" s="999"/>
      <c r="KOH855" s="999"/>
      <c r="KOI855" s="999"/>
      <c r="KOJ855" s="999"/>
      <c r="KOK855" s="999"/>
      <c r="KOL855" s="999"/>
      <c r="KOM855" s="999"/>
      <c r="KON855" s="999"/>
      <c r="KOO855" s="999"/>
      <c r="KOP855" s="999"/>
      <c r="KOQ855" s="999"/>
      <c r="KOR855" s="999"/>
      <c r="KOS855" s="999"/>
      <c r="KOT855" s="999"/>
      <c r="KOU855" s="999"/>
      <c r="KOV855" s="999"/>
      <c r="KOW855" s="999"/>
      <c r="KOX855" s="999"/>
      <c r="KOY855" s="999"/>
      <c r="KOZ855" s="999"/>
      <c r="KPA855" s="999"/>
      <c r="KPB855" s="999"/>
      <c r="KPC855" s="999"/>
      <c r="KPD855" s="999"/>
      <c r="KPE855" s="999"/>
      <c r="KPF855" s="999"/>
      <c r="KPG855" s="999"/>
      <c r="KPH855" s="999"/>
      <c r="KPI855" s="999"/>
      <c r="KPJ855" s="999"/>
      <c r="KPK855" s="999"/>
      <c r="KPL855" s="999"/>
      <c r="KPM855" s="999"/>
      <c r="KPN855" s="999"/>
      <c r="KPO855" s="999"/>
      <c r="KPP855" s="999"/>
      <c r="KPQ855" s="999"/>
      <c r="KPR855" s="999"/>
      <c r="KPS855" s="999"/>
      <c r="KPT855" s="999"/>
      <c r="KPU855" s="999"/>
      <c r="KPV855" s="999"/>
      <c r="KPW855" s="999"/>
      <c r="KPX855" s="999"/>
      <c r="KPY855" s="999"/>
      <c r="KPZ855" s="999"/>
      <c r="KQA855" s="999"/>
      <c r="KQB855" s="999"/>
      <c r="KQC855" s="999"/>
      <c r="KQD855" s="999"/>
      <c r="KQE855" s="999"/>
      <c r="KQF855" s="999"/>
      <c r="KQG855" s="999"/>
      <c r="KQH855" s="999"/>
      <c r="KQI855" s="999"/>
      <c r="KQJ855" s="999"/>
      <c r="KQK855" s="999"/>
      <c r="KQL855" s="999"/>
      <c r="KQM855" s="999"/>
      <c r="KQN855" s="999"/>
      <c r="KQO855" s="999"/>
      <c r="KQP855" s="999"/>
      <c r="KQQ855" s="999"/>
      <c r="KQR855" s="999"/>
      <c r="KQS855" s="999"/>
      <c r="KQT855" s="999"/>
      <c r="KQU855" s="999"/>
      <c r="KQV855" s="999"/>
      <c r="KQW855" s="999"/>
      <c r="KQX855" s="999"/>
      <c r="KQY855" s="999"/>
      <c r="KQZ855" s="999"/>
      <c r="KRA855" s="999"/>
      <c r="KRB855" s="999"/>
      <c r="KRC855" s="999"/>
      <c r="KRD855" s="999"/>
      <c r="KRE855" s="999"/>
      <c r="KRF855" s="999"/>
      <c r="KRG855" s="999"/>
      <c r="KRH855" s="999"/>
      <c r="KRI855" s="999"/>
      <c r="KRJ855" s="999"/>
      <c r="KRK855" s="999"/>
      <c r="KRL855" s="999"/>
      <c r="KRM855" s="999"/>
      <c r="KRN855" s="999"/>
      <c r="KRO855" s="999"/>
      <c r="KRP855" s="999"/>
      <c r="KRQ855" s="999"/>
      <c r="KRR855" s="999"/>
      <c r="KRS855" s="999"/>
      <c r="KRT855" s="999"/>
      <c r="KRU855" s="999"/>
      <c r="KRV855" s="999"/>
      <c r="KRW855" s="999"/>
      <c r="KRX855" s="999"/>
      <c r="KRY855" s="999"/>
      <c r="KRZ855" s="999"/>
      <c r="KSA855" s="999"/>
      <c r="KSB855" s="999"/>
      <c r="KSC855" s="999"/>
      <c r="KSD855" s="999"/>
      <c r="KSE855" s="999"/>
      <c r="KSF855" s="999"/>
      <c r="KSG855" s="999"/>
      <c r="KSH855" s="999"/>
      <c r="KSI855" s="999"/>
      <c r="KSJ855" s="999"/>
      <c r="KSK855" s="999"/>
      <c r="KSL855" s="999"/>
      <c r="KSM855" s="999"/>
      <c r="KSN855" s="999"/>
      <c r="KSO855" s="999"/>
      <c r="KSP855" s="999"/>
      <c r="KSQ855" s="999"/>
      <c r="KSR855" s="999"/>
      <c r="KSS855" s="999"/>
      <c r="KST855" s="999"/>
      <c r="KSU855" s="999"/>
      <c r="KSV855" s="999"/>
      <c r="KSW855" s="999"/>
      <c r="KSX855" s="999"/>
      <c r="KSY855" s="999"/>
      <c r="KSZ855" s="999"/>
      <c r="KTA855" s="999"/>
      <c r="KTB855" s="999"/>
      <c r="KTC855" s="999"/>
      <c r="KTD855" s="999"/>
      <c r="KTE855" s="999"/>
      <c r="KTF855" s="999"/>
      <c r="KTG855" s="999"/>
      <c r="KTH855" s="999"/>
      <c r="KTI855" s="999"/>
      <c r="KTJ855" s="999"/>
      <c r="KTK855" s="999"/>
      <c r="KTL855" s="999"/>
      <c r="KTM855" s="999"/>
      <c r="KTN855" s="999"/>
      <c r="KTO855" s="999"/>
      <c r="KTP855" s="999"/>
      <c r="KTQ855" s="999"/>
      <c r="KTR855" s="999"/>
      <c r="KTS855" s="999"/>
      <c r="KTT855" s="999"/>
      <c r="KTU855" s="999"/>
      <c r="KTV855" s="999"/>
      <c r="KTW855" s="999"/>
      <c r="KTX855" s="999"/>
      <c r="KTY855" s="999"/>
      <c r="KTZ855" s="999"/>
      <c r="KUA855" s="999"/>
      <c r="KUB855" s="999"/>
      <c r="KUC855" s="999"/>
      <c r="KUD855" s="999"/>
      <c r="KUE855" s="999"/>
      <c r="KUF855" s="999"/>
      <c r="KUG855" s="999"/>
      <c r="KUH855" s="999"/>
      <c r="KUI855" s="999"/>
      <c r="KUJ855" s="999"/>
      <c r="KUK855" s="999"/>
      <c r="KUL855" s="999"/>
      <c r="KUM855" s="999"/>
      <c r="KUN855" s="999"/>
      <c r="KUO855" s="999"/>
      <c r="KUP855" s="999"/>
      <c r="KUQ855" s="999"/>
      <c r="KUR855" s="999"/>
      <c r="KUS855" s="999"/>
      <c r="KUT855" s="999"/>
      <c r="KUU855" s="999"/>
      <c r="KUV855" s="999"/>
      <c r="KUW855" s="999"/>
      <c r="KUX855" s="999"/>
      <c r="KUY855" s="999"/>
      <c r="KUZ855" s="999"/>
      <c r="KVA855" s="999"/>
      <c r="KVB855" s="999"/>
      <c r="KVC855" s="999"/>
      <c r="KVD855" s="999"/>
      <c r="KVE855" s="999"/>
      <c r="KVF855" s="999"/>
      <c r="KVG855" s="999"/>
      <c r="KVH855" s="999"/>
      <c r="KVI855" s="999"/>
      <c r="KVJ855" s="999"/>
      <c r="KVK855" s="999"/>
      <c r="KVL855" s="999"/>
      <c r="KVM855" s="999"/>
      <c r="KVN855" s="999"/>
      <c r="KVO855" s="999"/>
      <c r="KVP855" s="999"/>
      <c r="KVQ855" s="999"/>
      <c r="KVR855" s="999"/>
      <c r="KVS855" s="999"/>
      <c r="KVT855" s="999"/>
      <c r="KVU855" s="999"/>
      <c r="KVV855" s="999"/>
      <c r="KVW855" s="999"/>
      <c r="KVX855" s="999"/>
      <c r="KVY855" s="999"/>
      <c r="KVZ855" s="999"/>
      <c r="KWA855" s="999"/>
      <c r="KWB855" s="999"/>
      <c r="KWC855" s="999"/>
      <c r="KWD855" s="999"/>
      <c r="KWE855" s="999"/>
      <c r="KWF855" s="999"/>
      <c r="KWG855" s="999"/>
      <c r="KWH855" s="999"/>
      <c r="KWI855" s="999"/>
      <c r="KWJ855" s="999"/>
      <c r="KWK855" s="999"/>
      <c r="KWL855" s="999"/>
      <c r="KWM855" s="999"/>
      <c r="KWN855" s="999"/>
      <c r="KWO855" s="999"/>
      <c r="KWP855" s="999"/>
      <c r="KWQ855" s="999"/>
      <c r="KWR855" s="999"/>
      <c r="KWS855" s="999"/>
      <c r="KWT855" s="999"/>
      <c r="KWU855" s="999"/>
      <c r="KWV855" s="999"/>
      <c r="KWW855" s="999"/>
      <c r="KWX855" s="999"/>
      <c r="KWY855" s="999"/>
      <c r="KWZ855" s="999"/>
      <c r="KXA855" s="999"/>
      <c r="KXB855" s="999"/>
      <c r="KXC855" s="999"/>
      <c r="KXD855" s="999"/>
      <c r="KXE855" s="999"/>
      <c r="KXF855" s="999"/>
      <c r="KXG855" s="999"/>
      <c r="KXH855" s="999"/>
      <c r="KXI855" s="999"/>
      <c r="KXJ855" s="999"/>
      <c r="KXK855" s="999"/>
      <c r="KXL855" s="999"/>
      <c r="KXM855" s="999"/>
      <c r="KXN855" s="999"/>
      <c r="KXO855" s="999"/>
      <c r="KXP855" s="999"/>
      <c r="KXQ855" s="999"/>
      <c r="KXR855" s="999"/>
      <c r="KXS855" s="999"/>
      <c r="KXT855" s="999"/>
      <c r="KXU855" s="999"/>
      <c r="KXV855" s="999"/>
      <c r="KXW855" s="999"/>
      <c r="KXX855" s="999"/>
      <c r="KXY855" s="999"/>
      <c r="KXZ855" s="999"/>
      <c r="KYA855" s="999"/>
      <c r="KYB855" s="999"/>
      <c r="KYC855" s="999"/>
      <c r="KYD855" s="999"/>
      <c r="KYE855" s="999"/>
      <c r="KYF855" s="999"/>
      <c r="KYG855" s="999"/>
      <c r="KYH855" s="999"/>
      <c r="KYI855" s="999"/>
      <c r="KYJ855" s="999"/>
      <c r="KYK855" s="999"/>
      <c r="KYL855" s="999"/>
      <c r="KYM855" s="999"/>
      <c r="KYN855" s="999"/>
      <c r="KYO855" s="999"/>
      <c r="KYP855" s="999"/>
      <c r="KYQ855" s="999"/>
      <c r="KYR855" s="999"/>
      <c r="KYS855" s="999"/>
      <c r="KYT855" s="999"/>
      <c r="KYU855" s="999"/>
      <c r="KYV855" s="999"/>
      <c r="KYW855" s="999"/>
      <c r="KYX855" s="999"/>
      <c r="KYY855" s="999"/>
      <c r="KYZ855" s="999"/>
      <c r="KZA855" s="999"/>
      <c r="KZB855" s="999"/>
      <c r="KZC855" s="999"/>
      <c r="KZD855" s="999"/>
      <c r="KZE855" s="999"/>
      <c r="KZF855" s="999"/>
      <c r="KZG855" s="999"/>
      <c r="KZH855" s="999"/>
      <c r="KZI855" s="999"/>
      <c r="KZJ855" s="999"/>
      <c r="KZK855" s="999"/>
      <c r="KZL855" s="999"/>
      <c r="KZM855" s="999"/>
      <c r="KZN855" s="999"/>
      <c r="KZO855" s="999"/>
      <c r="KZP855" s="999"/>
      <c r="KZQ855" s="999"/>
      <c r="KZR855" s="999"/>
      <c r="KZS855" s="999"/>
      <c r="KZT855" s="999"/>
      <c r="KZU855" s="999"/>
      <c r="KZV855" s="999"/>
      <c r="KZW855" s="999"/>
      <c r="KZX855" s="999"/>
      <c r="KZY855" s="999"/>
      <c r="KZZ855" s="999"/>
      <c r="LAA855" s="999"/>
      <c r="LAB855" s="999"/>
      <c r="LAC855" s="999"/>
      <c r="LAD855" s="999"/>
      <c r="LAE855" s="999"/>
      <c r="LAF855" s="999"/>
      <c r="LAG855" s="999"/>
      <c r="LAH855" s="999"/>
      <c r="LAI855" s="999"/>
      <c r="LAJ855" s="999"/>
      <c r="LAK855" s="999"/>
      <c r="LAL855" s="999"/>
      <c r="LAM855" s="999"/>
      <c r="LAN855" s="999"/>
      <c r="LAO855" s="999"/>
      <c r="LAP855" s="999"/>
      <c r="LAQ855" s="999"/>
      <c r="LAR855" s="999"/>
      <c r="LAS855" s="999"/>
      <c r="LAT855" s="999"/>
      <c r="LAU855" s="999"/>
      <c r="LAV855" s="999"/>
      <c r="LAW855" s="999"/>
      <c r="LAX855" s="999"/>
      <c r="LAY855" s="999"/>
      <c r="LAZ855" s="999"/>
      <c r="LBA855" s="999"/>
      <c r="LBB855" s="999"/>
      <c r="LBC855" s="999"/>
      <c r="LBD855" s="999"/>
      <c r="LBE855" s="999"/>
      <c r="LBF855" s="999"/>
      <c r="LBG855" s="999"/>
      <c r="LBH855" s="999"/>
      <c r="LBI855" s="999"/>
      <c r="LBJ855" s="999"/>
      <c r="LBK855" s="999"/>
      <c r="LBL855" s="999"/>
      <c r="LBM855" s="999"/>
      <c r="LBN855" s="999"/>
      <c r="LBO855" s="999"/>
      <c r="LBP855" s="999"/>
      <c r="LBQ855" s="999"/>
      <c r="LBR855" s="999"/>
      <c r="LBS855" s="999"/>
      <c r="LBT855" s="999"/>
      <c r="LBU855" s="999"/>
      <c r="LBV855" s="999"/>
      <c r="LBW855" s="999"/>
      <c r="LBX855" s="999"/>
      <c r="LBY855" s="999"/>
      <c r="LBZ855" s="999"/>
      <c r="LCA855" s="999"/>
      <c r="LCB855" s="999"/>
      <c r="LCC855" s="999"/>
      <c r="LCD855" s="999"/>
      <c r="LCE855" s="999"/>
      <c r="LCF855" s="999"/>
      <c r="LCG855" s="999"/>
      <c r="LCH855" s="999"/>
      <c r="LCI855" s="999"/>
      <c r="LCJ855" s="999"/>
      <c r="LCK855" s="999"/>
      <c r="LCL855" s="999"/>
      <c r="LCM855" s="999"/>
      <c r="LCN855" s="999"/>
      <c r="LCO855" s="999"/>
      <c r="LCP855" s="999"/>
      <c r="LCQ855" s="999"/>
      <c r="LCR855" s="999"/>
      <c r="LCS855" s="999"/>
      <c r="LCT855" s="999"/>
      <c r="LCU855" s="999"/>
      <c r="LCV855" s="999"/>
      <c r="LCW855" s="999"/>
      <c r="LCX855" s="999"/>
      <c r="LCY855" s="999"/>
      <c r="LCZ855" s="999"/>
      <c r="LDA855" s="999"/>
      <c r="LDB855" s="999"/>
      <c r="LDC855" s="999"/>
      <c r="LDD855" s="999"/>
      <c r="LDE855" s="999"/>
      <c r="LDF855" s="999"/>
      <c r="LDG855" s="999"/>
      <c r="LDH855" s="999"/>
      <c r="LDI855" s="999"/>
      <c r="LDJ855" s="999"/>
      <c r="LDK855" s="999"/>
      <c r="LDL855" s="999"/>
      <c r="LDM855" s="999"/>
      <c r="LDN855" s="999"/>
      <c r="LDO855" s="999"/>
      <c r="LDP855" s="999"/>
      <c r="LDQ855" s="999"/>
      <c r="LDR855" s="999"/>
      <c r="LDS855" s="999"/>
      <c r="LDT855" s="999"/>
      <c r="LDU855" s="999"/>
      <c r="LDV855" s="999"/>
      <c r="LDW855" s="999"/>
      <c r="LDX855" s="999"/>
      <c r="LDY855" s="999"/>
      <c r="LDZ855" s="999"/>
      <c r="LEA855" s="999"/>
      <c r="LEB855" s="999"/>
      <c r="LEC855" s="999"/>
      <c r="LED855" s="999"/>
      <c r="LEE855" s="999"/>
      <c r="LEF855" s="999"/>
      <c r="LEG855" s="999"/>
      <c r="LEH855" s="999"/>
      <c r="LEI855" s="999"/>
      <c r="LEJ855" s="999"/>
      <c r="LEK855" s="999"/>
      <c r="LEL855" s="999"/>
      <c r="LEM855" s="999"/>
      <c r="LEN855" s="999"/>
      <c r="LEO855" s="999"/>
      <c r="LEP855" s="999"/>
      <c r="LEQ855" s="999"/>
      <c r="LER855" s="999"/>
      <c r="LES855" s="999"/>
      <c r="LET855" s="999"/>
      <c r="LEU855" s="999"/>
      <c r="LEV855" s="999"/>
      <c r="LEW855" s="999"/>
      <c r="LEX855" s="999"/>
      <c r="LEY855" s="999"/>
      <c r="LEZ855" s="999"/>
      <c r="LFA855" s="999"/>
      <c r="LFB855" s="999"/>
      <c r="LFC855" s="999"/>
      <c r="LFD855" s="999"/>
      <c r="LFE855" s="999"/>
      <c r="LFF855" s="999"/>
      <c r="LFG855" s="999"/>
      <c r="LFH855" s="999"/>
      <c r="LFI855" s="999"/>
      <c r="LFJ855" s="999"/>
      <c r="LFK855" s="999"/>
      <c r="LFL855" s="999"/>
      <c r="LFM855" s="999"/>
      <c r="LFN855" s="999"/>
      <c r="LFO855" s="999"/>
      <c r="LFP855" s="999"/>
      <c r="LFQ855" s="999"/>
      <c r="LFR855" s="999"/>
      <c r="LFS855" s="999"/>
      <c r="LFT855" s="999"/>
      <c r="LFU855" s="999"/>
      <c r="LFV855" s="999"/>
      <c r="LFW855" s="999"/>
      <c r="LFX855" s="999"/>
      <c r="LFY855" s="999"/>
      <c r="LFZ855" s="999"/>
      <c r="LGA855" s="999"/>
      <c r="LGB855" s="999"/>
      <c r="LGC855" s="999"/>
      <c r="LGD855" s="999"/>
      <c r="LGE855" s="999"/>
      <c r="LGF855" s="999"/>
      <c r="LGG855" s="999"/>
      <c r="LGH855" s="999"/>
      <c r="LGI855" s="999"/>
      <c r="LGJ855" s="999"/>
      <c r="LGK855" s="999"/>
      <c r="LGL855" s="999"/>
      <c r="LGM855" s="999"/>
      <c r="LGN855" s="999"/>
      <c r="LGO855" s="999"/>
      <c r="LGP855" s="999"/>
      <c r="LGQ855" s="999"/>
      <c r="LGR855" s="999"/>
      <c r="LGS855" s="999"/>
      <c r="LGT855" s="999"/>
      <c r="LGU855" s="999"/>
      <c r="LGV855" s="999"/>
      <c r="LGW855" s="999"/>
      <c r="LGX855" s="999"/>
      <c r="LGY855" s="999"/>
      <c r="LGZ855" s="999"/>
      <c r="LHA855" s="999"/>
      <c r="LHB855" s="999"/>
      <c r="LHC855" s="999"/>
      <c r="LHD855" s="999"/>
      <c r="LHE855" s="999"/>
      <c r="LHF855" s="999"/>
      <c r="LHG855" s="999"/>
      <c r="LHH855" s="999"/>
      <c r="LHI855" s="999"/>
      <c r="LHJ855" s="999"/>
      <c r="LHK855" s="999"/>
      <c r="LHL855" s="999"/>
      <c r="LHM855" s="999"/>
      <c r="LHN855" s="999"/>
      <c r="LHO855" s="999"/>
      <c r="LHP855" s="999"/>
      <c r="LHQ855" s="999"/>
      <c r="LHR855" s="999"/>
      <c r="LHS855" s="999"/>
      <c r="LHT855" s="999"/>
      <c r="LHU855" s="999"/>
      <c r="LHV855" s="999"/>
      <c r="LHW855" s="999"/>
      <c r="LHX855" s="999"/>
      <c r="LHY855" s="999"/>
      <c r="LHZ855" s="999"/>
      <c r="LIA855" s="999"/>
      <c r="LIB855" s="999"/>
      <c r="LIC855" s="999"/>
      <c r="LID855" s="999"/>
      <c r="LIE855" s="999"/>
      <c r="LIF855" s="999"/>
      <c r="LIG855" s="999"/>
      <c r="LIH855" s="999"/>
      <c r="LII855" s="999"/>
      <c r="LIJ855" s="999"/>
      <c r="LIK855" s="999"/>
      <c r="LIL855" s="999"/>
      <c r="LIM855" s="999"/>
      <c r="LIN855" s="999"/>
      <c r="LIO855" s="999"/>
      <c r="LIP855" s="999"/>
      <c r="LIQ855" s="999"/>
      <c r="LIR855" s="999"/>
      <c r="LIS855" s="999"/>
      <c r="LIT855" s="999"/>
      <c r="LIU855" s="999"/>
      <c r="LIV855" s="999"/>
      <c r="LIW855" s="999"/>
      <c r="LIX855" s="999"/>
      <c r="LIY855" s="999"/>
      <c r="LIZ855" s="999"/>
      <c r="LJA855" s="999"/>
      <c r="LJB855" s="999"/>
      <c r="LJC855" s="999"/>
      <c r="LJD855" s="999"/>
      <c r="LJE855" s="999"/>
      <c r="LJF855" s="999"/>
      <c r="LJG855" s="999"/>
      <c r="LJH855" s="999"/>
      <c r="LJI855" s="999"/>
      <c r="LJJ855" s="999"/>
      <c r="LJK855" s="999"/>
      <c r="LJL855" s="999"/>
      <c r="LJM855" s="999"/>
      <c r="LJN855" s="999"/>
      <c r="LJO855" s="999"/>
      <c r="LJP855" s="999"/>
      <c r="LJQ855" s="999"/>
      <c r="LJR855" s="999"/>
      <c r="LJS855" s="999"/>
      <c r="LJT855" s="999"/>
      <c r="LJU855" s="999"/>
      <c r="LJV855" s="999"/>
      <c r="LJW855" s="999"/>
      <c r="LJX855" s="999"/>
      <c r="LJY855" s="999"/>
      <c r="LJZ855" s="999"/>
      <c r="LKA855" s="999"/>
      <c r="LKB855" s="999"/>
      <c r="LKC855" s="999"/>
      <c r="LKD855" s="999"/>
      <c r="LKE855" s="999"/>
      <c r="LKF855" s="999"/>
      <c r="LKG855" s="999"/>
      <c r="LKH855" s="999"/>
      <c r="LKI855" s="999"/>
      <c r="LKJ855" s="999"/>
      <c r="LKK855" s="999"/>
      <c r="LKL855" s="999"/>
      <c r="LKM855" s="999"/>
      <c r="LKN855" s="999"/>
      <c r="LKO855" s="999"/>
      <c r="LKP855" s="999"/>
      <c r="LKQ855" s="999"/>
      <c r="LKR855" s="999"/>
      <c r="LKS855" s="999"/>
      <c r="LKT855" s="999"/>
      <c r="LKU855" s="999"/>
      <c r="LKV855" s="999"/>
      <c r="LKW855" s="999"/>
      <c r="LKX855" s="999"/>
      <c r="LKY855" s="999"/>
      <c r="LKZ855" s="999"/>
      <c r="LLA855" s="999"/>
      <c r="LLB855" s="999"/>
      <c r="LLC855" s="999"/>
      <c r="LLD855" s="999"/>
      <c r="LLE855" s="999"/>
      <c r="LLF855" s="999"/>
      <c r="LLG855" s="999"/>
      <c r="LLH855" s="999"/>
      <c r="LLI855" s="999"/>
      <c r="LLJ855" s="999"/>
      <c r="LLK855" s="999"/>
      <c r="LLL855" s="999"/>
      <c r="LLM855" s="999"/>
      <c r="LLN855" s="999"/>
      <c r="LLO855" s="999"/>
      <c r="LLP855" s="999"/>
      <c r="LLQ855" s="999"/>
      <c r="LLR855" s="999"/>
      <c r="LLS855" s="999"/>
      <c r="LLT855" s="999"/>
      <c r="LLU855" s="999"/>
      <c r="LLV855" s="999"/>
      <c r="LLW855" s="999"/>
      <c r="LLX855" s="999"/>
      <c r="LLY855" s="999"/>
      <c r="LLZ855" s="999"/>
      <c r="LMA855" s="999"/>
      <c r="LMB855" s="999"/>
      <c r="LMC855" s="999"/>
      <c r="LMD855" s="999"/>
      <c r="LME855" s="999"/>
      <c r="LMF855" s="999"/>
      <c r="LMG855" s="999"/>
      <c r="LMH855" s="999"/>
      <c r="LMI855" s="999"/>
      <c r="LMJ855" s="999"/>
      <c r="LMK855" s="999"/>
      <c r="LML855" s="999"/>
      <c r="LMM855" s="999"/>
      <c r="LMN855" s="999"/>
      <c r="LMO855" s="999"/>
      <c r="LMP855" s="999"/>
      <c r="LMQ855" s="999"/>
      <c r="LMR855" s="999"/>
      <c r="LMS855" s="999"/>
      <c r="LMT855" s="999"/>
      <c r="LMU855" s="999"/>
      <c r="LMV855" s="999"/>
      <c r="LMW855" s="999"/>
      <c r="LMX855" s="999"/>
      <c r="LMY855" s="999"/>
      <c r="LMZ855" s="999"/>
      <c r="LNA855" s="999"/>
      <c r="LNB855" s="999"/>
      <c r="LNC855" s="999"/>
      <c r="LND855" s="999"/>
      <c r="LNE855" s="999"/>
      <c r="LNF855" s="999"/>
      <c r="LNG855" s="999"/>
      <c r="LNH855" s="999"/>
      <c r="LNI855" s="999"/>
      <c r="LNJ855" s="999"/>
      <c r="LNK855" s="999"/>
      <c r="LNL855" s="999"/>
      <c r="LNM855" s="999"/>
      <c r="LNN855" s="999"/>
      <c r="LNO855" s="999"/>
      <c r="LNP855" s="999"/>
      <c r="LNQ855" s="999"/>
      <c r="LNR855" s="999"/>
      <c r="LNS855" s="999"/>
      <c r="LNT855" s="999"/>
      <c r="LNU855" s="999"/>
      <c r="LNV855" s="999"/>
      <c r="LNW855" s="999"/>
      <c r="LNX855" s="999"/>
      <c r="LNY855" s="999"/>
      <c r="LNZ855" s="999"/>
      <c r="LOA855" s="999"/>
      <c r="LOB855" s="999"/>
      <c r="LOC855" s="999"/>
      <c r="LOD855" s="999"/>
      <c r="LOE855" s="999"/>
      <c r="LOF855" s="999"/>
      <c r="LOG855" s="999"/>
      <c r="LOH855" s="999"/>
      <c r="LOI855" s="999"/>
      <c r="LOJ855" s="999"/>
      <c r="LOK855" s="999"/>
      <c r="LOL855" s="999"/>
      <c r="LOM855" s="999"/>
      <c r="LON855" s="999"/>
      <c r="LOO855" s="999"/>
      <c r="LOP855" s="999"/>
      <c r="LOQ855" s="999"/>
      <c r="LOR855" s="999"/>
      <c r="LOS855" s="999"/>
      <c r="LOT855" s="999"/>
      <c r="LOU855" s="999"/>
      <c r="LOV855" s="999"/>
      <c r="LOW855" s="999"/>
      <c r="LOX855" s="999"/>
      <c r="LOY855" s="999"/>
      <c r="LOZ855" s="999"/>
      <c r="LPA855" s="999"/>
      <c r="LPB855" s="999"/>
      <c r="LPC855" s="999"/>
      <c r="LPD855" s="999"/>
      <c r="LPE855" s="999"/>
      <c r="LPF855" s="999"/>
      <c r="LPG855" s="999"/>
      <c r="LPH855" s="999"/>
      <c r="LPI855" s="999"/>
      <c r="LPJ855" s="999"/>
      <c r="LPK855" s="999"/>
      <c r="LPL855" s="999"/>
      <c r="LPM855" s="999"/>
      <c r="LPN855" s="999"/>
      <c r="LPO855" s="999"/>
      <c r="LPP855" s="999"/>
      <c r="LPQ855" s="999"/>
      <c r="LPR855" s="999"/>
      <c r="LPS855" s="999"/>
      <c r="LPT855" s="999"/>
      <c r="LPU855" s="999"/>
      <c r="LPV855" s="999"/>
      <c r="LPW855" s="999"/>
      <c r="LPX855" s="999"/>
      <c r="LPY855" s="999"/>
      <c r="LPZ855" s="999"/>
      <c r="LQA855" s="999"/>
      <c r="LQB855" s="999"/>
      <c r="LQC855" s="999"/>
      <c r="LQD855" s="999"/>
      <c r="LQE855" s="999"/>
      <c r="LQF855" s="999"/>
      <c r="LQG855" s="999"/>
      <c r="LQH855" s="999"/>
      <c r="LQI855" s="999"/>
      <c r="LQJ855" s="999"/>
      <c r="LQK855" s="999"/>
      <c r="LQL855" s="999"/>
      <c r="LQM855" s="999"/>
      <c r="LQN855" s="999"/>
      <c r="LQO855" s="999"/>
      <c r="LQP855" s="999"/>
      <c r="LQQ855" s="999"/>
      <c r="LQR855" s="999"/>
      <c r="LQS855" s="999"/>
      <c r="LQT855" s="999"/>
      <c r="LQU855" s="999"/>
      <c r="LQV855" s="999"/>
      <c r="LQW855" s="999"/>
      <c r="LQX855" s="999"/>
      <c r="LQY855" s="999"/>
      <c r="LQZ855" s="999"/>
      <c r="LRA855" s="999"/>
      <c r="LRB855" s="999"/>
      <c r="LRC855" s="999"/>
      <c r="LRD855" s="999"/>
      <c r="LRE855" s="999"/>
      <c r="LRF855" s="999"/>
      <c r="LRG855" s="999"/>
      <c r="LRH855" s="999"/>
      <c r="LRI855" s="999"/>
      <c r="LRJ855" s="999"/>
      <c r="LRK855" s="999"/>
      <c r="LRL855" s="999"/>
      <c r="LRM855" s="999"/>
      <c r="LRN855" s="999"/>
      <c r="LRO855" s="999"/>
      <c r="LRP855" s="999"/>
      <c r="LRQ855" s="999"/>
      <c r="LRR855" s="999"/>
      <c r="LRS855" s="999"/>
      <c r="LRT855" s="999"/>
      <c r="LRU855" s="999"/>
      <c r="LRV855" s="999"/>
      <c r="LRW855" s="999"/>
      <c r="LRX855" s="999"/>
      <c r="LRY855" s="999"/>
      <c r="LRZ855" s="999"/>
      <c r="LSA855" s="999"/>
      <c r="LSB855" s="999"/>
      <c r="LSC855" s="999"/>
      <c r="LSD855" s="999"/>
      <c r="LSE855" s="999"/>
      <c r="LSF855" s="999"/>
      <c r="LSG855" s="999"/>
      <c r="LSH855" s="999"/>
      <c r="LSI855" s="999"/>
      <c r="LSJ855" s="999"/>
      <c r="LSK855" s="999"/>
      <c r="LSL855" s="999"/>
      <c r="LSM855" s="999"/>
      <c r="LSN855" s="999"/>
      <c r="LSO855" s="999"/>
      <c r="LSP855" s="999"/>
      <c r="LSQ855" s="999"/>
      <c r="LSR855" s="999"/>
      <c r="LSS855" s="999"/>
      <c r="LST855" s="999"/>
      <c r="LSU855" s="999"/>
      <c r="LSV855" s="999"/>
      <c r="LSW855" s="999"/>
      <c r="LSX855" s="999"/>
      <c r="LSY855" s="999"/>
      <c r="LSZ855" s="999"/>
      <c r="LTA855" s="999"/>
      <c r="LTB855" s="999"/>
      <c r="LTC855" s="999"/>
      <c r="LTD855" s="999"/>
      <c r="LTE855" s="999"/>
      <c r="LTF855" s="999"/>
      <c r="LTG855" s="999"/>
      <c r="LTH855" s="999"/>
      <c r="LTI855" s="999"/>
      <c r="LTJ855" s="999"/>
      <c r="LTK855" s="999"/>
      <c r="LTL855" s="999"/>
      <c r="LTM855" s="999"/>
      <c r="LTN855" s="999"/>
      <c r="LTO855" s="999"/>
      <c r="LTP855" s="999"/>
      <c r="LTQ855" s="999"/>
      <c r="LTR855" s="999"/>
      <c r="LTS855" s="999"/>
      <c r="LTT855" s="999"/>
      <c r="LTU855" s="999"/>
      <c r="LTV855" s="999"/>
      <c r="LTW855" s="999"/>
      <c r="LTX855" s="999"/>
      <c r="LTY855" s="999"/>
      <c r="LTZ855" s="999"/>
      <c r="LUA855" s="999"/>
      <c r="LUB855" s="999"/>
      <c r="LUC855" s="999"/>
      <c r="LUD855" s="999"/>
      <c r="LUE855" s="999"/>
      <c r="LUF855" s="999"/>
      <c r="LUG855" s="999"/>
      <c r="LUH855" s="999"/>
      <c r="LUI855" s="999"/>
      <c r="LUJ855" s="999"/>
      <c r="LUK855" s="999"/>
      <c r="LUL855" s="999"/>
      <c r="LUM855" s="999"/>
      <c r="LUN855" s="999"/>
      <c r="LUO855" s="999"/>
      <c r="LUP855" s="999"/>
      <c r="LUQ855" s="999"/>
      <c r="LUR855" s="999"/>
      <c r="LUS855" s="999"/>
      <c r="LUT855" s="999"/>
      <c r="LUU855" s="999"/>
      <c r="LUV855" s="999"/>
      <c r="LUW855" s="999"/>
      <c r="LUX855" s="999"/>
      <c r="LUY855" s="999"/>
      <c r="LUZ855" s="999"/>
      <c r="LVA855" s="999"/>
      <c r="LVB855" s="999"/>
      <c r="LVC855" s="999"/>
      <c r="LVD855" s="999"/>
      <c r="LVE855" s="999"/>
      <c r="LVF855" s="999"/>
      <c r="LVG855" s="999"/>
      <c r="LVH855" s="999"/>
      <c r="LVI855" s="999"/>
      <c r="LVJ855" s="999"/>
      <c r="LVK855" s="999"/>
      <c r="LVL855" s="999"/>
      <c r="LVM855" s="999"/>
      <c r="LVN855" s="999"/>
      <c r="LVO855" s="999"/>
      <c r="LVP855" s="999"/>
      <c r="LVQ855" s="999"/>
      <c r="LVR855" s="999"/>
      <c r="LVS855" s="999"/>
      <c r="LVT855" s="999"/>
      <c r="LVU855" s="999"/>
      <c r="LVV855" s="999"/>
      <c r="LVW855" s="999"/>
      <c r="LVX855" s="999"/>
      <c r="LVY855" s="999"/>
      <c r="LVZ855" s="999"/>
      <c r="LWA855" s="999"/>
      <c r="LWB855" s="999"/>
      <c r="LWC855" s="999"/>
      <c r="LWD855" s="999"/>
      <c r="LWE855" s="999"/>
      <c r="LWF855" s="999"/>
      <c r="LWG855" s="999"/>
      <c r="LWH855" s="999"/>
      <c r="LWI855" s="999"/>
      <c r="LWJ855" s="999"/>
      <c r="LWK855" s="999"/>
      <c r="LWL855" s="999"/>
      <c r="LWM855" s="999"/>
      <c r="LWN855" s="999"/>
      <c r="LWO855" s="999"/>
      <c r="LWP855" s="999"/>
      <c r="LWQ855" s="999"/>
      <c r="LWR855" s="999"/>
      <c r="LWS855" s="999"/>
      <c r="LWT855" s="999"/>
      <c r="LWU855" s="999"/>
      <c r="LWV855" s="999"/>
      <c r="LWW855" s="999"/>
      <c r="LWX855" s="999"/>
      <c r="LWY855" s="999"/>
      <c r="LWZ855" s="999"/>
      <c r="LXA855" s="999"/>
      <c r="LXB855" s="999"/>
      <c r="LXC855" s="999"/>
      <c r="LXD855" s="999"/>
      <c r="LXE855" s="999"/>
      <c r="LXF855" s="999"/>
      <c r="LXG855" s="999"/>
      <c r="LXH855" s="999"/>
      <c r="LXI855" s="999"/>
      <c r="LXJ855" s="999"/>
      <c r="LXK855" s="999"/>
      <c r="LXL855" s="999"/>
      <c r="LXM855" s="999"/>
      <c r="LXN855" s="999"/>
      <c r="LXO855" s="999"/>
      <c r="LXP855" s="999"/>
      <c r="LXQ855" s="999"/>
      <c r="LXR855" s="999"/>
      <c r="LXS855" s="999"/>
      <c r="LXT855" s="999"/>
      <c r="LXU855" s="999"/>
      <c r="LXV855" s="999"/>
      <c r="LXW855" s="999"/>
      <c r="LXX855" s="999"/>
      <c r="LXY855" s="999"/>
      <c r="LXZ855" s="999"/>
      <c r="LYA855" s="999"/>
      <c r="LYB855" s="999"/>
      <c r="LYC855" s="999"/>
      <c r="LYD855" s="999"/>
      <c r="LYE855" s="999"/>
      <c r="LYF855" s="999"/>
      <c r="LYG855" s="999"/>
      <c r="LYH855" s="999"/>
      <c r="LYI855" s="999"/>
      <c r="LYJ855" s="999"/>
      <c r="LYK855" s="999"/>
      <c r="LYL855" s="999"/>
      <c r="LYM855" s="999"/>
      <c r="LYN855" s="999"/>
      <c r="LYO855" s="999"/>
      <c r="LYP855" s="999"/>
      <c r="LYQ855" s="999"/>
      <c r="LYR855" s="999"/>
      <c r="LYS855" s="999"/>
      <c r="LYT855" s="999"/>
      <c r="LYU855" s="999"/>
      <c r="LYV855" s="999"/>
      <c r="LYW855" s="999"/>
      <c r="LYX855" s="999"/>
      <c r="LYY855" s="999"/>
      <c r="LYZ855" s="999"/>
      <c r="LZA855" s="999"/>
      <c r="LZB855" s="999"/>
      <c r="LZC855" s="999"/>
      <c r="LZD855" s="999"/>
      <c r="LZE855" s="999"/>
      <c r="LZF855" s="999"/>
      <c r="LZG855" s="999"/>
      <c r="LZH855" s="999"/>
      <c r="LZI855" s="999"/>
      <c r="LZJ855" s="999"/>
      <c r="LZK855" s="999"/>
      <c r="LZL855" s="999"/>
      <c r="LZM855" s="999"/>
      <c r="LZN855" s="999"/>
      <c r="LZO855" s="999"/>
      <c r="LZP855" s="999"/>
      <c r="LZQ855" s="999"/>
      <c r="LZR855" s="999"/>
      <c r="LZS855" s="999"/>
      <c r="LZT855" s="999"/>
      <c r="LZU855" s="999"/>
      <c r="LZV855" s="999"/>
      <c r="LZW855" s="999"/>
      <c r="LZX855" s="999"/>
      <c r="LZY855" s="999"/>
      <c r="LZZ855" s="999"/>
      <c r="MAA855" s="999"/>
      <c r="MAB855" s="999"/>
      <c r="MAC855" s="999"/>
      <c r="MAD855" s="999"/>
      <c r="MAE855" s="999"/>
      <c r="MAF855" s="999"/>
      <c r="MAG855" s="999"/>
      <c r="MAH855" s="999"/>
      <c r="MAI855" s="999"/>
      <c r="MAJ855" s="999"/>
      <c r="MAK855" s="999"/>
      <c r="MAL855" s="999"/>
      <c r="MAM855" s="999"/>
      <c r="MAN855" s="999"/>
      <c r="MAO855" s="999"/>
      <c r="MAP855" s="999"/>
      <c r="MAQ855" s="999"/>
      <c r="MAR855" s="999"/>
      <c r="MAS855" s="999"/>
      <c r="MAT855" s="999"/>
      <c r="MAU855" s="999"/>
      <c r="MAV855" s="999"/>
      <c r="MAW855" s="999"/>
      <c r="MAX855" s="999"/>
      <c r="MAY855" s="999"/>
      <c r="MAZ855" s="999"/>
      <c r="MBA855" s="999"/>
      <c r="MBB855" s="999"/>
      <c r="MBC855" s="999"/>
      <c r="MBD855" s="999"/>
      <c r="MBE855" s="999"/>
      <c r="MBF855" s="999"/>
      <c r="MBG855" s="999"/>
      <c r="MBH855" s="999"/>
      <c r="MBI855" s="999"/>
      <c r="MBJ855" s="999"/>
      <c r="MBK855" s="999"/>
      <c r="MBL855" s="999"/>
      <c r="MBM855" s="999"/>
      <c r="MBN855" s="999"/>
      <c r="MBO855" s="999"/>
      <c r="MBP855" s="999"/>
      <c r="MBQ855" s="999"/>
      <c r="MBR855" s="999"/>
      <c r="MBS855" s="999"/>
      <c r="MBT855" s="999"/>
      <c r="MBU855" s="999"/>
      <c r="MBV855" s="999"/>
      <c r="MBW855" s="999"/>
      <c r="MBX855" s="999"/>
      <c r="MBY855" s="999"/>
      <c r="MBZ855" s="999"/>
      <c r="MCA855" s="999"/>
      <c r="MCB855" s="999"/>
      <c r="MCC855" s="999"/>
      <c r="MCD855" s="999"/>
      <c r="MCE855" s="999"/>
      <c r="MCF855" s="999"/>
      <c r="MCG855" s="999"/>
      <c r="MCH855" s="999"/>
      <c r="MCI855" s="999"/>
      <c r="MCJ855" s="999"/>
      <c r="MCK855" s="999"/>
      <c r="MCL855" s="999"/>
      <c r="MCM855" s="999"/>
      <c r="MCN855" s="999"/>
      <c r="MCO855" s="999"/>
      <c r="MCP855" s="999"/>
      <c r="MCQ855" s="999"/>
      <c r="MCR855" s="999"/>
      <c r="MCS855" s="999"/>
      <c r="MCT855" s="999"/>
      <c r="MCU855" s="999"/>
      <c r="MCV855" s="999"/>
      <c r="MCW855" s="999"/>
      <c r="MCX855" s="999"/>
      <c r="MCY855" s="999"/>
      <c r="MCZ855" s="999"/>
      <c r="MDA855" s="999"/>
      <c r="MDB855" s="999"/>
      <c r="MDC855" s="999"/>
      <c r="MDD855" s="999"/>
      <c r="MDE855" s="999"/>
      <c r="MDF855" s="999"/>
      <c r="MDG855" s="999"/>
      <c r="MDH855" s="999"/>
      <c r="MDI855" s="999"/>
      <c r="MDJ855" s="999"/>
      <c r="MDK855" s="999"/>
      <c r="MDL855" s="999"/>
      <c r="MDM855" s="999"/>
      <c r="MDN855" s="999"/>
      <c r="MDO855" s="999"/>
      <c r="MDP855" s="999"/>
      <c r="MDQ855" s="999"/>
      <c r="MDR855" s="999"/>
      <c r="MDS855" s="999"/>
      <c r="MDT855" s="999"/>
      <c r="MDU855" s="999"/>
      <c r="MDV855" s="999"/>
      <c r="MDW855" s="999"/>
      <c r="MDX855" s="999"/>
      <c r="MDY855" s="999"/>
      <c r="MDZ855" s="999"/>
      <c r="MEA855" s="999"/>
      <c r="MEB855" s="999"/>
      <c r="MEC855" s="999"/>
      <c r="MED855" s="999"/>
      <c r="MEE855" s="999"/>
      <c r="MEF855" s="999"/>
      <c r="MEG855" s="999"/>
      <c r="MEH855" s="999"/>
      <c r="MEI855" s="999"/>
      <c r="MEJ855" s="999"/>
      <c r="MEK855" s="999"/>
      <c r="MEL855" s="999"/>
      <c r="MEM855" s="999"/>
      <c r="MEN855" s="999"/>
      <c r="MEO855" s="999"/>
      <c r="MEP855" s="999"/>
      <c r="MEQ855" s="999"/>
      <c r="MER855" s="999"/>
      <c r="MES855" s="999"/>
      <c r="MET855" s="999"/>
      <c r="MEU855" s="999"/>
      <c r="MEV855" s="999"/>
      <c r="MEW855" s="999"/>
      <c r="MEX855" s="999"/>
      <c r="MEY855" s="999"/>
      <c r="MEZ855" s="999"/>
      <c r="MFA855" s="999"/>
      <c r="MFB855" s="999"/>
      <c r="MFC855" s="999"/>
      <c r="MFD855" s="999"/>
      <c r="MFE855" s="999"/>
      <c r="MFF855" s="999"/>
      <c r="MFG855" s="999"/>
      <c r="MFH855" s="999"/>
      <c r="MFI855" s="999"/>
      <c r="MFJ855" s="999"/>
      <c r="MFK855" s="999"/>
      <c r="MFL855" s="999"/>
      <c r="MFM855" s="999"/>
      <c r="MFN855" s="999"/>
      <c r="MFO855" s="999"/>
      <c r="MFP855" s="999"/>
      <c r="MFQ855" s="999"/>
      <c r="MFR855" s="999"/>
      <c r="MFS855" s="999"/>
      <c r="MFT855" s="999"/>
      <c r="MFU855" s="999"/>
      <c r="MFV855" s="999"/>
      <c r="MFW855" s="999"/>
      <c r="MFX855" s="999"/>
      <c r="MFY855" s="999"/>
      <c r="MFZ855" s="999"/>
      <c r="MGA855" s="999"/>
      <c r="MGB855" s="999"/>
      <c r="MGC855" s="999"/>
      <c r="MGD855" s="999"/>
      <c r="MGE855" s="999"/>
      <c r="MGF855" s="999"/>
      <c r="MGG855" s="999"/>
      <c r="MGH855" s="999"/>
      <c r="MGI855" s="999"/>
      <c r="MGJ855" s="999"/>
      <c r="MGK855" s="999"/>
      <c r="MGL855" s="999"/>
      <c r="MGM855" s="999"/>
      <c r="MGN855" s="999"/>
      <c r="MGO855" s="999"/>
      <c r="MGP855" s="999"/>
      <c r="MGQ855" s="999"/>
      <c r="MGR855" s="999"/>
      <c r="MGS855" s="999"/>
      <c r="MGT855" s="999"/>
      <c r="MGU855" s="999"/>
      <c r="MGV855" s="999"/>
      <c r="MGW855" s="999"/>
      <c r="MGX855" s="999"/>
      <c r="MGY855" s="999"/>
      <c r="MGZ855" s="999"/>
      <c r="MHA855" s="999"/>
      <c r="MHB855" s="999"/>
      <c r="MHC855" s="999"/>
      <c r="MHD855" s="999"/>
      <c r="MHE855" s="999"/>
      <c r="MHF855" s="999"/>
      <c r="MHG855" s="999"/>
      <c r="MHH855" s="999"/>
      <c r="MHI855" s="999"/>
      <c r="MHJ855" s="999"/>
      <c r="MHK855" s="999"/>
      <c r="MHL855" s="999"/>
      <c r="MHM855" s="999"/>
      <c r="MHN855" s="999"/>
      <c r="MHO855" s="999"/>
      <c r="MHP855" s="999"/>
      <c r="MHQ855" s="999"/>
      <c r="MHR855" s="999"/>
      <c r="MHS855" s="999"/>
      <c r="MHT855" s="999"/>
      <c r="MHU855" s="999"/>
      <c r="MHV855" s="999"/>
      <c r="MHW855" s="999"/>
      <c r="MHX855" s="999"/>
      <c r="MHY855" s="999"/>
      <c r="MHZ855" s="999"/>
      <c r="MIA855" s="999"/>
      <c r="MIB855" s="999"/>
      <c r="MIC855" s="999"/>
      <c r="MID855" s="999"/>
      <c r="MIE855" s="999"/>
      <c r="MIF855" s="999"/>
      <c r="MIG855" s="999"/>
      <c r="MIH855" s="999"/>
      <c r="MII855" s="999"/>
      <c r="MIJ855" s="999"/>
      <c r="MIK855" s="999"/>
      <c r="MIL855" s="999"/>
      <c r="MIM855" s="999"/>
      <c r="MIN855" s="999"/>
      <c r="MIO855" s="999"/>
      <c r="MIP855" s="999"/>
      <c r="MIQ855" s="999"/>
      <c r="MIR855" s="999"/>
      <c r="MIS855" s="999"/>
      <c r="MIT855" s="999"/>
      <c r="MIU855" s="999"/>
      <c r="MIV855" s="999"/>
      <c r="MIW855" s="999"/>
      <c r="MIX855" s="999"/>
      <c r="MIY855" s="999"/>
      <c r="MIZ855" s="999"/>
      <c r="MJA855" s="999"/>
      <c r="MJB855" s="999"/>
      <c r="MJC855" s="999"/>
      <c r="MJD855" s="999"/>
      <c r="MJE855" s="999"/>
      <c r="MJF855" s="999"/>
      <c r="MJG855" s="999"/>
      <c r="MJH855" s="999"/>
      <c r="MJI855" s="999"/>
      <c r="MJJ855" s="999"/>
      <c r="MJK855" s="999"/>
      <c r="MJL855" s="999"/>
      <c r="MJM855" s="999"/>
      <c r="MJN855" s="999"/>
      <c r="MJO855" s="999"/>
      <c r="MJP855" s="999"/>
      <c r="MJQ855" s="999"/>
      <c r="MJR855" s="999"/>
      <c r="MJS855" s="999"/>
      <c r="MJT855" s="999"/>
      <c r="MJU855" s="999"/>
      <c r="MJV855" s="999"/>
      <c r="MJW855" s="999"/>
      <c r="MJX855" s="999"/>
      <c r="MJY855" s="999"/>
      <c r="MJZ855" s="999"/>
      <c r="MKA855" s="999"/>
      <c r="MKB855" s="999"/>
      <c r="MKC855" s="999"/>
      <c r="MKD855" s="999"/>
      <c r="MKE855" s="999"/>
      <c r="MKF855" s="999"/>
      <c r="MKG855" s="999"/>
      <c r="MKH855" s="999"/>
      <c r="MKI855" s="999"/>
      <c r="MKJ855" s="999"/>
      <c r="MKK855" s="999"/>
      <c r="MKL855" s="999"/>
      <c r="MKM855" s="999"/>
      <c r="MKN855" s="999"/>
      <c r="MKO855" s="999"/>
      <c r="MKP855" s="999"/>
      <c r="MKQ855" s="999"/>
      <c r="MKR855" s="999"/>
      <c r="MKS855" s="999"/>
      <c r="MKT855" s="999"/>
      <c r="MKU855" s="999"/>
      <c r="MKV855" s="999"/>
      <c r="MKW855" s="999"/>
      <c r="MKX855" s="999"/>
      <c r="MKY855" s="999"/>
      <c r="MKZ855" s="999"/>
      <c r="MLA855" s="999"/>
      <c r="MLB855" s="999"/>
      <c r="MLC855" s="999"/>
      <c r="MLD855" s="999"/>
      <c r="MLE855" s="999"/>
      <c r="MLF855" s="999"/>
      <c r="MLG855" s="999"/>
      <c r="MLH855" s="999"/>
      <c r="MLI855" s="999"/>
      <c r="MLJ855" s="999"/>
      <c r="MLK855" s="999"/>
      <c r="MLL855" s="999"/>
      <c r="MLM855" s="999"/>
      <c r="MLN855" s="999"/>
      <c r="MLO855" s="999"/>
      <c r="MLP855" s="999"/>
      <c r="MLQ855" s="999"/>
      <c r="MLR855" s="999"/>
      <c r="MLS855" s="999"/>
      <c r="MLT855" s="999"/>
      <c r="MLU855" s="999"/>
      <c r="MLV855" s="999"/>
      <c r="MLW855" s="999"/>
      <c r="MLX855" s="999"/>
      <c r="MLY855" s="999"/>
      <c r="MLZ855" s="999"/>
      <c r="MMA855" s="999"/>
      <c r="MMB855" s="999"/>
      <c r="MMC855" s="999"/>
      <c r="MMD855" s="999"/>
      <c r="MME855" s="999"/>
      <c r="MMF855" s="999"/>
      <c r="MMG855" s="999"/>
      <c r="MMH855" s="999"/>
      <c r="MMI855" s="999"/>
      <c r="MMJ855" s="999"/>
      <c r="MMK855" s="999"/>
      <c r="MML855" s="999"/>
      <c r="MMM855" s="999"/>
      <c r="MMN855" s="999"/>
      <c r="MMO855" s="999"/>
      <c r="MMP855" s="999"/>
      <c r="MMQ855" s="999"/>
      <c r="MMR855" s="999"/>
      <c r="MMS855" s="999"/>
      <c r="MMT855" s="999"/>
      <c r="MMU855" s="999"/>
      <c r="MMV855" s="999"/>
      <c r="MMW855" s="999"/>
      <c r="MMX855" s="999"/>
      <c r="MMY855" s="999"/>
      <c r="MMZ855" s="999"/>
      <c r="MNA855" s="999"/>
      <c r="MNB855" s="999"/>
      <c r="MNC855" s="999"/>
      <c r="MND855" s="999"/>
      <c r="MNE855" s="999"/>
      <c r="MNF855" s="999"/>
      <c r="MNG855" s="999"/>
      <c r="MNH855" s="999"/>
      <c r="MNI855" s="999"/>
      <c r="MNJ855" s="999"/>
      <c r="MNK855" s="999"/>
      <c r="MNL855" s="999"/>
      <c r="MNM855" s="999"/>
      <c r="MNN855" s="999"/>
      <c r="MNO855" s="999"/>
      <c r="MNP855" s="999"/>
      <c r="MNQ855" s="999"/>
      <c r="MNR855" s="999"/>
      <c r="MNS855" s="999"/>
      <c r="MNT855" s="999"/>
      <c r="MNU855" s="999"/>
      <c r="MNV855" s="999"/>
      <c r="MNW855" s="999"/>
      <c r="MNX855" s="999"/>
      <c r="MNY855" s="999"/>
      <c r="MNZ855" s="999"/>
      <c r="MOA855" s="999"/>
      <c r="MOB855" s="999"/>
      <c r="MOC855" s="999"/>
      <c r="MOD855" s="999"/>
      <c r="MOE855" s="999"/>
      <c r="MOF855" s="999"/>
      <c r="MOG855" s="999"/>
      <c r="MOH855" s="999"/>
      <c r="MOI855" s="999"/>
      <c r="MOJ855" s="999"/>
      <c r="MOK855" s="999"/>
      <c r="MOL855" s="999"/>
      <c r="MOM855" s="999"/>
      <c r="MON855" s="999"/>
      <c r="MOO855" s="999"/>
      <c r="MOP855" s="999"/>
      <c r="MOQ855" s="999"/>
      <c r="MOR855" s="999"/>
      <c r="MOS855" s="999"/>
      <c r="MOT855" s="999"/>
      <c r="MOU855" s="999"/>
      <c r="MOV855" s="999"/>
      <c r="MOW855" s="999"/>
      <c r="MOX855" s="999"/>
      <c r="MOY855" s="999"/>
      <c r="MOZ855" s="999"/>
      <c r="MPA855" s="999"/>
      <c r="MPB855" s="999"/>
      <c r="MPC855" s="999"/>
      <c r="MPD855" s="999"/>
      <c r="MPE855" s="999"/>
      <c r="MPF855" s="999"/>
      <c r="MPG855" s="999"/>
      <c r="MPH855" s="999"/>
      <c r="MPI855" s="999"/>
      <c r="MPJ855" s="999"/>
      <c r="MPK855" s="999"/>
      <c r="MPL855" s="999"/>
      <c r="MPM855" s="999"/>
      <c r="MPN855" s="999"/>
      <c r="MPO855" s="999"/>
      <c r="MPP855" s="999"/>
      <c r="MPQ855" s="999"/>
      <c r="MPR855" s="999"/>
      <c r="MPS855" s="999"/>
      <c r="MPT855" s="999"/>
      <c r="MPU855" s="999"/>
      <c r="MPV855" s="999"/>
      <c r="MPW855" s="999"/>
      <c r="MPX855" s="999"/>
      <c r="MPY855" s="999"/>
      <c r="MPZ855" s="999"/>
      <c r="MQA855" s="999"/>
      <c r="MQB855" s="999"/>
      <c r="MQC855" s="999"/>
      <c r="MQD855" s="999"/>
      <c r="MQE855" s="999"/>
      <c r="MQF855" s="999"/>
      <c r="MQG855" s="999"/>
      <c r="MQH855" s="999"/>
      <c r="MQI855" s="999"/>
      <c r="MQJ855" s="999"/>
      <c r="MQK855" s="999"/>
      <c r="MQL855" s="999"/>
      <c r="MQM855" s="999"/>
      <c r="MQN855" s="999"/>
      <c r="MQO855" s="999"/>
      <c r="MQP855" s="999"/>
      <c r="MQQ855" s="999"/>
      <c r="MQR855" s="999"/>
      <c r="MQS855" s="999"/>
      <c r="MQT855" s="999"/>
      <c r="MQU855" s="999"/>
      <c r="MQV855" s="999"/>
      <c r="MQW855" s="999"/>
      <c r="MQX855" s="999"/>
      <c r="MQY855" s="999"/>
      <c r="MQZ855" s="999"/>
      <c r="MRA855" s="999"/>
      <c r="MRB855" s="999"/>
      <c r="MRC855" s="999"/>
      <c r="MRD855" s="999"/>
      <c r="MRE855" s="999"/>
      <c r="MRF855" s="999"/>
      <c r="MRG855" s="999"/>
      <c r="MRH855" s="999"/>
      <c r="MRI855" s="999"/>
      <c r="MRJ855" s="999"/>
      <c r="MRK855" s="999"/>
      <c r="MRL855" s="999"/>
      <c r="MRM855" s="999"/>
      <c r="MRN855" s="999"/>
      <c r="MRO855" s="999"/>
      <c r="MRP855" s="999"/>
      <c r="MRQ855" s="999"/>
      <c r="MRR855" s="999"/>
      <c r="MRS855" s="999"/>
      <c r="MRT855" s="999"/>
      <c r="MRU855" s="999"/>
      <c r="MRV855" s="999"/>
      <c r="MRW855" s="999"/>
      <c r="MRX855" s="999"/>
      <c r="MRY855" s="999"/>
      <c r="MRZ855" s="999"/>
      <c r="MSA855" s="999"/>
      <c r="MSB855" s="999"/>
      <c r="MSC855" s="999"/>
      <c r="MSD855" s="999"/>
      <c r="MSE855" s="999"/>
      <c r="MSF855" s="999"/>
      <c r="MSG855" s="999"/>
      <c r="MSH855" s="999"/>
      <c r="MSI855" s="999"/>
      <c r="MSJ855" s="999"/>
      <c r="MSK855" s="999"/>
      <c r="MSL855" s="999"/>
      <c r="MSM855" s="999"/>
      <c r="MSN855" s="999"/>
      <c r="MSO855" s="999"/>
      <c r="MSP855" s="999"/>
      <c r="MSQ855" s="999"/>
      <c r="MSR855" s="999"/>
      <c r="MSS855" s="999"/>
      <c r="MST855" s="999"/>
      <c r="MSU855" s="999"/>
      <c r="MSV855" s="999"/>
      <c r="MSW855" s="999"/>
      <c r="MSX855" s="999"/>
      <c r="MSY855" s="999"/>
      <c r="MSZ855" s="999"/>
      <c r="MTA855" s="999"/>
      <c r="MTB855" s="999"/>
      <c r="MTC855" s="999"/>
      <c r="MTD855" s="999"/>
      <c r="MTE855" s="999"/>
      <c r="MTF855" s="999"/>
      <c r="MTG855" s="999"/>
      <c r="MTH855" s="999"/>
      <c r="MTI855" s="999"/>
      <c r="MTJ855" s="999"/>
      <c r="MTK855" s="999"/>
      <c r="MTL855" s="999"/>
      <c r="MTM855" s="999"/>
      <c r="MTN855" s="999"/>
      <c r="MTO855" s="999"/>
      <c r="MTP855" s="999"/>
      <c r="MTQ855" s="999"/>
      <c r="MTR855" s="999"/>
      <c r="MTS855" s="999"/>
      <c r="MTT855" s="999"/>
      <c r="MTU855" s="999"/>
      <c r="MTV855" s="999"/>
      <c r="MTW855" s="999"/>
      <c r="MTX855" s="999"/>
      <c r="MTY855" s="999"/>
      <c r="MTZ855" s="999"/>
      <c r="MUA855" s="999"/>
      <c r="MUB855" s="999"/>
      <c r="MUC855" s="999"/>
      <c r="MUD855" s="999"/>
      <c r="MUE855" s="999"/>
      <c r="MUF855" s="999"/>
      <c r="MUG855" s="999"/>
      <c r="MUH855" s="999"/>
      <c r="MUI855" s="999"/>
      <c r="MUJ855" s="999"/>
      <c r="MUK855" s="999"/>
      <c r="MUL855" s="999"/>
      <c r="MUM855" s="999"/>
      <c r="MUN855" s="999"/>
      <c r="MUO855" s="999"/>
      <c r="MUP855" s="999"/>
      <c r="MUQ855" s="999"/>
      <c r="MUR855" s="999"/>
      <c r="MUS855" s="999"/>
      <c r="MUT855" s="999"/>
      <c r="MUU855" s="999"/>
      <c r="MUV855" s="999"/>
      <c r="MUW855" s="999"/>
      <c r="MUX855" s="999"/>
      <c r="MUY855" s="999"/>
      <c r="MUZ855" s="999"/>
      <c r="MVA855" s="999"/>
      <c r="MVB855" s="999"/>
      <c r="MVC855" s="999"/>
      <c r="MVD855" s="999"/>
      <c r="MVE855" s="999"/>
      <c r="MVF855" s="999"/>
      <c r="MVG855" s="999"/>
      <c r="MVH855" s="999"/>
      <c r="MVI855" s="999"/>
      <c r="MVJ855" s="999"/>
      <c r="MVK855" s="999"/>
      <c r="MVL855" s="999"/>
      <c r="MVM855" s="999"/>
      <c r="MVN855" s="999"/>
      <c r="MVO855" s="999"/>
      <c r="MVP855" s="999"/>
      <c r="MVQ855" s="999"/>
      <c r="MVR855" s="999"/>
      <c r="MVS855" s="999"/>
      <c r="MVT855" s="999"/>
      <c r="MVU855" s="999"/>
      <c r="MVV855" s="999"/>
      <c r="MVW855" s="999"/>
      <c r="MVX855" s="999"/>
      <c r="MVY855" s="999"/>
      <c r="MVZ855" s="999"/>
      <c r="MWA855" s="999"/>
      <c r="MWB855" s="999"/>
      <c r="MWC855" s="999"/>
      <c r="MWD855" s="999"/>
      <c r="MWE855" s="999"/>
      <c r="MWF855" s="999"/>
      <c r="MWG855" s="999"/>
      <c r="MWH855" s="999"/>
      <c r="MWI855" s="999"/>
      <c r="MWJ855" s="999"/>
      <c r="MWK855" s="999"/>
      <c r="MWL855" s="999"/>
      <c r="MWM855" s="999"/>
      <c r="MWN855" s="999"/>
      <c r="MWO855" s="999"/>
      <c r="MWP855" s="999"/>
      <c r="MWQ855" s="999"/>
      <c r="MWR855" s="999"/>
      <c r="MWS855" s="999"/>
      <c r="MWT855" s="999"/>
      <c r="MWU855" s="999"/>
      <c r="MWV855" s="999"/>
      <c r="MWW855" s="999"/>
      <c r="MWX855" s="999"/>
      <c r="MWY855" s="999"/>
      <c r="MWZ855" s="999"/>
      <c r="MXA855" s="999"/>
      <c r="MXB855" s="999"/>
      <c r="MXC855" s="999"/>
      <c r="MXD855" s="999"/>
      <c r="MXE855" s="999"/>
      <c r="MXF855" s="999"/>
      <c r="MXG855" s="999"/>
      <c r="MXH855" s="999"/>
      <c r="MXI855" s="999"/>
      <c r="MXJ855" s="999"/>
      <c r="MXK855" s="999"/>
      <c r="MXL855" s="999"/>
      <c r="MXM855" s="999"/>
      <c r="MXN855" s="999"/>
      <c r="MXO855" s="999"/>
      <c r="MXP855" s="999"/>
      <c r="MXQ855" s="999"/>
      <c r="MXR855" s="999"/>
      <c r="MXS855" s="999"/>
      <c r="MXT855" s="999"/>
      <c r="MXU855" s="999"/>
      <c r="MXV855" s="999"/>
      <c r="MXW855" s="999"/>
      <c r="MXX855" s="999"/>
      <c r="MXY855" s="999"/>
      <c r="MXZ855" s="999"/>
      <c r="MYA855" s="999"/>
      <c r="MYB855" s="999"/>
      <c r="MYC855" s="999"/>
      <c r="MYD855" s="999"/>
      <c r="MYE855" s="999"/>
      <c r="MYF855" s="999"/>
      <c r="MYG855" s="999"/>
      <c r="MYH855" s="999"/>
      <c r="MYI855" s="999"/>
      <c r="MYJ855" s="999"/>
      <c r="MYK855" s="999"/>
      <c r="MYL855" s="999"/>
      <c r="MYM855" s="999"/>
      <c r="MYN855" s="999"/>
      <c r="MYO855" s="999"/>
      <c r="MYP855" s="999"/>
      <c r="MYQ855" s="999"/>
      <c r="MYR855" s="999"/>
      <c r="MYS855" s="999"/>
      <c r="MYT855" s="999"/>
      <c r="MYU855" s="999"/>
      <c r="MYV855" s="999"/>
      <c r="MYW855" s="999"/>
      <c r="MYX855" s="999"/>
      <c r="MYY855" s="999"/>
      <c r="MYZ855" s="999"/>
      <c r="MZA855" s="999"/>
      <c r="MZB855" s="999"/>
      <c r="MZC855" s="999"/>
      <c r="MZD855" s="999"/>
      <c r="MZE855" s="999"/>
      <c r="MZF855" s="999"/>
      <c r="MZG855" s="999"/>
      <c r="MZH855" s="999"/>
      <c r="MZI855" s="999"/>
      <c r="MZJ855" s="999"/>
      <c r="MZK855" s="999"/>
      <c r="MZL855" s="999"/>
      <c r="MZM855" s="999"/>
      <c r="MZN855" s="999"/>
      <c r="MZO855" s="999"/>
      <c r="MZP855" s="999"/>
      <c r="MZQ855" s="999"/>
      <c r="MZR855" s="999"/>
      <c r="MZS855" s="999"/>
      <c r="MZT855" s="999"/>
      <c r="MZU855" s="999"/>
      <c r="MZV855" s="999"/>
      <c r="MZW855" s="999"/>
      <c r="MZX855" s="999"/>
      <c r="MZY855" s="999"/>
      <c r="MZZ855" s="999"/>
      <c r="NAA855" s="999"/>
      <c r="NAB855" s="999"/>
      <c r="NAC855" s="999"/>
      <c r="NAD855" s="999"/>
      <c r="NAE855" s="999"/>
      <c r="NAF855" s="999"/>
      <c r="NAG855" s="999"/>
      <c r="NAH855" s="999"/>
      <c r="NAI855" s="999"/>
      <c r="NAJ855" s="999"/>
      <c r="NAK855" s="999"/>
      <c r="NAL855" s="999"/>
      <c r="NAM855" s="999"/>
      <c r="NAN855" s="999"/>
      <c r="NAO855" s="999"/>
      <c r="NAP855" s="999"/>
      <c r="NAQ855" s="999"/>
      <c r="NAR855" s="999"/>
      <c r="NAS855" s="999"/>
      <c r="NAT855" s="999"/>
      <c r="NAU855" s="999"/>
      <c r="NAV855" s="999"/>
      <c r="NAW855" s="999"/>
      <c r="NAX855" s="999"/>
      <c r="NAY855" s="999"/>
      <c r="NAZ855" s="999"/>
      <c r="NBA855" s="999"/>
      <c r="NBB855" s="999"/>
      <c r="NBC855" s="999"/>
      <c r="NBD855" s="999"/>
      <c r="NBE855" s="999"/>
      <c r="NBF855" s="999"/>
      <c r="NBG855" s="999"/>
      <c r="NBH855" s="999"/>
      <c r="NBI855" s="999"/>
      <c r="NBJ855" s="999"/>
      <c r="NBK855" s="999"/>
      <c r="NBL855" s="999"/>
      <c r="NBM855" s="999"/>
      <c r="NBN855" s="999"/>
      <c r="NBO855" s="999"/>
      <c r="NBP855" s="999"/>
      <c r="NBQ855" s="999"/>
      <c r="NBR855" s="999"/>
      <c r="NBS855" s="999"/>
      <c r="NBT855" s="999"/>
      <c r="NBU855" s="999"/>
      <c r="NBV855" s="999"/>
      <c r="NBW855" s="999"/>
      <c r="NBX855" s="999"/>
      <c r="NBY855" s="999"/>
      <c r="NBZ855" s="999"/>
      <c r="NCA855" s="999"/>
      <c r="NCB855" s="999"/>
      <c r="NCC855" s="999"/>
      <c r="NCD855" s="999"/>
      <c r="NCE855" s="999"/>
      <c r="NCF855" s="999"/>
      <c r="NCG855" s="999"/>
      <c r="NCH855" s="999"/>
      <c r="NCI855" s="999"/>
      <c r="NCJ855" s="999"/>
      <c r="NCK855" s="999"/>
      <c r="NCL855" s="999"/>
      <c r="NCM855" s="999"/>
      <c r="NCN855" s="999"/>
      <c r="NCO855" s="999"/>
      <c r="NCP855" s="999"/>
      <c r="NCQ855" s="999"/>
      <c r="NCR855" s="999"/>
      <c r="NCS855" s="999"/>
      <c r="NCT855" s="999"/>
      <c r="NCU855" s="999"/>
      <c r="NCV855" s="999"/>
      <c r="NCW855" s="999"/>
      <c r="NCX855" s="999"/>
      <c r="NCY855" s="999"/>
      <c r="NCZ855" s="999"/>
      <c r="NDA855" s="999"/>
      <c r="NDB855" s="999"/>
      <c r="NDC855" s="999"/>
      <c r="NDD855" s="999"/>
      <c r="NDE855" s="999"/>
      <c r="NDF855" s="999"/>
      <c r="NDG855" s="999"/>
      <c r="NDH855" s="999"/>
      <c r="NDI855" s="999"/>
      <c r="NDJ855" s="999"/>
      <c r="NDK855" s="999"/>
      <c r="NDL855" s="999"/>
      <c r="NDM855" s="999"/>
      <c r="NDN855" s="999"/>
      <c r="NDO855" s="999"/>
      <c r="NDP855" s="999"/>
      <c r="NDQ855" s="999"/>
      <c r="NDR855" s="999"/>
      <c r="NDS855" s="999"/>
      <c r="NDT855" s="999"/>
      <c r="NDU855" s="999"/>
      <c r="NDV855" s="999"/>
      <c r="NDW855" s="999"/>
      <c r="NDX855" s="999"/>
      <c r="NDY855" s="999"/>
      <c r="NDZ855" s="999"/>
      <c r="NEA855" s="999"/>
      <c r="NEB855" s="999"/>
      <c r="NEC855" s="999"/>
      <c r="NED855" s="999"/>
      <c r="NEE855" s="999"/>
      <c r="NEF855" s="999"/>
      <c r="NEG855" s="999"/>
      <c r="NEH855" s="999"/>
      <c r="NEI855" s="999"/>
      <c r="NEJ855" s="999"/>
      <c r="NEK855" s="999"/>
      <c r="NEL855" s="999"/>
      <c r="NEM855" s="999"/>
      <c r="NEN855" s="999"/>
      <c r="NEO855" s="999"/>
      <c r="NEP855" s="999"/>
      <c r="NEQ855" s="999"/>
      <c r="NER855" s="999"/>
      <c r="NES855" s="999"/>
      <c r="NET855" s="999"/>
      <c r="NEU855" s="999"/>
      <c r="NEV855" s="999"/>
      <c r="NEW855" s="999"/>
      <c r="NEX855" s="999"/>
      <c r="NEY855" s="999"/>
      <c r="NEZ855" s="999"/>
      <c r="NFA855" s="999"/>
      <c r="NFB855" s="999"/>
      <c r="NFC855" s="999"/>
      <c r="NFD855" s="999"/>
      <c r="NFE855" s="999"/>
      <c r="NFF855" s="999"/>
      <c r="NFG855" s="999"/>
      <c r="NFH855" s="999"/>
      <c r="NFI855" s="999"/>
      <c r="NFJ855" s="999"/>
      <c r="NFK855" s="999"/>
      <c r="NFL855" s="999"/>
      <c r="NFM855" s="999"/>
      <c r="NFN855" s="999"/>
      <c r="NFO855" s="999"/>
      <c r="NFP855" s="999"/>
      <c r="NFQ855" s="999"/>
      <c r="NFR855" s="999"/>
      <c r="NFS855" s="999"/>
      <c r="NFT855" s="999"/>
      <c r="NFU855" s="999"/>
      <c r="NFV855" s="999"/>
      <c r="NFW855" s="999"/>
      <c r="NFX855" s="999"/>
      <c r="NFY855" s="999"/>
      <c r="NFZ855" s="999"/>
      <c r="NGA855" s="999"/>
      <c r="NGB855" s="999"/>
      <c r="NGC855" s="999"/>
      <c r="NGD855" s="999"/>
      <c r="NGE855" s="999"/>
      <c r="NGF855" s="999"/>
      <c r="NGG855" s="999"/>
      <c r="NGH855" s="999"/>
      <c r="NGI855" s="999"/>
      <c r="NGJ855" s="999"/>
      <c r="NGK855" s="999"/>
      <c r="NGL855" s="999"/>
      <c r="NGM855" s="999"/>
      <c r="NGN855" s="999"/>
      <c r="NGO855" s="999"/>
      <c r="NGP855" s="999"/>
      <c r="NGQ855" s="999"/>
      <c r="NGR855" s="999"/>
      <c r="NGS855" s="999"/>
      <c r="NGT855" s="999"/>
      <c r="NGU855" s="999"/>
      <c r="NGV855" s="999"/>
      <c r="NGW855" s="999"/>
      <c r="NGX855" s="999"/>
      <c r="NGY855" s="999"/>
      <c r="NGZ855" s="999"/>
      <c r="NHA855" s="999"/>
      <c r="NHB855" s="999"/>
      <c r="NHC855" s="999"/>
      <c r="NHD855" s="999"/>
      <c r="NHE855" s="999"/>
      <c r="NHF855" s="999"/>
      <c r="NHG855" s="999"/>
      <c r="NHH855" s="999"/>
      <c r="NHI855" s="999"/>
      <c r="NHJ855" s="999"/>
      <c r="NHK855" s="999"/>
      <c r="NHL855" s="999"/>
      <c r="NHM855" s="999"/>
      <c r="NHN855" s="999"/>
      <c r="NHO855" s="999"/>
      <c r="NHP855" s="999"/>
      <c r="NHQ855" s="999"/>
      <c r="NHR855" s="999"/>
      <c r="NHS855" s="999"/>
      <c r="NHT855" s="999"/>
      <c r="NHU855" s="999"/>
      <c r="NHV855" s="999"/>
      <c r="NHW855" s="999"/>
      <c r="NHX855" s="999"/>
      <c r="NHY855" s="999"/>
      <c r="NHZ855" s="999"/>
      <c r="NIA855" s="999"/>
      <c r="NIB855" s="999"/>
      <c r="NIC855" s="999"/>
      <c r="NID855" s="999"/>
      <c r="NIE855" s="999"/>
      <c r="NIF855" s="999"/>
      <c r="NIG855" s="999"/>
      <c r="NIH855" s="999"/>
      <c r="NII855" s="999"/>
      <c r="NIJ855" s="999"/>
      <c r="NIK855" s="999"/>
      <c r="NIL855" s="999"/>
      <c r="NIM855" s="999"/>
      <c r="NIN855" s="999"/>
      <c r="NIO855" s="999"/>
      <c r="NIP855" s="999"/>
      <c r="NIQ855" s="999"/>
      <c r="NIR855" s="999"/>
      <c r="NIS855" s="999"/>
      <c r="NIT855" s="999"/>
      <c r="NIU855" s="999"/>
      <c r="NIV855" s="999"/>
      <c r="NIW855" s="999"/>
      <c r="NIX855" s="999"/>
      <c r="NIY855" s="999"/>
      <c r="NIZ855" s="999"/>
      <c r="NJA855" s="999"/>
      <c r="NJB855" s="999"/>
      <c r="NJC855" s="999"/>
      <c r="NJD855" s="999"/>
      <c r="NJE855" s="999"/>
      <c r="NJF855" s="999"/>
      <c r="NJG855" s="999"/>
      <c r="NJH855" s="999"/>
      <c r="NJI855" s="999"/>
      <c r="NJJ855" s="999"/>
      <c r="NJK855" s="999"/>
      <c r="NJL855" s="999"/>
      <c r="NJM855" s="999"/>
      <c r="NJN855" s="999"/>
      <c r="NJO855" s="999"/>
      <c r="NJP855" s="999"/>
      <c r="NJQ855" s="999"/>
      <c r="NJR855" s="999"/>
      <c r="NJS855" s="999"/>
      <c r="NJT855" s="999"/>
      <c r="NJU855" s="999"/>
      <c r="NJV855" s="999"/>
      <c r="NJW855" s="999"/>
      <c r="NJX855" s="999"/>
      <c r="NJY855" s="999"/>
      <c r="NJZ855" s="999"/>
      <c r="NKA855" s="999"/>
      <c r="NKB855" s="999"/>
      <c r="NKC855" s="999"/>
      <c r="NKD855" s="999"/>
      <c r="NKE855" s="999"/>
      <c r="NKF855" s="999"/>
      <c r="NKG855" s="999"/>
      <c r="NKH855" s="999"/>
      <c r="NKI855" s="999"/>
      <c r="NKJ855" s="999"/>
      <c r="NKK855" s="999"/>
      <c r="NKL855" s="999"/>
      <c r="NKM855" s="999"/>
      <c r="NKN855" s="999"/>
      <c r="NKO855" s="999"/>
      <c r="NKP855" s="999"/>
      <c r="NKQ855" s="999"/>
      <c r="NKR855" s="999"/>
      <c r="NKS855" s="999"/>
      <c r="NKT855" s="999"/>
      <c r="NKU855" s="999"/>
      <c r="NKV855" s="999"/>
      <c r="NKW855" s="999"/>
      <c r="NKX855" s="999"/>
      <c r="NKY855" s="999"/>
      <c r="NKZ855" s="999"/>
      <c r="NLA855" s="999"/>
      <c r="NLB855" s="999"/>
      <c r="NLC855" s="999"/>
      <c r="NLD855" s="999"/>
      <c r="NLE855" s="999"/>
      <c r="NLF855" s="999"/>
      <c r="NLG855" s="999"/>
      <c r="NLH855" s="999"/>
      <c r="NLI855" s="999"/>
      <c r="NLJ855" s="999"/>
      <c r="NLK855" s="999"/>
      <c r="NLL855" s="999"/>
      <c r="NLM855" s="999"/>
      <c r="NLN855" s="999"/>
      <c r="NLO855" s="999"/>
      <c r="NLP855" s="999"/>
      <c r="NLQ855" s="999"/>
      <c r="NLR855" s="999"/>
      <c r="NLS855" s="999"/>
      <c r="NLT855" s="999"/>
      <c r="NLU855" s="999"/>
      <c r="NLV855" s="999"/>
      <c r="NLW855" s="999"/>
      <c r="NLX855" s="999"/>
      <c r="NLY855" s="999"/>
      <c r="NLZ855" s="999"/>
      <c r="NMA855" s="999"/>
      <c r="NMB855" s="999"/>
      <c r="NMC855" s="999"/>
      <c r="NMD855" s="999"/>
      <c r="NME855" s="999"/>
      <c r="NMF855" s="999"/>
      <c r="NMG855" s="999"/>
      <c r="NMH855" s="999"/>
      <c r="NMI855" s="999"/>
      <c r="NMJ855" s="999"/>
      <c r="NMK855" s="999"/>
      <c r="NML855" s="999"/>
      <c r="NMM855" s="999"/>
      <c r="NMN855" s="999"/>
      <c r="NMO855" s="999"/>
      <c r="NMP855" s="999"/>
      <c r="NMQ855" s="999"/>
      <c r="NMR855" s="999"/>
      <c r="NMS855" s="999"/>
      <c r="NMT855" s="999"/>
      <c r="NMU855" s="999"/>
      <c r="NMV855" s="999"/>
      <c r="NMW855" s="999"/>
      <c r="NMX855" s="999"/>
      <c r="NMY855" s="999"/>
      <c r="NMZ855" s="999"/>
      <c r="NNA855" s="999"/>
      <c r="NNB855" s="999"/>
      <c r="NNC855" s="999"/>
      <c r="NND855" s="999"/>
      <c r="NNE855" s="999"/>
      <c r="NNF855" s="999"/>
      <c r="NNG855" s="999"/>
      <c r="NNH855" s="999"/>
      <c r="NNI855" s="999"/>
      <c r="NNJ855" s="999"/>
      <c r="NNK855" s="999"/>
      <c r="NNL855" s="999"/>
      <c r="NNM855" s="999"/>
      <c r="NNN855" s="999"/>
      <c r="NNO855" s="999"/>
      <c r="NNP855" s="999"/>
      <c r="NNQ855" s="999"/>
      <c r="NNR855" s="999"/>
      <c r="NNS855" s="999"/>
      <c r="NNT855" s="999"/>
      <c r="NNU855" s="999"/>
      <c r="NNV855" s="999"/>
      <c r="NNW855" s="999"/>
      <c r="NNX855" s="999"/>
      <c r="NNY855" s="999"/>
      <c r="NNZ855" s="999"/>
      <c r="NOA855" s="999"/>
      <c r="NOB855" s="999"/>
      <c r="NOC855" s="999"/>
      <c r="NOD855" s="999"/>
      <c r="NOE855" s="999"/>
      <c r="NOF855" s="999"/>
      <c r="NOG855" s="999"/>
      <c r="NOH855" s="999"/>
      <c r="NOI855" s="999"/>
      <c r="NOJ855" s="999"/>
      <c r="NOK855" s="999"/>
      <c r="NOL855" s="999"/>
      <c r="NOM855" s="999"/>
      <c r="NON855" s="999"/>
      <c r="NOO855" s="999"/>
      <c r="NOP855" s="999"/>
      <c r="NOQ855" s="999"/>
      <c r="NOR855" s="999"/>
      <c r="NOS855" s="999"/>
      <c r="NOT855" s="999"/>
      <c r="NOU855" s="999"/>
      <c r="NOV855" s="999"/>
      <c r="NOW855" s="999"/>
      <c r="NOX855" s="999"/>
      <c r="NOY855" s="999"/>
      <c r="NOZ855" s="999"/>
      <c r="NPA855" s="999"/>
      <c r="NPB855" s="999"/>
      <c r="NPC855" s="999"/>
      <c r="NPD855" s="999"/>
      <c r="NPE855" s="999"/>
      <c r="NPF855" s="999"/>
      <c r="NPG855" s="999"/>
      <c r="NPH855" s="999"/>
      <c r="NPI855" s="999"/>
      <c r="NPJ855" s="999"/>
      <c r="NPK855" s="999"/>
      <c r="NPL855" s="999"/>
      <c r="NPM855" s="999"/>
      <c r="NPN855" s="999"/>
      <c r="NPO855" s="999"/>
      <c r="NPP855" s="999"/>
      <c r="NPQ855" s="999"/>
      <c r="NPR855" s="999"/>
      <c r="NPS855" s="999"/>
      <c r="NPT855" s="999"/>
      <c r="NPU855" s="999"/>
      <c r="NPV855" s="999"/>
      <c r="NPW855" s="999"/>
      <c r="NPX855" s="999"/>
      <c r="NPY855" s="999"/>
      <c r="NPZ855" s="999"/>
      <c r="NQA855" s="999"/>
      <c r="NQB855" s="999"/>
      <c r="NQC855" s="999"/>
      <c r="NQD855" s="999"/>
      <c r="NQE855" s="999"/>
      <c r="NQF855" s="999"/>
      <c r="NQG855" s="999"/>
      <c r="NQH855" s="999"/>
      <c r="NQI855" s="999"/>
      <c r="NQJ855" s="999"/>
      <c r="NQK855" s="999"/>
      <c r="NQL855" s="999"/>
      <c r="NQM855" s="999"/>
      <c r="NQN855" s="999"/>
      <c r="NQO855" s="999"/>
      <c r="NQP855" s="999"/>
      <c r="NQQ855" s="999"/>
      <c r="NQR855" s="999"/>
      <c r="NQS855" s="999"/>
      <c r="NQT855" s="999"/>
      <c r="NQU855" s="999"/>
      <c r="NQV855" s="999"/>
      <c r="NQW855" s="999"/>
      <c r="NQX855" s="999"/>
      <c r="NQY855" s="999"/>
      <c r="NQZ855" s="999"/>
      <c r="NRA855" s="999"/>
      <c r="NRB855" s="999"/>
      <c r="NRC855" s="999"/>
      <c r="NRD855" s="999"/>
      <c r="NRE855" s="999"/>
      <c r="NRF855" s="999"/>
      <c r="NRG855" s="999"/>
      <c r="NRH855" s="999"/>
      <c r="NRI855" s="999"/>
      <c r="NRJ855" s="999"/>
      <c r="NRK855" s="999"/>
      <c r="NRL855" s="999"/>
      <c r="NRM855" s="999"/>
      <c r="NRN855" s="999"/>
      <c r="NRO855" s="999"/>
      <c r="NRP855" s="999"/>
      <c r="NRQ855" s="999"/>
      <c r="NRR855" s="999"/>
      <c r="NRS855" s="999"/>
      <c r="NRT855" s="999"/>
      <c r="NRU855" s="999"/>
      <c r="NRV855" s="999"/>
      <c r="NRW855" s="999"/>
      <c r="NRX855" s="999"/>
      <c r="NRY855" s="999"/>
      <c r="NRZ855" s="999"/>
      <c r="NSA855" s="999"/>
      <c r="NSB855" s="999"/>
      <c r="NSC855" s="999"/>
      <c r="NSD855" s="999"/>
      <c r="NSE855" s="999"/>
      <c r="NSF855" s="999"/>
      <c r="NSG855" s="999"/>
      <c r="NSH855" s="999"/>
      <c r="NSI855" s="999"/>
      <c r="NSJ855" s="999"/>
      <c r="NSK855" s="999"/>
      <c r="NSL855" s="999"/>
      <c r="NSM855" s="999"/>
      <c r="NSN855" s="999"/>
      <c r="NSO855" s="999"/>
      <c r="NSP855" s="999"/>
      <c r="NSQ855" s="999"/>
      <c r="NSR855" s="999"/>
      <c r="NSS855" s="999"/>
      <c r="NST855" s="999"/>
      <c r="NSU855" s="999"/>
      <c r="NSV855" s="999"/>
      <c r="NSW855" s="999"/>
      <c r="NSX855" s="999"/>
      <c r="NSY855" s="999"/>
      <c r="NSZ855" s="999"/>
      <c r="NTA855" s="999"/>
      <c r="NTB855" s="999"/>
      <c r="NTC855" s="999"/>
      <c r="NTD855" s="999"/>
      <c r="NTE855" s="999"/>
      <c r="NTF855" s="999"/>
      <c r="NTG855" s="999"/>
      <c r="NTH855" s="999"/>
      <c r="NTI855" s="999"/>
      <c r="NTJ855" s="999"/>
      <c r="NTK855" s="999"/>
      <c r="NTL855" s="999"/>
      <c r="NTM855" s="999"/>
      <c r="NTN855" s="999"/>
      <c r="NTO855" s="999"/>
      <c r="NTP855" s="999"/>
      <c r="NTQ855" s="999"/>
      <c r="NTR855" s="999"/>
      <c r="NTS855" s="999"/>
      <c r="NTT855" s="999"/>
      <c r="NTU855" s="999"/>
      <c r="NTV855" s="999"/>
      <c r="NTW855" s="999"/>
      <c r="NTX855" s="999"/>
      <c r="NTY855" s="999"/>
      <c r="NTZ855" s="999"/>
      <c r="NUA855" s="999"/>
      <c r="NUB855" s="999"/>
      <c r="NUC855" s="999"/>
      <c r="NUD855" s="999"/>
      <c r="NUE855" s="999"/>
      <c r="NUF855" s="999"/>
      <c r="NUG855" s="999"/>
      <c r="NUH855" s="999"/>
      <c r="NUI855" s="999"/>
      <c r="NUJ855" s="999"/>
      <c r="NUK855" s="999"/>
      <c r="NUL855" s="999"/>
      <c r="NUM855" s="999"/>
      <c r="NUN855" s="999"/>
      <c r="NUO855" s="999"/>
      <c r="NUP855" s="999"/>
      <c r="NUQ855" s="999"/>
      <c r="NUR855" s="999"/>
      <c r="NUS855" s="999"/>
      <c r="NUT855" s="999"/>
      <c r="NUU855" s="999"/>
      <c r="NUV855" s="999"/>
      <c r="NUW855" s="999"/>
      <c r="NUX855" s="999"/>
      <c r="NUY855" s="999"/>
      <c r="NUZ855" s="999"/>
      <c r="NVA855" s="999"/>
      <c r="NVB855" s="999"/>
      <c r="NVC855" s="999"/>
      <c r="NVD855" s="999"/>
      <c r="NVE855" s="999"/>
      <c r="NVF855" s="999"/>
      <c r="NVG855" s="999"/>
      <c r="NVH855" s="999"/>
      <c r="NVI855" s="999"/>
      <c r="NVJ855" s="999"/>
      <c r="NVK855" s="999"/>
      <c r="NVL855" s="999"/>
      <c r="NVM855" s="999"/>
      <c r="NVN855" s="999"/>
      <c r="NVO855" s="999"/>
      <c r="NVP855" s="999"/>
      <c r="NVQ855" s="999"/>
      <c r="NVR855" s="999"/>
      <c r="NVS855" s="999"/>
      <c r="NVT855" s="999"/>
      <c r="NVU855" s="999"/>
      <c r="NVV855" s="999"/>
      <c r="NVW855" s="999"/>
      <c r="NVX855" s="999"/>
      <c r="NVY855" s="999"/>
      <c r="NVZ855" s="999"/>
      <c r="NWA855" s="999"/>
      <c r="NWB855" s="999"/>
      <c r="NWC855" s="999"/>
      <c r="NWD855" s="999"/>
      <c r="NWE855" s="999"/>
      <c r="NWF855" s="999"/>
      <c r="NWG855" s="999"/>
      <c r="NWH855" s="999"/>
      <c r="NWI855" s="999"/>
      <c r="NWJ855" s="999"/>
      <c r="NWK855" s="999"/>
      <c r="NWL855" s="999"/>
      <c r="NWM855" s="999"/>
      <c r="NWN855" s="999"/>
      <c r="NWO855" s="999"/>
      <c r="NWP855" s="999"/>
      <c r="NWQ855" s="999"/>
      <c r="NWR855" s="999"/>
      <c r="NWS855" s="999"/>
      <c r="NWT855" s="999"/>
      <c r="NWU855" s="999"/>
      <c r="NWV855" s="999"/>
      <c r="NWW855" s="999"/>
      <c r="NWX855" s="999"/>
      <c r="NWY855" s="999"/>
      <c r="NWZ855" s="999"/>
      <c r="NXA855" s="999"/>
      <c r="NXB855" s="999"/>
      <c r="NXC855" s="999"/>
      <c r="NXD855" s="999"/>
      <c r="NXE855" s="999"/>
      <c r="NXF855" s="999"/>
      <c r="NXG855" s="999"/>
      <c r="NXH855" s="999"/>
      <c r="NXI855" s="999"/>
      <c r="NXJ855" s="999"/>
      <c r="NXK855" s="999"/>
      <c r="NXL855" s="999"/>
      <c r="NXM855" s="999"/>
      <c r="NXN855" s="999"/>
      <c r="NXO855" s="999"/>
      <c r="NXP855" s="999"/>
      <c r="NXQ855" s="999"/>
      <c r="NXR855" s="999"/>
      <c r="NXS855" s="999"/>
      <c r="NXT855" s="999"/>
      <c r="NXU855" s="999"/>
      <c r="NXV855" s="999"/>
      <c r="NXW855" s="999"/>
      <c r="NXX855" s="999"/>
      <c r="NXY855" s="999"/>
      <c r="NXZ855" s="999"/>
      <c r="NYA855" s="999"/>
      <c r="NYB855" s="999"/>
      <c r="NYC855" s="999"/>
      <c r="NYD855" s="999"/>
      <c r="NYE855" s="999"/>
      <c r="NYF855" s="999"/>
      <c r="NYG855" s="999"/>
      <c r="NYH855" s="999"/>
      <c r="NYI855" s="999"/>
      <c r="NYJ855" s="999"/>
      <c r="NYK855" s="999"/>
      <c r="NYL855" s="999"/>
      <c r="NYM855" s="999"/>
      <c r="NYN855" s="999"/>
      <c r="NYO855" s="999"/>
      <c r="NYP855" s="999"/>
      <c r="NYQ855" s="999"/>
      <c r="NYR855" s="999"/>
      <c r="NYS855" s="999"/>
      <c r="NYT855" s="999"/>
      <c r="NYU855" s="999"/>
      <c r="NYV855" s="999"/>
      <c r="NYW855" s="999"/>
      <c r="NYX855" s="999"/>
      <c r="NYY855" s="999"/>
      <c r="NYZ855" s="999"/>
      <c r="NZA855" s="999"/>
      <c r="NZB855" s="999"/>
      <c r="NZC855" s="999"/>
      <c r="NZD855" s="999"/>
      <c r="NZE855" s="999"/>
      <c r="NZF855" s="999"/>
      <c r="NZG855" s="999"/>
      <c r="NZH855" s="999"/>
      <c r="NZI855" s="999"/>
      <c r="NZJ855" s="999"/>
      <c r="NZK855" s="999"/>
      <c r="NZL855" s="999"/>
      <c r="NZM855" s="999"/>
      <c r="NZN855" s="999"/>
      <c r="NZO855" s="999"/>
      <c r="NZP855" s="999"/>
      <c r="NZQ855" s="999"/>
      <c r="NZR855" s="999"/>
      <c r="NZS855" s="999"/>
      <c r="NZT855" s="999"/>
      <c r="NZU855" s="999"/>
      <c r="NZV855" s="999"/>
      <c r="NZW855" s="999"/>
      <c r="NZX855" s="999"/>
      <c r="NZY855" s="999"/>
      <c r="NZZ855" s="999"/>
      <c r="OAA855" s="999"/>
      <c r="OAB855" s="999"/>
      <c r="OAC855" s="999"/>
      <c r="OAD855" s="999"/>
      <c r="OAE855" s="999"/>
      <c r="OAF855" s="999"/>
      <c r="OAG855" s="999"/>
      <c r="OAH855" s="999"/>
      <c r="OAI855" s="999"/>
      <c r="OAJ855" s="999"/>
      <c r="OAK855" s="999"/>
      <c r="OAL855" s="999"/>
      <c r="OAM855" s="999"/>
      <c r="OAN855" s="999"/>
      <c r="OAO855" s="999"/>
      <c r="OAP855" s="999"/>
      <c r="OAQ855" s="999"/>
      <c r="OAR855" s="999"/>
      <c r="OAS855" s="999"/>
      <c r="OAT855" s="999"/>
      <c r="OAU855" s="999"/>
      <c r="OAV855" s="999"/>
      <c r="OAW855" s="999"/>
      <c r="OAX855" s="999"/>
      <c r="OAY855" s="999"/>
      <c r="OAZ855" s="999"/>
      <c r="OBA855" s="999"/>
      <c r="OBB855" s="999"/>
      <c r="OBC855" s="999"/>
      <c r="OBD855" s="999"/>
      <c r="OBE855" s="999"/>
      <c r="OBF855" s="999"/>
      <c r="OBG855" s="999"/>
      <c r="OBH855" s="999"/>
      <c r="OBI855" s="999"/>
      <c r="OBJ855" s="999"/>
      <c r="OBK855" s="999"/>
      <c r="OBL855" s="999"/>
      <c r="OBM855" s="999"/>
      <c r="OBN855" s="999"/>
      <c r="OBO855" s="999"/>
      <c r="OBP855" s="999"/>
      <c r="OBQ855" s="999"/>
      <c r="OBR855" s="999"/>
      <c r="OBS855" s="999"/>
      <c r="OBT855" s="999"/>
      <c r="OBU855" s="999"/>
      <c r="OBV855" s="999"/>
      <c r="OBW855" s="999"/>
      <c r="OBX855" s="999"/>
      <c r="OBY855" s="999"/>
      <c r="OBZ855" s="999"/>
      <c r="OCA855" s="999"/>
      <c r="OCB855" s="999"/>
      <c r="OCC855" s="999"/>
      <c r="OCD855" s="999"/>
      <c r="OCE855" s="999"/>
      <c r="OCF855" s="999"/>
      <c r="OCG855" s="999"/>
      <c r="OCH855" s="999"/>
      <c r="OCI855" s="999"/>
      <c r="OCJ855" s="999"/>
      <c r="OCK855" s="999"/>
      <c r="OCL855" s="999"/>
      <c r="OCM855" s="999"/>
      <c r="OCN855" s="999"/>
      <c r="OCO855" s="999"/>
      <c r="OCP855" s="999"/>
      <c r="OCQ855" s="999"/>
      <c r="OCR855" s="999"/>
      <c r="OCS855" s="999"/>
      <c r="OCT855" s="999"/>
      <c r="OCU855" s="999"/>
      <c r="OCV855" s="999"/>
      <c r="OCW855" s="999"/>
      <c r="OCX855" s="999"/>
      <c r="OCY855" s="999"/>
      <c r="OCZ855" s="999"/>
      <c r="ODA855" s="999"/>
      <c r="ODB855" s="999"/>
      <c r="ODC855" s="999"/>
      <c r="ODD855" s="999"/>
      <c r="ODE855" s="999"/>
      <c r="ODF855" s="999"/>
      <c r="ODG855" s="999"/>
      <c r="ODH855" s="999"/>
      <c r="ODI855" s="999"/>
      <c r="ODJ855" s="999"/>
      <c r="ODK855" s="999"/>
      <c r="ODL855" s="999"/>
      <c r="ODM855" s="999"/>
      <c r="ODN855" s="999"/>
      <c r="ODO855" s="999"/>
      <c r="ODP855" s="999"/>
      <c r="ODQ855" s="999"/>
      <c r="ODR855" s="999"/>
      <c r="ODS855" s="999"/>
      <c r="ODT855" s="999"/>
      <c r="ODU855" s="999"/>
      <c r="ODV855" s="999"/>
      <c r="ODW855" s="999"/>
      <c r="ODX855" s="999"/>
      <c r="ODY855" s="999"/>
      <c r="ODZ855" s="999"/>
      <c r="OEA855" s="999"/>
      <c r="OEB855" s="999"/>
      <c r="OEC855" s="999"/>
      <c r="OED855" s="999"/>
      <c r="OEE855" s="999"/>
      <c r="OEF855" s="999"/>
      <c r="OEG855" s="999"/>
      <c r="OEH855" s="999"/>
      <c r="OEI855" s="999"/>
      <c r="OEJ855" s="999"/>
      <c r="OEK855" s="999"/>
      <c r="OEL855" s="999"/>
      <c r="OEM855" s="999"/>
      <c r="OEN855" s="999"/>
      <c r="OEO855" s="999"/>
      <c r="OEP855" s="999"/>
      <c r="OEQ855" s="999"/>
      <c r="OER855" s="999"/>
      <c r="OES855" s="999"/>
      <c r="OET855" s="999"/>
      <c r="OEU855" s="999"/>
      <c r="OEV855" s="999"/>
      <c r="OEW855" s="999"/>
      <c r="OEX855" s="999"/>
      <c r="OEY855" s="999"/>
      <c r="OEZ855" s="999"/>
      <c r="OFA855" s="999"/>
      <c r="OFB855" s="999"/>
      <c r="OFC855" s="999"/>
      <c r="OFD855" s="999"/>
      <c r="OFE855" s="999"/>
      <c r="OFF855" s="999"/>
      <c r="OFG855" s="999"/>
      <c r="OFH855" s="999"/>
      <c r="OFI855" s="999"/>
      <c r="OFJ855" s="999"/>
      <c r="OFK855" s="999"/>
      <c r="OFL855" s="999"/>
      <c r="OFM855" s="999"/>
      <c r="OFN855" s="999"/>
      <c r="OFO855" s="999"/>
      <c r="OFP855" s="999"/>
      <c r="OFQ855" s="999"/>
      <c r="OFR855" s="999"/>
      <c r="OFS855" s="999"/>
      <c r="OFT855" s="999"/>
      <c r="OFU855" s="999"/>
      <c r="OFV855" s="999"/>
      <c r="OFW855" s="999"/>
      <c r="OFX855" s="999"/>
      <c r="OFY855" s="999"/>
      <c r="OFZ855" s="999"/>
      <c r="OGA855" s="999"/>
      <c r="OGB855" s="999"/>
      <c r="OGC855" s="999"/>
      <c r="OGD855" s="999"/>
      <c r="OGE855" s="999"/>
      <c r="OGF855" s="999"/>
      <c r="OGG855" s="999"/>
      <c r="OGH855" s="999"/>
      <c r="OGI855" s="999"/>
      <c r="OGJ855" s="999"/>
      <c r="OGK855" s="999"/>
      <c r="OGL855" s="999"/>
      <c r="OGM855" s="999"/>
      <c r="OGN855" s="999"/>
      <c r="OGO855" s="999"/>
      <c r="OGP855" s="999"/>
      <c r="OGQ855" s="999"/>
      <c r="OGR855" s="999"/>
      <c r="OGS855" s="999"/>
      <c r="OGT855" s="999"/>
      <c r="OGU855" s="999"/>
      <c r="OGV855" s="999"/>
      <c r="OGW855" s="999"/>
      <c r="OGX855" s="999"/>
      <c r="OGY855" s="999"/>
      <c r="OGZ855" s="999"/>
      <c r="OHA855" s="999"/>
      <c r="OHB855" s="999"/>
      <c r="OHC855" s="999"/>
      <c r="OHD855" s="999"/>
      <c r="OHE855" s="999"/>
      <c r="OHF855" s="999"/>
      <c r="OHG855" s="999"/>
      <c r="OHH855" s="999"/>
      <c r="OHI855" s="999"/>
      <c r="OHJ855" s="999"/>
      <c r="OHK855" s="999"/>
      <c r="OHL855" s="999"/>
      <c r="OHM855" s="999"/>
      <c r="OHN855" s="999"/>
      <c r="OHO855" s="999"/>
      <c r="OHP855" s="999"/>
      <c r="OHQ855" s="999"/>
      <c r="OHR855" s="999"/>
      <c r="OHS855" s="999"/>
      <c r="OHT855" s="999"/>
      <c r="OHU855" s="999"/>
      <c r="OHV855" s="999"/>
      <c r="OHW855" s="999"/>
      <c r="OHX855" s="999"/>
      <c r="OHY855" s="999"/>
      <c r="OHZ855" s="999"/>
      <c r="OIA855" s="999"/>
      <c r="OIB855" s="999"/>
      <c r="OIC855" s="999"/>
      <c r="OID855" s="999"/>
      <c r="OIE855" s="999"/>
      <c r="OIF855" s="999"/>
      <c r="OIG855" s="999"/>
      <c r="OIH855" s="999"/>
      <c r="OII855" s="999"/>
      <c r="OIJ855" s="999"/>
      <c r="OIK855" s="999"/>
      <c r="OIL855" s="999"/>
      <c r="OIM855" s="999"/>
      <c r="OIN855" s="999"/>
      <c r="OIO855" s="999"/>
      <c r="OIP855" s="999"/>
      <c r="OIQ855" s="999"/>
      <c r="OIR855" s="999"/>
      <c r="OIS855" s="999"/>
      <c r="OIT855" s="999"/>
      <c r="OIU855" s="999"/>
      <c r="OIV855" s="999"/>
      <c r="OIW855" s="999"/>
      <c r="OIX855" s="999"/>
      <c r="OIY855" s="999"/>
      <c r="OIZ855" s="999"/>
      <c r="OJA855" s="999"/>
      <c r="OJB855" s="999"/>
      <c r="OJC855" s="999"/>
      <c r="OJD855" s="999"/>
      <c r="OJE855" s="999"/>
      <c r="OJF855" s="999"/>
      <c r="OJG855" s="999"/>
      <c r="OJH855" s="999"/>
      <c r="OJI855" s="999"/>
      <c r="OJJ855" s="999"/>
      <c r="OJK855" s="999"/>
      <c r="OJL855" s="999"/>
      <c r="OJM855" s="999"/>
      <c r="OJN855" s="999"/>
      <c r="OJO855" s="999"/>
      <c r="OJP855" s="999"/>
      <c r="OJQ855" s="999"/>
      <c r="OJR855" s="999"/>
      <c r="OJS855" s="999"/>
      <c r="OJT855" s="999"/>
      <c r="OJU855" s="999"/>
      <c r="OJV855" s="999"/>
      <c r="OJW855" s="999"/>
      <c r="OJX855" s="999"/>
      <c r="OJY855" s="999"/>
      <c r="OJZ855" s="999"/>
      <c r="OKA855" s="999"/>
      <c r="OKB855" s="999"/>
      <c r="OKC855" s="999"/>
      <c r="OKD855" s="999"/>
      <c r="OKE855" s="999"/>
      <c r="OKF855" s="999"/>
      <c r="OKG855" s="999"/>
      <c r="OKH855" s="999"/>
      <c r="OKI855" s="999"/>
      <c r="OKJ855" s="999"/>
      <c r="OKK855" s="999"/>
      <c r="OKL855" s="999"/>
      <c r="OKM855" s="999"/>
      <c r="OKN855" s="999"/>
      <c r="OKO855" s="999"/>
      <c r="OKP855" s="999"/>
      <c r="OKQ855" s="999"/>
      <c r="OKR855" s="999"/>
      <c r="OKS855" s="999"/>
      <c r="OKT855" s="999"/>
      <c r="OKU855" s="999"/>
      <c r="OKV855" s="999"/>
      <c r="OKW855" s="999"/>
      <c r="OKX855" s="999"/>
      <c r="OKY855" s="999"/>
      <c r="OKZ855" s="999"/>
      <c r="OLA855" s="999"/>
      <c r="OLB855" s="999"/>
      <c r="OLC855" s="999"/>
      <c r="OLD855" s="999"/>
      <c r="OLE855" s="999"/>
      <c r="OLF855" s="999"/>
      <c r="OLG855" s="999"/>
      <c r="OLH855" s="999"/>
      <c r="OLI855" s="999"/>
      <c r="OLJ855" s="999"/>
      <c r="OLK855" s="999"/>
      <c r="OLL855" s="999"/>
      <c r="OLM855" s="999"/>
      <c r="OLN855" s="999"/>
      <c r="OLO855" s="999"/>
      <c r="OLP855" s="999"/>
      <c r="OLQ855" s="999"/>
      <c r="OLR855" s="999"/>
      <c r="OLS855" s="999"/>
      <c r="OLT855" s="999"/>
      <c r="OLU855" s="999"/>
      <c r="OLV855" s="999"/>
      <c r="OLW855" s="999"/>
      <c r="OLX855" s="999"/>
      <c r="OLY855" s="999"/>
      <c r="OLZ855" s="999"/>
      <c r="OMA855" s="999"/>
      <c r="OMB855" s="999"/>
      <c r="OMC855" s="999"/>
      <c r="OMD855" s="999"/>
      <c r="OME855" s="999"/>
      <c r="OMF855" s="999"/>
      <c r="OMG855" s="999"/>
      <c r="OMH855" s="999"/>
      <c r="OMI855" s="999"/>
      <c r="OMJ855" s="999"/>
      <c r="OMK855" s="999"/>
      <c r="OML855" s="999"/>
      <c r="OMM855" s="999"/>
      <c r="OMN855" s="999"/>
      <c r="OMO855" s="999"/>
      <c r="OMP855" s="999"/>
      <c r="OMQ855" s="999"/>
      <c r="OMR855" s="999"/>
      <c r="OMS855" s="999"/>
      <c r="OMT855" s="999"/>
      <c r="OMU855" s="999"/>
      <c r="OMV855" s="999"/>
      <c r="OMW855" s="999"/>
      <c r="OMX855" s="999"/>
      <c r="OMY855" s="999"/>
      <c r="OMZ855" s="999"/>
      <c r="ONA855" s="999"/>
      <c r="ONB855" s="999"/>
      <c r="ONC855" s="999"/>
      <c r="OND855" s="999"/>
      <c r="ONE855" s="999"/>
      <c r="ONF855" s="999"/>
      <c r="ONG855" s="999"/>
      <c r="ONH855" s="999"/>
      <c r="ONI855" s="999"/>
      <c r="ONJ855" s="999"/>
      <c r="ONK855" s="999"/>
      <c r="ONL855" s="999"/>
      <c r="ONM855" s="999"/>
      <c r="ONN855" s="999"/>
      <c r="ONO855" s="999"/>
      <c r="ONP855" s="999"/>
      <c r="ONQ855" s="999"/>
      <c r="ONR855" s="999"/>
      <c r="ONS855" s="999"/>
      <c r="ONT855" s="999"/>
      <c r="ONU855" s="999"/>
      <c r="ONV855" s="999"/>
      <c r="ONW855" s="999"/>
      <c r="ONX855" s="999"/>
      <c r="ONY855" s="999"/>
      <c r="ONZ855" s="999"/>
      <c r="OOA855" s="999"/>
      <c r="OOB855" s="999"/>
      <c r="OOC855" s="999"/>
      <c r="OOD855" s="999"/>
      <c r="OOE855" s="999"/>
      <c r="OOF855" s="999"/>
      <c r="OOG855" s="999"/>
      <c r="OOH855" s="999"/>
      <c r="OOI855" s="999"/>
      <c r="OOJ855" s="999"/>
      <c r="OOK855" s="999"/>
      <c r="OOL855" s="999"/>
      <c r="OOM855" s="999"/>
      <c r="OON855" s="999"/>
      <c r="OOO855" s="999"/>
      <c r="OOP855" s="999"/>
      <c r="OOQ855" s="999"/>
      <c r="OOR855" s="999"/>
      <c r="OOS855" s="999"/>
      <c r="OOT855" s="999"/>
      <c r="OOU855" s="999"/>
      <c r="OOV855" s="999"/>
      <c r="OOW855" s="999"/>
      <c r="OOX855" s="999"/>
      <c r="OOY855" s="999"/>
      <c r="OOZ855" s="999"/>
      <c r="OPA855" s="999"/>
      <c r="OPB855" s="999"/>
      <c r="OPC855" s="999"/>
      <c r="OPD855" s="999"/>
      <c r="OPE855" s="999"/>
      <c r="OPF855" s="999"/>
      <c r="OPG855" s="999"/>
      <c r="OPH855" s="999"/>
      <c r="OPI855" s="999"/>
      <c r="OPJ855" s="999"/>
      <c r="OPK855" s="999"/>
      <c r="OPL855" s="999"/>
      <c r="OPM855" s="999"/>
      <c r="OPN855" s="999"/>
      <c r="OPO855" s="999"/>
      <c r="OPP855" s="999"/>
      <c r="OPQ855" s="999"/>
      <c r="OPR855" s="999"/>
      <c r="OPS855" s="999"/>
      <c r="OPT855" s="999"/>
      <c r="OPU855" s="999"/>
      <c r="OPV855" s="999"/>
      <c r="OPW855" s="999"/>
      <c r="OPX855" s="999"/>
      <c r="OPY855" s="999"/>
      <c r="OPZ855" s="999"/>
      <c r="OQA855" s="999"/>
      <c r="OQB855" s="999"/>
      <c r="OQC855" s="999"/>
      <c r="OQD855" s="999"/>
      <c r="OQE855" s="999"/>
      <c r="OQF855" s="999"/>
      <c r="OQG855" s="999"/>
      <c r="OQH855" s="999"/>
      <c r="OQI855" s="999"/>
      <c r="OQJ855" s="999"/>
      <c r="OQK855" s="999"/>
      <c r="OQL855" s="999"/>
      <c r="OQM855" s="999"/>
      <c r="OQN855" s="999"/>
      <c r="OQO855" s="999"/>
      <c r="OQP855" s="999"/>
      <c r="OQQ855" s="999"/>
      <c r="OQR855" s="999"/>
      <c r="OQS855" s="999"/>
      <c r="OQT855" s="999"/>
      <c r="OQU855" s="999"/>
      <c r="OQV855" s="999"/>
      <c r="OQW855" s="999"/>
      <c r="OQX855" s="999"/>
      <c r="OQY855" s="999"/>
      <c r="OQZ855" s="999"/>
      <c r="ORA855" s="999"/>
      <c r="ORB855" s="999"/>
      <c r="ORC855" s="999"/>
      <c r="ORD855" s="999"/>
      <c r="ORE855" s="999"/>
      <c r="ORF855" s="999"/>
      <c r="ORG855" s="999"/>
      <c r="ORH855" s="999"/>
      <c r="ORI855" s="999"/>
      <c r="ORJ855" s="999"/>
      <c r="ORK855" s="999"/>
      <c r="ORL855" s="999"/>
      <c r="ORM855" s="999"/>
      <c r="ORN855" s="999"/>
      <c r="ORO855" s="999"/>
      <c r="ORP855" s="999"/>
      <c r="ORQ855" s="999"/>
      <c r="ORR855" s="999"/>
      <c r="ORS855" s="999"/>
      <c r="ORT855" s="999"/>
      <c r="ORU855" s="999"/>
      <c r="ORV855" s="999"/>
      <c r="ORW855" s="999"/>
      <c r="ORX855" s="999"/>
      <c r="ORY855" s="999"/>
      <c r="ORZ855" s="999"/>
      <c r="OSA855" s="999"/>
      <c r="OSB855" s="999"/>
      <c r="OSC855" s="999"/>
      <c r="OSD855" s="999"/>
      <c r="OSE855" s="999"/>
      <c r="OSF855" s="999"/>
      <c r="OSG855" s="999"/>
      <c r="OSH855" s="999"/>
      <c r="OSI855" s="999"/>
      <c r="OSJ855" s="999"/>
      <c r="OSK855" s="999"/>
      <c r="OSL855" s="999"/>
      <c r="OSM855" s="999"/>
      <c r="OSN855" s="999"/>
      <c r="OSO855" s="999"/>
      <c r="OSP855" s="999"/>
      <c r="OSQ855" s="999"/>
      <c r="OSR855" s="999"/>
      <c r="OSS855" s="999"/>
      <c r="OST855" s="999"/>
      <c r="OSU855" s="999"/>
      <c r="OSV855" s="999"/>
      <c r="OSW855" s="999"/>
      <c r="OSX855" s="999"/>
      <c r="OSY855" s="999"/>
      <c r="OSZ855" s="999"/>
      <c r="OTA855" s="999"/>
      <c r="OTB855" s="999"/>
      <c r="OTC855" s="999"/>
      <c r="OTD855" s="999"/>
      <c r="OTE855" s="999"/>
      <c r="OTF855" s="999"/>
      <c r="OTG855" s="999"/>
      <c r="OTH855" s="999"/>
      <c r="OTI855" s="999"/>
      <c r="OTJ855" s="999"/>
      <c r="OTK855" s="999"/>
      <c r="OTL855" s="999"/>
      <c r="OTM855" s="999"/>
      <c r="OTN855" s="999"/>
      <c r="OTO855" s="999"/>
      <c r="OTP855" s="999"/>
      <c r="OTQ855" s="999"/>
      <c r="OTR855" s="999"/>
      <c r="OTS855" s="999"/>
      <c r="OTT855" s="999"/>
      <c r="OTU855" s="999"/>
      <c r="OTV855" s="999"/>
      <c r="OTW855" s="999"/>
      <c r="OTX855" s="999"/>
      <c r="OTY855" s="999"/>
      <c r="OTZ855" s="999"/>
      <c r="OUA855" s="999"/>
      <c r="OUB855" s="999"/>
      <c r="OUC855" s="999"/>
      <c r="OUD855" s="999"/>
      <c r="OUE855" s="999"/>
      <c r="OUF855" s="999"/>
      <c r="OUG855" s="999"/>
      <c r="OUH855" s="999"/>
      <c r="OUI855" s="999"/>
      <c r="OUJ855" s="999"/>
      <c r="OUK855" s="999"/>
      <c r="OUL855" s="999"/>
      <c r="OUM855" s="999"/>
      <c r="OUN855" s="999"/>
      <c r="OUO855" s="999"/>
      <c r="OUP855" s="999"/>
      <c r="OUQ855" s="999"/>
      <c r="OUR855" s="999"/>
      <c r="OUS855" s="999"/>
      <c r="OUT855" s="999"/>
      <c r="OUU855" s="999"/>
      <c r="OUV855" s="999"/>
      <c r="OUW855" s="999"/>
      <c r="OUX855" s="999"/>
      <c r="OUY855" s="999"/>
      <c r="OUZ855" s="999"/>
      <c r="OVA855" s="999"/>
      <c r="OVB855" s="999"/>
      <c r="OVC855" s="999"/>
      <c r="OVD855" s="999"/>
      <c r="OVE855" s="999"/>
      <c r="OVF855" s="999"/>
      <c r="OVG855" s="999"/>
      <c r="OVH855" s="999"/>
      <c r="OVI855" s="999"/>
      <c r="OVJ855" s="999"/>
      <c r="OVK855" s="999"/>
      <c r="OVL855" s="999"/>
      <c r="OVM855" s="999"/>
      <c r="OVN855" s="999"/>
      <c r="OVO855" s="999"/>
      <c r="OVP855" s="999"/>
      <c r="OVQ855" s="999"/>
      <c r="OVR855" s="999"/>
      <c r="OVS855" s="999"/>
      <c r="OVT855" s="999"/>
      <c r="OVU855" s="999"/>
      <c r="OVV855" s="999"/>
      <c r="OVW855" s="999"/>
      <c r="OVX855" s="999"/>
      <c r="OVY855" s="999"/>
      <c r="OVZ855" s="999"/>
      <c r="OWA855" s="999"/>
      <c r="OWB855" s="999"/>
      <c r="OWC855" s="999"/>
      <c r="OWD855" s="999"/>
      <c r="OWE855" s="999"/>
      <c r="OWF855" s="999"/>
      <c r="OWG855" s="999"/>
      <c r="OWH855" s="999"/>
      <c r="OWI855" s="999"/>
      <c r="OWJ855" s="999"/>
      <c r="OWK855" s="999"/>
      <c r="OWL855" s="999"/>
      <c r="OWM855" s="999"/>
      <c r="OWN855" s="999"/>
      <c r="OWO855" s="999"/>
      <c r="OWP855" s="999"/>
      <c r="OWQ855" s="999"/>
      <c r="OWR855" s="999"/>
      <c r="OWS855" s="999"/>
      <c r="OWT855" s="999"/>
      <c r="OWU855" s="999"/>
      <c r="OWV855" s="999"/>
      <c r="OWW855" s="999"/>
      <c r="OWX855" s="999"/>
      <c r="OWY855" s="999"/>
      <c r="OWZ855" s="999"/>
      <c r="OXA855" s="999"/>
      <c r="OXB855" s="999"/>
      <c r="OXC855" s="999"/>
      <c r="OXD855" s="999"/>
      <c r="OXE855" s="999"/>
      <c r="OXF855" s="999"/>
      <c r="OXG855" s="999"/>
      <c r="OXH855" s="999"/>
      <c r="OXI855" s="999"/>
      <c r="OXJ855" s="999"/>
      <c r="OXK855" s="999"/>
      <c r="OXL855" s="999"/>
      <c r="OXM855" s="999"/>
      <c r="OXN855" s="999"/>
      <c r="OXO855" s="999"/>
      <c r="OXP855" s="999"/>
      <c r="OXQ855" s="999"/>
      <c r="OXR855" s="999"/>
      <c r="OXS855" s="999"/>
      <c r="OXT855" s="999"/>
      <c r="OXU855" s="999"/>
      <c r="OXV855" s="999"/>
      <c r="OXW855" s="999"/>
      <c r="OXX855" s="999"/>
      <c r="OXY855" s="999"/>
      <c r="OXZ855" s="999"/>
      <c r="OYA855" s="999"/>
      <c r="OYB855" s="999"/>
      <c r="OYC855" s="999"/>
      <c r="OYD855" s="999"/>
      <c r="OYE855" s="999"/>
      <c r="OYF855" s="999"/>
      <c r="OYG855" s="999"/>
      <c r="OYH855" s="999"/>
      <c r="OYI855" s="999"/>
      <c r="OYJ855" s="999"/>
      <c r="OYK855" s="999"/>
      <c r="OYL855" s="999"/>
      <c r="OYM855" s="999"/>
      <c r="OYN855" s="999"/>
      <c r="OYO855" s="999"/>
      <c r="OYP855" s="999"/>
      <c r="OYQ855" s="999"/>
      <c r="OYR855" s="999"/>
      <c r="OYS855" s="999"/>
      <c r="OYT855" s="999"/>
      <c r="OYU855" s="999"/>
      <c r="OYV855" s="999"/>
      <c r="OYW855" s="999"/>
      <c r="OYX855" s="999"/>
      <c r="OYY855" s="999"/>
      <c r="OYZ855" s="999"/>
      <c r="OZA855" s="999"/>
      <c r="OZB855" s="999"/>
      <c r="OZC855" s="999"/>
      <c r="OZD855" s="999"/>
      <c r="OZE855" s="999"/>
      <c r="OZF855" s="999"/>
      <c r="OZG855" s="999"/>
      <c r="OZH855" s="999"/>
      <c r="OZI855" s="999"/>
      <c r="OZJ855" s="999"/>
      <c r="OZK855" s="999"/>
      <c r="OZL855" s="999"/>
      <c r="OZM855" s="999"/>
      <c r="OZN855" s="999"/>
      <c r="OZO855" s="999"/>
      <c r="OZP855" s="999"/>
      <c r="OZQ855" s="999"/>
      <c r="OZR855" s="999"/>
      <c r="OZS855" s="999"/>
      <c r="OZT855" s="999"/>
      <c r="OZU855" s="999"/>
      <c r="OZV855" s="999"/>
      <c r="OZW855" s="999"/>
      <c r="OZX855" s="999"/>
      <c r="OZY855" s="999"/>
      <c r="OZZ855" s="999"/>
      <c r="PAA855" s="999"/>
      <c r="PAB855" s="999"/>
      <c r="PAC855" s="999"/>
      <c r="PAD855" s="999"/>
      <c r="PAE855" s="999"/>
      <c r="PAF855" s="999"/>
      <c r="PAG855" s="999"/>
      <c r="PAH855" s="999"/>
      <c r="PAI855" s="999"/>
      <c r="PAJ855" s="999"/>
      <c r="PAK855" s="999"/>
      <c r="PAL855" s="999"/>
      <c r="PAM855" s="999"/>
      <c r="PAN855" s="999"/>
      <c r="PAO855" s="999"/>
      <c r="PAP855" s="999"/>
      <c r="PAQ855" s="999"/>
      <c r="PAR855" s="999"/>
      <c r="PAS855" s="999"/>
      <c r="PAT855" s="999"/>
      <c r="PAU855" s="999"/>
      <c r="PAV855" s="999"/>
      <c r="PAW855" s="999"/>
      <c r="PAX855" s="999"/>
      <c r="PAY855" s="999"/>
      <c r="PAZ855" s="999"/>
      <c r="PBA855" s="999"/>
      <c r="PBB855" s="999"/>
      <c r="PBC855" s="999"/>
      <c r="PBD855" s="999"/>
      <c r="PBE855" s="999"/>
      <c r="PBF855" s="999"/>
      <c r="PBG855" s="999"/>
      <c r="PBH855" s="999"/>
      <c r="PBI855" s="999"/>
      <c r="PBJ855" s="999"/>
      <c r="PBK855" s="999"/>
      <c r="PBL855" s="999"/>
      <c r="PBM855" s="999"/>
      <c r="PBN855" s="999"/>
      <c r="PBO855" s="999"/>
      <c r="PBP855" s="999"/>
      <c r="PBQ855" s="999"/>
      <c r="PBR855" s="999"/>
      <c r="PBS855" s="999"/>
      <c r="PBT855" s="999"/>
      <c r="PBU855" s="999"/>
      <c r="PBV855" s="999"/>
      <c r="PBW855" s="999"/>
      <c r="PBX855" s="999"/>
      <c r="PBY855" s="999"/>
      <c r="PBZ855" s="999"/>
      <c r="PCA855" s="999"/>
      <c r="PCB855" s="999"/>
      <c r="PCC855" s="999"/>
      <c r="PCD855" s="999"/>
      <c r="PCE855" s="999"/>
      <c r="PCF855" s="999"/>
      <c r="PCG855" s="999"/>
      <c r="PCH855" s="999"/>
      <c r="PCI855" s="999"/>
      <c r="PCJ855" s="999"/>
      <c r="PCK855" s="999"/>
      <c r="PCL855" s="999"/>
      <c r="PCM855" s="999"/>
      <c r="PCN855" s="999"/>
      <c r="PCO855" s="999"/>
      <c r="PCP855" s="999"/>
      <c r="PCQ855" s="999"/>
      <c r="PCR855" s="999"/>
      <c r="PCS855" s="999"/>
      <c r="PCT855" s="999"/>
      <c r="PCU855" s="999"/>
      <c r="PCV855" s="999"/>
      <c r="PCW855" s="999"/>
      <c r="PCX855" s="999"/>
      <c r="PCY855" s="999"/>
      <c r="PCZ855" s="999"/>
      <c r="PDA855" s="999"/>
      <c r="PDB855" s="999"/>
      <c r="PDC855" s="999"/>
      <c r="PDD855" s="999"/>
      <c r="PDE855" s="999"/>
      <c r="PDF855" s="999"/>
      <c r="PDG855" s="999"/>
      <c r="PDH855" s="999"/>
      <c r="PDI855" s="999"/>
      <c r="PDJ855" s="999"/>
      <c r="PDK855" s="999"/>
      <c r="PDL855" s="999"/>
      <c r="PDM855" s="999"/>
      <c r="PDN855" s="999"/>
      <c r="PDO855" s="999"/>
      <c r="PDP855" s="999"/>
      <c r="PDQ855" s="999"/>
      <c r="PDR855" s="999"/>
      <c r="PDS855" s="999"/>
      <c r="PDT855" s="999"/>
      <c r="PDU855" s="999"/>
      <c r="PDV855" s="999"/>
      <c r="PDW855" s="999"/>
      <c r="PDX855" s="999"/>
      <c r="PDY855" s="999"/>
      <c r="PDZ855" s="999"/>
      <c r="PEA855" s="999"/>
      <c r="PEB855" s="999"/>
      <c r="PEC855" s="999"/>
      <c r="PED855" s="999"/>
      <c r="PEE855" s="999"/>
      <c r="PEF855" s="999"/>
      <c r="PEG855" s="999"/>
      <c r="PEH855" s="999"/>
      <c r="PEI855" s="999"/>
      <c r="PEJ855" s="999"/>
      <c r="PEK855" s="999"/>
      <c r="PEL855" s="999"/>
      <c r="PEM855" s="999"/>
      <c r="PEN855" s="999"/>
      <c r="PEO855" s="999"/>
      <c r="PEP855" s="999"/>
      <c r="PEQ855" s="999"/>
      <c r="PER855" s="999"/>
      <c r="PES855" s="999"/>
      <c r="PET855" s="999"/>
      <c r="PEU855" s="999"/>
      <c r="PEV855" s="999"/>
      <c r="PEW855" s="999"/>
      <c r="PEX855" s="999"/>
      <c r="PEY855" s="999"/>
      <c r="PEZ855" s="999"/>
      <c r="PFA855" s="999"/>
      <c r="PFB855" s="999"/>
      <c r="PFC855" s="999"/>
      <c r="PFD855" s="999"/>
      <c r="PFE855" s="999"/>
      <c r="PFF855" s="999"/>
      <c r="PFG855" s="999"/>
      <c r="PFH855" s="999"/>
      <c r="PFI855" s="999"/>
      <c r="PFJ855" s="999"/>
      <c r="PFK855" s="999"/>
      <c r="PFL855" s="999"/>
      <c r="PFM855" s="999"/>
      <c r="PFN855" s="999"/>
      <c r="PFO855" s="999"/>
      <c r="PFP855" s="999"/>
      <c r="PFQ855" s="999"/>
      <c r="PFR855" s="999"/>
      <c r="PFS855" s="999"/>
      <c r="PFT855" s="999"/>
      <c r="PFU855" s="999"/>
      <c r="PFV855" s="999"/>
      <c r="PFW855" s="999"/>
      <c r="PFX855" s="999"/>
      <c r="PFY855" s="999"/>
      <c r="PFZ855" s="999"/>
      <c r="PGA855" s="999"/>
      <c r="PGB855" s="999"/>
      <c r="PGC855" s="999"/>
      <c r="PGD855" s="999"/>
      <c r="PGE855" s="999"/>
      <c r="PGF855" s="999"/>
      <c r="PGG855" s="999"/>
      <c r="PGH855" s="999"/>
      <c r="PGI855" s="999"/>
      <c r="PGJ855" s="999"/>
      <c r="PGK855" s="999"/>
      <c r="PGL855" s="999"/>
      <c r="PGM855" s="999"/>
      <c r="PGN855" s="999"/>
      <c r="PGO855" s="999"/>
      <c r="PGP855" s="999"/>
      <c r="PGQ855" s="999"/>
      <c r="PGR855" s="999"/>
      <c r="PGS855" s="999"/>
      <c r="PGT855" s="999"/>
      <c r="PGU855" s="999"/>
      <c r="PGV855" s="999"/>
      <c r="PGW855" s="999"/>
      <c r="PGX855" s="999"/>
      <c r="PGY855" s="999"/>
      <c r="PGZ855" s="999"/>
      <c r="PHA855" s="999"/>
      <c r="PHB855" s="999"/>
      <c r="PHC855" s="999"/>
      <c r="PHD855" s="999"/>
      <c r="PHE855" s="999"/>
      <c r="PHF855" s="999"/>
      <c r="PHG855" s="999"/>
      <c r="PHH855" s="999"/>
      <c r="PHI855" s="999"/>
      <c r="PHJ855" s="999"/>
      <c r="PHK855" s="999"/>
      <c r="PHL855" s="999"/>
      <c r="PHM855" s="999"/>
      <c r="PHN855" s="999"/>
      <c r="PHO855" s="999"/>
      <c r="PHP855" s="999"/>
      <c r="PHQ855" s="999"/>
      <c r="PHR855" s="999"/>
      <c r="PHS855" s="999"/>
      <c r="PHT855" s="999"/>
      <c r="PHU855" s="999"/>
      <c r="PHV855" s="999"/>
      <c r="PHW855" s="999"/>
      <c r="PHX855" s="999"/>
      <c r="PHY855" s="999"/>
      <c r="PHZ855" s="999"/>
      <c r="PIA855" s="999"/>
      <c r="PIB855" s="999"/>
      <c r="PIC855" s="999"/>
      <c r="PID855" s="999"/>
      <c r="PIE855" s="999"/>
      <c r="PIF855" s="999"/>
      <c r="PIG855" s="999"/>
      <c r="PIH855" s="999"/>
      <c r="PII855" s="999"/>
      <c r="PIJ855" s="999"/>
      <c r="PIK855" s="999"/>
      <c r="PIL855" s="999"/>
      <c r="PIM855" s="999"/>
      <c r="PIN855" s="999"/>
      <c r="PIO855" s="999"/>
      <c r="PIP855" s="999"/>
      <c r="PIQ855" s="999"/>
      <c r="PIR855" s="999"/>
      <c r="PIS855" s="999"/>
      <c r="PIT855" s="999"/>
      <c r="PIU855" s="999"/>
      <c r="PIV855" s="999"/>
      <c r="PIW855" s="999"/>
      <c r="PIX855" s="999"/>
      <c r="PIY855" s="999"/>
      <c r="PIZ855" s="999"/>
      <c r="PJA855" s="999"/>
      <c r="PJB855" s="999"/>
      <c r="PJC855" s="999"/>
      <c r="PJD855" s="999"/>
      <c r="PJE855" s="999"/>
      <c r="PJF855" s="999"/>
      <c r="PJG855" s="999"/>
      <c r="PJH855" s="999"/>
      <c r="PJI855" s="999"/>
      <c r="PJJ855" s="999"/>
      <c r="PJK855" s="999"/>
      <c r="PJL855" s="999"/>
      <c r="PJM855" s="999"/>
      <c r="PJN855" s="999"/>
      <c r="PJO855" s="999"/>
      <c r="PJP855" s="999"/>
      <c r="PJQ855" s="999"/>
      <c r="PJR855" s="999"/>
      <c r="PJS855" s="999"/>
      <c r="PJT855" s="999"/>
      <c r="PJU855" s="999"/>
      <c r="PJV855" s="999"/>
      <c r="PJW855" s="999"/>
      <c r="PJX855" s="999"/>
      <c r="PJY855" s="999"/>
      <c r="PJZ855" s="999"/>
      <c r="PKA855" s="999"/>
      <c r="PKB855" s="999"/>
      <c r="PKC855" s="999"/>
      <c r="PKD855" s="999"/>
      <c r="PKE855" s="999"/>
      <c r="PKF855" s="999"/>
      <c r="PKG855" s="999"/>
      <c r="PKH855" s="999"/>
      <c r="PKI855" s="999"/>
      <c r="PKJ855" s="999"/>
      <c r="PKK855" s="999"/>
      <c r="PKL855" s="999"/>
      <c r="PKM855" s="999"/>
      <c r="PKN855" s="999"/>
      <c r="PKO855" s="999"/>
      <c r="PKP855" s="999"/>
      <c r="PKQ855" s="999"/>
      <c r="PKR855" s="999"/>
      <c r="PKS855" s="999"/>
      <c r="PKT855" s="999"/>
      <c r="PKU855" s="999"/>
      <c r="PKV855" s="999"/>
      <c r="PKW855" s="999"/>
      <c r="PKX855" s="999"/>
      <c r="PKY855" s="999"/>
      <c r="PKZ855" s="999"/>
      <c r="PLA855" s="999"/>
      <c r="PLB855" s="999"/>
      <c r="PLC855" s="999"/>
      <c r="PLD855" s="999"/>
      <c r="PLE855" s="999"/>
      <c r="PLF855" s="999"/>
      <c r="PLG855" s="999"/>
      <c r="PLH855" s="999"/>
      <c r="PLI855" s="999"/>
      <c r="PLJ855" s="999"/>
      <c r="PLK855" s="999"/>
      <c r="PLL855" s="999"/>
      <c r="PLM855" s="999"/>
      <c r="PLN855" s="999"/>
      <c r="PLO855" s="999"/>
      <c r="PLP855" s="999"/>
      <c r="PLQ855" s="999"/>
      <c r="PLR855" s="999"/>
      <c r="PLS855" s="999"/>
      <c r="PLT855" s="999"/>
      <c r="PLU855" s="999"/>
      <c r="PLV855" s="999"/>
      <c r="PLW855" s="999"/>
      <c r="PLX855" s="999"/>
      <c r="PLY855" s="999"/>
      <c r="PLZ855" s="999"/>
      <c r="PMA855" s="999"/>
      <c r="PMB855" s="999"/>
      <c r="PMC855" s="999"/>
      <c r="PMD855" s="999"/>
      <c r="PME855" s="999"/>
      <c r="PMF855" s="999"/>
      <c r="PMG855" s="999"/>
      <c r="PMH855" s="999"/>
      <c r="PMI855" s="999"/>
      <c r="PMJ855" s="999"/>
      <c r="PMK855" s="999"/>
      <c r="PML855" s="999"/>
      <c r="PMM855" s="999"/>
      <c r="PMN855" s="999"/>
      <c r="PMO855" s="999"/>
      <c r="PMP855" s="999"/>
      <c r="PMQ855" s="999"/>
      <c r="PMR855" s="999"/>
      <c r="PMS855" s="999"/>
      <c r="PMT855" s="999"/>
      <c r="PMU855" s="999"/>
      <c r="PMV855" s="999"/>
      <c r="PMW855" s="999"/>
      <c r="PMX855" s="999"/>
      <c r="PMY855" s="999"/>
      <c r="PMZ855" s="999"/>
      <c r="PNA855" s="999"/>
      <c r="PNB855" s="999"/>
      <c r="PNC855" s="999"/>
      <c r="PND855" s="999"/>
      <c r="PNE855" s="999"/>
      <c r="PNF855" s="999"/>
      <c r="PNG855" s="999"/>
      <c r="PNH855" s="999"/>
      <c r="PNI855" s="999"/>
      <c r="PNJ855" s="999"/>
      <c r="PNK855" s="999"/>
      <c r="PNL855" s="999"/>
      <c r="PNM855" s="999"/>
      <c r="PNN855" s="999"/>
      <c r="PNO855" s="999"/>
      <c r="PNP855" s="999"/>
      <c r="PNQ855" s="999"/>
      <c r="PNR855" s="999"/>
      <c r="PNS855" s="999"/>
      <c r="PNT855" s="999"/>
      <c r="PNU855" s="999"/>
      <c r="PNV855" s="999"/>
      <c r="PNW855" s="999"/>
      <c r="PNX855" s="999"/>
      <c r="PNY855" s="999"/>
      <c r="PNZ855" s="999"/>
      <c r="POA855" s="999"/>
      <c r="POB855" s="999"/>
      <c r="POC855" s="999"/>
      <c r="POD855" s="999"/>
      <c r="POE855" s="999"/>
      <c r="POF855" s="999"/>
      <c r="POG855" s="999"/>
      <c r="POH855" s="999"/>
      <c r="POI855" s="999"/>
      <c r="POJ855" s="999"/>
      <c r="POK855" s="999"/>
      <c r="POL855" s="999"/>
      <c r="POM855" s="999"/>
      <c r="PON855" s="999"/>
      <c r="POO855" s="999"/>
      <c r="POP855" s="999"/>
      <c r="POQ855" s="999"/>
      <c r="POR855" s="999"/>
      <c r="POS855" s="999"/>
      <c r="POT855" s="999"/>
      <c r="POU855" s="999"/>
      <c r="POV855" s="999"/>
      <c r="POW855" s="999"/>
      <c r="POX855" s="999"/>
      <c r="POY855" s="999"/>
      <c r="POZ855" s="999"/>
      <c r="PPA855" s="999"/>
      <c r="PPB855" s="999"/>
      <c r="PPC855" s="999"/>
      <c r="PPD855" s="999"/>
      <c r="PPE855" s="999"/>
      <c r="PPF855" s="999"/>
      <c r="PPG855" s="999"/>
      <c r="PPH855" s="999"/>
      <c r="PPI855" s="999"/>
      <c r="PPJ855" s="999"/>
      <c r="PPK855" s="999"/>
      <c r="PPL855" s="999"/>
      <c r="PPM855" s="999"/>
      <c r="PPN855" s="999"/>
      <c r="PPO855" s="999"/>
      <c r="PPP855" s="999"/>
      <c r="PPQ855" s="999"/>
      <c r="PPR855" s="999"/>
      <c r="PPS855" s="999"/>
      <c r="PPT855" s="999"/>
      <c r="PPU855" s="999"/>
      <c r="PPV855" s="999"/>
      <c r="PPW855" s="999"/>
      <c r="PPX855" s="999"/>
      <c r="PPY855" s="999"/>
      <c r="PPZ855" s="999"/>
      <c r="PQA855" s="999"/>
      <c r="PQB855" s="999"/>
      <c r="PQC855" s="999"/>
      <c r="PQD855" s="999"/>
      <c r="PQE855" s="999"/>
      <c r="PQF855" s="999"/>
      <c r="PQG855" s="999"/>
      <c r="PQH855" s="999"/>
      <c r="PQI855" s="999"/>
      <c r="PQJ855" s="999"/>
      <c r="PQK855" s="999"/>
      <c r="PQL855" s="999"/>
      <c r="PQM855" s="999"/>
      <c r="PQN855" s="999"/>
      <c r="PQO855" s="999"/>
      <c r="PQP855" s="999"/>
      <c r="PQQ855" s="999"/>
      <c r="PQR855" s="999"/>
      <c r="PQS855" s="999"/>
      <c r="PQT855" s="999"/>
      <c r="PQU855" s="999"/>
      <c r="PQV855" s="999"/>
      <c r="PQW855" s="999"/>
      <c r="PQX855" s="999"/>
      <c r="PQY855" s="999"/>
      <c r="PQZ855" s="999"/>
      <c r="PRA855" s="999"/>
      <c r="PRB855" s="999"/>
      <c r="PRC855" s="999"/>
      <c r="PRD855" s="999"/>
      <c r="PRE855" s="999"/>
      <c r="PRF855" s="999"/>
      <c r="PRG855" s="999"/>
      <c r="PRH855" s="999"/>
      <c r="PRI855" s="999"/>
      <c r="PRJ855" s="999"/>
      <c r="PRK855" s="999"/>
      <c r="PRL855" s="999"/>
      <c r="PRM855" s="999"/>
      <c r="PRN855" s="999"/>
      <c r="PRO855" s="999"/>
      <c r="PRP855" s="999"/>
      <c r="PRQ855" s="999"/>
      <c r="PRR855" s="999"/>
      <c r="PRS855" s="999"/>
      <c r="PRT855" s="999"/>
      <c r="PRU855" s="999"/>
      <c r="PRV855" s="999"/>
      <c r="PRW855" s="999"/>
      <c r="PRX855" s="999"/>
      <c r="PRY855" s="999"/>
      <c r="PRZ855" s="999"/>
      <c r="PSA855" s="999"/>
      <c r="PSB855" s="999"/>
      <c r="PSC855" s="999"/>
      <c r="PSD855" s="999"/>
      <c r="PSE855" s="999"/>
      <c r="PSF855" s="999"/>
      <c r="PSG855" s="999"/>
      <c r="PSH855" s="999"/>
      <c r="PSI855" s="999"/>
      <c r="PSJ855" s="999"/>
      <c r="PSK855" s="999"/>
      <c r="PSL855" s="999"/>
      <c r="PSM855" s="999"/>
      <c r="PSN855" s="999"/>
      <c r="PSO855" s="999"/>
      <c r="PSP855" s="999"/>
      <c r="PSQ855" s="999"/>
      <c r="PSR855" s="999"/>
      <c r="PSS855" s="999"/>
      <c r="PST855" s="999"/>
      <c r="PSU855" s="999"/>
      <c r="PSV855" s="999"/>
      <c r="PSW855" s="999"/>
      <c r="PSX855" s="999"/>
      <c r="PSY855" s="999"/>
      <c r="PSZ855" s="999"/>
      <c r="PTA855" s="999"/>
      <c r="PTB855" s="999"/>
      <c r="PTC855" s="999"/>
      <c r="PTD855" s="999"/>
      <c r="PTE855" s="999"/>
      <c r="PTF855" s="999"/>
      <c r="PTG855" s="999"/>
      <c r="PTH855" s="999"/>
      <c r="PTI855" s="999"/>
      <c r="PTJ855" s="999"/>
      <c r="PTK855" s="999"/>
      <c r="PTL855" s="999"/>
      <c r="PTM855" s="999"/>
      <c r="PTN855" s="999"/>
      <c r="PTO855" s="999"/>
      <c r="PTP855" s="999"/>
      <c r="PTQ855" s="999"/>
      <c r="PTR855" s="999"/>
      <c r="PTS855" s="999"/>
      <c r="PTT855" s="999"/>
      <c r="PTU855" s="999"/>
      <c r="PTV855" s="999"/>
      <c r="PTW855" s="999"/>
      <c r="PTX855" s="999"/>
      <c r="PTY855" s="999"/>
      <c r="PTZ855" s="999"/>
      <c r="PUA855" s="999"/>
      <c r="PUB855" s="999"/>
      <c r="PUC855" s="999"/>
      <c r="PUD855" s="999"/>
      <c r="PUE855" s="999"/>
      <c r="PUF855" s="999"/>
      <c r="PUG855" s="999"/>
      <c r="PUH855" s="999"/>
      <c r="PUI855" s="999"/>
      <c r="PUJ855" s="999"/>
      <c r="PUK855" s="999"/>
      <c r="PUL855" s="999"/>
      <c r="PUM855" s="999"/>
      <c r="PUN855" s="999"/>
      <c r="PUO855" s="999"/>
      <c r="PUP855" s="999"/>
      <c r="PUQ855" s="999"/>
      <c r="PUR855" s="999"/>
      <c r="PUS855" s="999"/>
      <c r="PUT855" s="999"/>
      <c r="PUU855" s="999"/>
      <c r="PUV855" s="999"/>
      <c r="PUW855" s="999"/>
      <c r="PUX855" s="999"/>
      <c r="PUY855" s="999"/>
      <c r="PUZ855" s="999"/>
      <c r="PVA855" s="999"/>
      <c r="PVB855" s="999"/>
      <c r="PVC855" s="999"/>
      <c r="PVD855" s="999"/>
      <c r="PVE855" s="999"/>
      <c r="PVF855" s="999"/>
      <c r="PVG855" s="999"/>
      <c r="PVH855" s="999"/>
      <c r="PVI855" s="999"/>
      <c r="PVJ855" s="999"/>
      <c r="PVK855" s="999"/>
      <c r="PVL855" s="999"/>
      <c r="PVM855" s="999"/>
      <c r="PVN855" s="999"/>
      <c r="PVO855" s="999"/>
      <c r="PVP855" s="999"/>
      <c r="PVQ855" s="999"/>
      <c r="PVR855" s="999"/>
      <c r="PVS855" s="999"/>
      <c r="PVT855" s="999"/>
      <c r="PVU855" s="999"/>
      <c r="PVV855" s="999"/>
      <c r="PVW855" s="999"/>
      <c r="PVX855" s="999"/>
      <c r="PVY855" s="999"/>
      <c r="PVZ855" s="999"/>
      <c r="PWA855" s="999"/>
      <c r="PWB855" s="999"/>
      <c r="PWC855" s="999"/>
      <c r="PWD855" s="999"/>
      <c r="PWE855" s="999"/>
      <c r="PWF855" s="999"/>
      <c r="PWG855" s="999"/>
      <c r="PWH855" s="999"/>
      <c r="PWI855" s="999"/>
      <c r="PWJ855" s="999"/>
      <c r="PWK855" s="999"/>
      <c r="PWL855" s="999"/>
      <c r="PWM855" s="999"/>
      <c r="PWN855" s="999"/>
      <c r="PWO855" s="999"/>
      <c r="PWP855" s="999"/>
      <c r="PWQ855" s="999"/>
      <c r="PWR855" s="999"/>
      <c r="PWS855" s="999"/>
      <c r="PWT855" s="999"/>
      <c r="PWU855" s="999"/>
      <c r="PWV855" s="999"/>
      <c r="PWW855" s="999"/>
      <c r="PWX855" s="999"/>
      <c r="PWY855" s="999"/>
      <c r="PWZ855" s="999"/>
      <c r="PXA855" s="999"/>
      <c r="PXB855" s="999"/>
      <c r="PXC855" s="999"/>
      <c r="PXD855" s="999"/>
      <c r="PXE855" s="999"/>
      <c r="PXF855" s="999"/>
      <c r="PXG855" s="999"/>
      <c r="PXH855" s="999"/>
      <c r="PXI855" s="999"/>
      <c r="PXJ855" s="999"/>
      <c r="PXK855" s="999"/>
      <c r="PXL855" s="999"/>
      <c r="PXM855" s="999"/>
      <c r="PXN855" s="999"/>
      <c r="PXO855" s="999"/>
      <c r="PXP855" s="999"/>
      <c r="PXQ855" s="999"/>
      <c r="PXR855" s="999"/>
      <c r="PXS855" s="999"/>
      <c r="PXT855" s="999"/>
      <c r="PXU855" s="999"/>
      <c r="PXV855" s="999"/>
      <c r="PXW855" s="999"/>
      <c r="PXX855" s="999"/>
      <c r="PXY855" s="999"/>
      <c r="PXZ855" s="999"/>
      <c r="PYA855" s="999"/>
      <c r="PYB855" s="999"/>
      <c r="PYC855" s="999"/>
      <c r="PYD855" s="999"/>
      <c r="PYE855" s="999"/>
      <c r="PYF855" s="999"/>
      <c r="PYG855" s="999"/>
      <c r="PYH855" s="999"/>
      <c r="PYI855" s="999"/>
      <c r="PYJ855" s="999"/>
      <c r="PYK855" s="999"/>
      <c r="PYL855" s="999"/>
      <c r="PYM855" s="999"/>
      <c r="PYN855" s="999"/>
      <c r="PYO855" s="999"/>
      <c r="PYP855" s="999"/>
      <c r="PYQ855" s="999"/>
      <c r="PYR855" s="999"/>
      <c r="PYS855" s="999"/>
      <c r="PYT855" s="999"/>
      <c r="PYU855" s="999"/>
      <c r="PYV855" s="999"/>
      <c r="PYW855" s="999"/>
      <c r="PYX855" s="999"/>
      <c r="PYY855" s="999"/>
      <c r="PYZ855" s="999"/>
      <c r="PZA855" s="999"/>
      <c r="PZB855" s="999"/>
      <c r="PZC855" s="999"/>
      <c r="PZD855" s="999"/>
      <c r="PZE855" s="999"/>
      <c r="PZF855" s="999"/>
      <c r="PZG855" s="999"/>
      <c r="PZH855" s="999"/>
      <c r="PZI855" s="999"/>
      <c r="PZJ855" s="999"/>
      <c r="PZK855" s="999"/>
      <c r="PZL855" s="999"/>
      <c r="PZM855" s="999"/>
      <c r="PZN855" s="999"/>
      <c r="PZO855" s="999"/>
      <c r="PZP855" s="999"/>
      <c r="PZQ855" s="999"/>
      <c r="PZR855" s="999"/>
      <c r="PZS855" s="999"/>
      <c r="PZT855" s="999"/>
      <c r="PZU855" s="999"/>
      <c r="PZV855" s="999"/>
      <c r="PZW855" s="999"/>
      <c r="PZX855" s="999"/>
      <c r="PZY855" s="999"/>
      <c r="PZZ855" s="999"/>
      <c r="QAA855" s="999"/>
      <c r="QAB855" s="999"/>
      <c r="QAC855" s="999"/>
      <c r="QAD855" s="999"/>
      <c r="QAE855" s="999"/>
      <c r="QAF855" s="999"/>
      <c r="QAG855" s="999"/>
      <c r="QAH855" s="999"/>
      <c r="QAI855" s="999"/>
      <c r="QAJ855" s="999"/>
      <c r="QAK855" s="999"/>
      <c r="QAL855" s="999"/>
      <c r="QAM855" s="999"/>
      <c r="QAN855" s="999"/>
      <c r="QAO855" s="999"/>
      <c r="QAP855" s="999"/>
      <c r="QAQ855" s="999"/>
      <c r="QAR855" s="999"/>
      <c r="QAS855" s="999"/>
      <c r="QAT855" s="999"/>
      <c r="QAU855" s="999"/>
      <c r="QAV855" s="999"/>
      <c r="QAW855" s="999"/>
      <c r="QAX855" s="999"/>
      <c r="QAY855" s="999"/>
      <c r="QAZ855" s="999"/>
      <c r="QBA855" s="999"/>
      <c r="QBB855" s="999"/>
      <c r="QBC855" s="999"/>
      <c r="QBD855" s="999"/>
      <c r="QBE855" s="999"/>
      <c r="QBF855" s="999"/>
      <c r="QBG855" s="999"/>
      <c r="QBH855" s="999"/>
      <c r="QBI855" s="999"/>
      <c r="QBJ855" s="999"/>
      <c r="QBK855" s="999"/>
      <c r="QBL855" s="999"/>
      <c r="QBM855" s="999"/>
      <c r="QBN855" s="999"/>
      <c r="QBO855" s="999"/>
      <c r="QBP855" s="999"/>
      <c r="QBQ855" s="999"/>
      <c r="QBR855" s="999"/>
      <c r="QBS855" s="999"/>
      <c r="QBT855" s="999"/>
      <c r="QBU855" s="999"/>
      <c r="QBV855" s="999"/>
      <c r="QBW855" s="999"/>
      <c r="QBX855" s="999"/>
      <c r="QBY855" s="999"/>
      <c r="QBZ855" s="999"/>
      <c r="QCA855" s="999"/>
      <c r="QCB855" s="999"/>
      <c r="QCC855" s="999"/>
      <c r="QCD855" s="999"/>
      <c r="QCE855" s="999"/>
      <c r="QCF855" s="999"/>
      <c r="QCG855" s="999"/>
      <c r="QCH855" s="999"/>
      <c r="QCI855" s="999"/>
      <c r="QCJ855" s="999"/>
      <c r="QCK855" s="999"/>
      <c r="QCL855" s="999"/>
      <c r="QCM855" s="999"/>
      <c r="QCN855" s="999"/>
      <c r="QCO855" s="999"/>
      <c r="QCP855" s="999"/>
      <c r="QCQ855" s="999"/>
      <c r="QCR855" s="999"/>
      <c r="QCS855" s="999"/>
      <c r="QCT855" s="999"/>
      <c r="QCU855" s="999"/>
      <c r="QCV855" s="999"/>
      <c r="QCW855" s="999"/>
      <c r="QCX855" s="999"/>
      <c r="QCY855" s="999"/>
      <c r="QCZ855" s="999"/>
      <c r="QDA855" s="999"/>
      <c r="QDB855" s="999"/>
      <c r="QDC855" s="999"/>
      <c r="QDD855" s="999"/>
      <c r="QDE855" s="999"/>
      <c r="QDF855" s="999"/>
      <c r="QDG855" s="999"/>
      <c r="QDH855" s="999"/>
      <c r="QDI855" s="999"/>
      <c r="QDJ855" s="999"/>
      <c r="QDK855" s="999"/>
      <c r="QDL855" s="999"/>
      <c r="QDM855" s="999"/>
      <c r="QDN855" s="999"/>
      <c r="QDO855" s="999"/>
      <c r="QDP855" s="999"/>
      <c r="QDQ855" s="999"/>
      <c r="QDR855" s="999"/>
      <c r="QDS855" s="999"/>
      <c r="QDT855" s="999"/>
      <c r="QDU855" s="999"/>
      <c r="QDV855" s="999"/>
      <c r="QDW855" s="999"/>
      <c r="QDX855" s="999"/>
      <c r="QDY855" s="999"/>
      <c r="QDZ855" s="999"/>
      <c r="QEA855" s="999"/>
      <c r="QEB855" s="999"/>
      <c r="QEC855" s="999"/>
      <c r="QED855" s="999"/>
      <c r="QEE855" s="999"/>
      <c r="QEF855" s="999"/>
      <c r="QEG855" s="999"/>
      <c r="QEH855" s="999"/>
      <c r="QEI855" s="999"/>
      <c r="QEJ855" s="999"/>
      <c r="QEK855" s="999"/>
      <c r="QEL855" s="999"/>
      <c r="QEM855" s="999"/>
      <c r="QEN855" s="999"/>
      <c r="QEO855" s="999"/>
      <c r="QEP855" s="999"/>
      <c r="QEQ855" s="999"/>
      <c r="QER855" s="999"/>
      <c r="QES855" s="999"/>
      <c r="QET855" s="999"/>
      <c r="QEU855" s="999"/>
      <c r="QEV855" s="999"/>
      <c r="QEW855" s="999"/>
      <c r="QEX855" s="999"/>
      <c r="QEY855" s="999"/>
      <c r="QEZ855" s="999"/>
      <c r="QFA855" s="999"/>
      <c r="QFB855" s="999"/>
      <c r="QFC855" s="999"/>
      <c r="QFD855" s="999"/>
      <c r="QFE855" s="999"/>
      <c r="QFF855" s="999"/>
      <c r="QFG855" s="999"/>
      <c r="QFH855" s="999"/>
      <c r="QFI855" s="999"/>
      <c r="QFJ855" s="999"/>
      <c r="QFK855" s="999"/>
      <c r="QFL855" s="999"/>
      <c r="QFM855" s="999"/>
      <c r="QFN855" s="999"/>
      <c r="QFO855" s="999"/>
      <c r="QFP855" s="999"/>
      <c r="QFQ855" s="999"/>
      <c r="QFR855" s="999"/>
      <c r="QFS855" s="999"/>
      <c r="QFT855" s="999"/>
      <c r="QFU855" s="999"/>
      <c r="QFV855" s="999"/>
      <c r="QFW855" s="999"/>
      <c r="QFX855" s="999"/>
      <c r="QFY855" s="999"/>
      <c r="QFZ855" s="999"/>
      <c r="QGA855" s="999"/>
      <c r="QGB855" s="999"/>
      <c r="QGC855" s="999"/>
      <c r="QGD855" s="999"/>
      <c r="QGE855" s="999"/>
      <c r="QGF855" s="999"/>
      <c r="QGG855" s="999"/>
      <c r="QGH855" s="999"/>
      <c r="QGI855" s="999"/>
      <c r="QGJ855" s="999"/>
      <c r="QGK855" s="999"/>
      <c r="QGL855" s="999"/>
      <c r="QGM855" s="999"/>
      <c r="QGN855" s="999"/>
      <c r="QGO855" s="999"/>
      <c r="QGP855" s="999"/>
      <c r="QGQ855" s="999"/>
      <c r="QGR855" s="999"/>
      <c r="QGS855" s="999"/>
      <c r="QGT855" s="999"/>
      <c r="QGU855" s="999"/>
      <c r="QGV855" s="999"/>
      <c r="QGW855" s="999"/>
      <c r="QGX855" s="999"/>
      <c r="QGY855" s="999"/>
      <c r="QGZ855" s="999"/>
      <c r="QHA855" s="999"/>
      <c r="QHB855" s="999"/>
      <c r="QHC855" s="999"/>
      <c r="QHD855" s="999"/>
      <c r="QHE855" s="999"/>
      <c r="QHF855" s="999"/>
      <c r="QHG855" s="999"/>
      <c r="QHH855" s="999"/>
      <c r="QHI855" s="999"/>
      <c r="QHJ855" s="999"/>
      <c r="QHK855" s="999"/>
      <c r="QHL855" s="999"/>
      <c r="QHM855" s="999"/>
      <c r="QHN855" s="999"/>
      <c r="QHO855" s="999"/>
      <c r="QHP855" s="999"/>
      <c r="QHQ855" s="999"/>
      <c r="QHR855" s="999"/>
      <c r="QHS855" s="999"/>
      <c r="QHT855" s="999"/>
      <c r="QHU855" s="999"/>
      <c r="QHV855" s="999"/>
      <c r="QHW855" s="999"/>
      <c r="QHX855" s="999"/>
      <c r="QHY855" s="999"/>
      <c r="QHZ855" s="999"/>
      <c r="QIA855" s="999"/>
      <c r="QIB855" s="999"/>
      <c r="QIC855" s="999"/>
      <c r="QID855" s="999"/>
      <c r="QIE855" s="999"/>
      <c r="QIF855" s="999"/>
      <c r="QIG855" s="999"/>
      <c r="QIH855" s="999"/>
      <c r="QII855" s="999"/>
      <c r="QIJ855" s="999"/>
      <c r="QIK855" s="999"/>
      <c r="QIL855" s="999"/>
      <c r="QIM855" s="999"/>
      <c r="QIN855" s="999"/>
      <c r="QIO855" s="999"/>
      <c r="QIP855" s="999"/>
      <c r="QIQ855" s="999"/>
      <c r="QIR855" s="999"/>
      <c r="QIS855" s="999"/>
      <c r="QIT855" s="999"/>
      <c r="QIU855" s="999"/>
      <c r="QIV855" s="999"/>
      <c r="QIW855" s="999"/>
      <c r="QIX855" s="999"/>
      <c r="QIY855" s="999"/>
      <c r="QIZ855" s="999"/>
      <c r="QJA855" s="999"/>
      <c r="QJB855" s="999"/>
      <c r="QJC855" s="999"/>
      <c r="QJD855" s="999"/>
      <c r="QJE855" s="999"/>
      <c r="QJF855" s="999"/>
      <c r="QJG855" s="999"/>
      <c r="QJH855" s="999"/>
      <c r="QJI855" s="999"/>
      <c r="QJJ855" s="999"/>
      <c r="QJK855" s="999"/>
      <c r="QJL855" s="999"/>
      <c r="QJM855" s="999"/>
      <c r="QJN855" s="999"/>
      <c r="QJO855" s="999"/>
      <c r="QJP855" s="999"/>
      <c r="QJQ855" s="999"/>
      <c r="QJR855" s="999"/>
      <c r="QJS855" s="999"/>
      <c r="QJT855" s="999"/>
      <c r="QJU855" s="999"/>
      <c r="QJV855" s="999"/>
      <c r="QJW855" s="999"/>
      <c r="QJX855" s="999"/>
      <c r="QJY855" s="999"/>
      <c r="QJZ855" s="999"/>
      <c r="QKA855" s="999"/>
      <c r="QKB855" s="999"/>
      <c r="QKC855" s="999"/>
      <c r="QKD855" s="999"/>
      <c r="QKE855" s="999"/>
      <c r="QKF855" s="999"/>
      <c r="QKG855" s="999"/>
      <c r="QKH855" s="999"/>
      <c r="QKI855" s="999"/>
      <c r="QKJ855" s="999"/>
      <c r="QKK855" s="999"/>
      <c r="QKL855" s="999"/>
      <c r="QKM855" s="999"/>
      <c r="QKN855" s="999"/>
      <c r="QKO855" s="999"/>
      <c r="QKP855" s="999"/>
      <c r="QKQ855" s="999"/>
      <c r="QKR855" s="999"/>
      <c r="QKS855" s="999"/>
      <c r="QKT855" s="999"/>
      <c r="QKU855" s="999"/>
      <c r="QKV855" s="999"/>
      <c r="QKW855" s="999"/>
      <c r="QKX855" s="999"/>
      <c r="QKY855" s="999"/>
      <c r="QKZ855" s="999"/>
      <c r="QLA855" s="999"/>
      <c r="QLB855" s="999"/>
      <c r="QLC855" s="999"/>
      <c r="QLD855" s="999"/>
      <c r="QLE855" s="999"/>
      <c r="QLF855" s="999"/>
      <c r="QLG855" s="999"/>
      <c r="QLH855" s="999"/>
      <c r="QLI855" s="999"/>
      <c r="QLJ855" s="999"/>
      <c r="QLK855" s="999"/>
      <c r="QLL855" s="999"/>
      <c r="QLM855" s="999"/>
      <c r="QLN855" s="999"/>
      <c r="QLO855" s="999"/>
      <c r="QLP855" s="999"/>
      <c r="QLQ855" s="999"/>
      <c r="QLR855" s="999"/>
      <c r="QLS855" s="999"/>
      <c r="QLT855" s="999"/>
      <c r="QLU855" s="999"/>
      <c r="QLV855" s="999"/>
      <c r="QLW855" s="999"/>
      <c r="QLX855" s="999"/>
      <c r="QLY855" s="999"/>
      <c r="QLZ855" s="999"/>
      <c r="QMA855" s="999"/>
      <c r="QMB855" s="999"/>
      <c r="QMC855" s="999"/>
      <c r="QMD855" s="999"/>
      <c r="QME855" s="999"/>
      <c r="QMF855" s="999"/>
      <c r="QMG855" s="999"/>
      <c r="QMH855" s="999"/>
      <c r="QMI855" s="999"/>
      <c r="QMJ855" s="999"/>
      <c r="QMK855" s="999"/>
      <c r="QML855" s="999"/>
      <c r="QMM855" s="999"/>
      <c r="QMN855" s="999"/>
      <c r="QMO855" s="999"/>
      <c r="QMP855" s="999"/>
      <c r="QMQ855" s="999"/>
      <c r="QMR855" s="999"/>
      <c r="QMS855" s="999"/>
      <c r="QMT855" s="999"/>
      <c r="QMU855" s="999"/>
      <c r="QMV855" s="999"/>
      <c r="QMW855" s="999"/>
      <c r="QMX855" s="999"/>
      <c r="QMY855" s="999"/>
      <c r="QMZ855" s="999"/>
      <c r="QNA855" s="999"/>
      <c r="QNB855" s="999"/>
      <c r="QNC855" s="999"/>
      <c r="QND855" s="999"/>
      <c r="QNE855" s="999"/>
      <c r="QNF855" s="999"/>
      <c r="QNG855" s="999"/>
      <c r="QNH855" s="999"/>
      <c r="QNI855" s="999"/>
      <c r="QNJ855" s="999"/>
      <c r="QNK855" s="999"/>
      <c r="QNL855" s="999"/>
      <c r="QNM855" s="999"/>
      <c r="QNN855" s="999"/>
      <c r="QNO855" s="999"/>
      <c r="QNP855" s="999"/>
      <c r="QNQ855" s="999"/>
      <c r="QNR855" s="999"/>
      <c r="QNS855" s="999"/>
      <c r="QNT855" s="999"/>
      <c r="QNU855" s="999"/>
      <c r="QNV855" s="999"/>
      <c r="QNW855" s="999"/>
      <c r="QNX855" s="999"/>
      <c r="QNY855" s="999"/>
      <c r="QNZ855" s="999"/>
      <c r="QOA855" s="999"/>
      <c r="QOB855" s="999"/>
      <c r="QOC855" s="999"/>
      <c r="QOD855" s="999"/>
      <c r="QOE855" s="999"/>
      <c r="QOF855" s="999"/>
      <c r="QOG855" s="999"/>
      <c r="QOH855" s="999"/>
      <c r="QOI855" s="999"/>
      <c r="QOJ855" s="999"/>
      <c r="QOK855" s="999"/>
      <c r="QOL855" s="999"/>
      <c r="QOM855" s="999"/>
      <c r="QON855" s="999"/>
      <c r="QOO855" s="999"/>
      <c r="QOP855" s="999"/>
      <c r="QOQ855" s="999"/>
      <c r="QOR855" s="999"/>
      <c r="QOS855" s="999"/>
      <c r="QOT855" s="999"/>
      <c r="QOU855" s="999"/>
      <c r="QOV855" s="999"/>
      <c r="QOW855" s="999"/>
      <c r="QOX855" s="999"/>
      <c r="QOY855" s="999"/>
      <c r="QOZ855" s="999"/>
      <c r="QPA855" s="999"/>
      <c r="QPB855" s="999"/>
      <c r="QPC855" s="999"/>
      <c r="QPD855" s="999"/>
      <c r="QPE855" s="999"/>
      <c r="QPF855" s="999"/>
      <c r="QPG855" s="999"/>
      <c r="QPH855" s="999"/>
      <c r="QPI855" s="999"/>
      <c r="QPJ855" s="999"/>
      <c r="QPK855" s="999"/>
      <c r="QPL855" s="999"/>
      <c r="QPM855" s="999"/>
      <c r="QPN855" s="999"/>
      <c r="QPO855" s="999"/>
      <c r="QPP855" s="999"/>
      <c r="QPQ855" s="999"/>
      <c r="QPR855" s="999"/>
      <c r="QPS855" s="999"/>
      <c r="QPT855" s="999"/>
      <c r="QPU855" s="999"/>
      <c r="QPV855" s="999"/>
      <c r="QPW855" s="999"/>
      <c r="QPX855" s="999"/>
      <c r="QPY855" s="999"/>
      <c r="QPZ855" s="999"/>
      <c r="QQA855" s="999"/>
      <c r="QQB855" s="999"/>
      <c r="QQC855" s="999"/>
      <c r="QQD855" s="999"/>
      <c r="QQE855" s="999"/>
      <c r="QQF855" s="999"/>
      <c r="QQG855" s="999"/>
      <c r="QQH855" s="999"/>
      <c r="QQI855" s="999"/>
      <c r="QQJ855" s="999"/>
      <c r="QQK855" s="999"/>
      <c r="QQL855" s="999"/>
      <c r="QQM855" s="999"/>
      <c r="QQN855" s="999"/>
      <c r="QQO855" s="999"/>
      <c r="QQP855" s="999"/>
      <c r="QQQ855" s="999"/>
      <c r="QQR855" s="999"/>
      <c r="QQS855" s="999"/>
      <c r="QQT855" s="999"/>
      <c r="QQU855" s="999"/>
      <c r="QQV855" s="999"/>
      <c r="QQW855" s="999"/>
      <c r="QQX855" s="999"/>
      <c r="QQY855" s="999"/>
      <c r="QQZ855" s="999"/>
      <c r="QRA855" s="999"/>
      <c r="QRB855" s="999"/>
      <c r="QRC855" s="999"/>
      <c r="QRD855" s="999"/>
      <c r="QRE855" s="999"/>
      <c r="QRF855" s="999"/>
      <c r="QRG855" s="999"/>
      <c r="QRH855" s="999"/>
      <c r="QRI855" s="999"/>
      <c r="QRJ855" s="999"/>
      <c r="QRK855" s="999"/>
      <c r="QRL855" s="999"/>
      <c r="QRM855" s="999"/>
      <c r="QRN855" s="999"/>
      <c r="QRO855" s="999"/>
      <c r="QRP855" s="999"/>
      <c r="QRQ855" s="999"/>
      <c r="QRR855" s="999"/>
      <c r="QRS855" s="999"/>
      <c r="QRT855" s="999"/>
      <c r="QRU855" s="999"/>
      <c r="QRV855" s="999"/>
      <c r="QRW855" s="999"/>
      <c r="QRX855" s="999"/>
      <c r="QRY855" s="999"/>
      <c r="QRZ855" s="999"/>
      <c r="QSA855" s="999"/>
      <c r="QSB855" s="999"/>
      <c r="QSC855" s="999"/>
      <c r="QSD855" s="999"/>
      <c r="QSE855" s="999"/>
      <c r="QSF855" s="999"/>
      <c r="QSG855" s="999"/>
      <c r="QSH855" s="999"/>
      <c r="QSI855" s="999"/>
      <c r="QSJ855" s="999"/>
      <c r="QSK855" s="999"/>
      <c r="QSL855" s="999"/>
      <c r="QSM855" s="999"/>
      <c r="QSN855" s="999"/>
      <c r="QSO855" s="999"/>
      <c r="QSP855" s="999"/>
      <c r="QSQ855" s="999"/>
      <c r="QSR855" s="999"/>
      <c r="QSS855" s="999"/>
      <c r="QST855" s="999"/>
      <c r="QSU855" s="999"/>
      <c r="QSV855" s="999"/>
      <c r="QSW855" s="999"/>
      <c r="QSX855" s="999"/>
      <c r="QSY855" s="999"/>
      <c r="QSZ855" s="999"/>
      <c r="QTA855" s="999"/>
      <c r="QTB855" s="999"/>
      <c r="QTC855" s="999"/>
      <c r="QTD855" s="999"/>
      <c r="QTE855" s="999"/>
      <c r="QTF855" s="999"/>
      <c r="QTG855" s="999"/>
      <c r="QTH855" s="999"/>
      <c r="QTI855" s="999"/>
      <c r="QTJ855" s="999"/>
      <c r="QTK855" s="999"/>
      <c r="QTL855" s="999"/>
      <c r="QTM855" s="999"/>
      <c r="QTN855" s="999"/>
      <c r="QTO855" s="999"/>
      <c r="QTP855" s="999"/>
      <c r="QTQ855" s="999"/>
      <c r="QTR855" s="999"/>
      <c r="QTS855" s="999"/>
      <c r="QTT855" s="999"/>
      <c r="QTU855" s="999"/>
      <c r="QTV855" s="999"/>
      <c r="QTW855" s="999"/>
      <c r="QTX855" s="999"/>
      <c r="QTY855" s="999"/>
      <c r="QTZ855" s="999"/>
      <c r="QUA855" s="999"/>
      <c r="QUB855" s="999"/>
      <c r="QUC855" s="999"/>
      <c r="QUD855" s="999"/>
      <c r="QUE855" s="999"/>
      <c r="QUF855" s="999"/>
      <c r="QUG855" s="999"/>
      <c r="QUH855" s="999"/>
      <c r="QUI855" s="999"/>
      <c r="QUJ855" s="999"/>
      <c r="QUK855" s="999"/>
      <c r="QUL855" s="999"/>
      <c r="QUM855" s="999"/>
      <c r="QUN855" s="999"/>
      <c r="QUO855" s="999"/>
      <c r="QUP855" s="999"/>
      <c r="QUQ855" s="999"/>
      <c r="QUR855" s="999"/>
      <c r="QUS855" s="999"/>
      <c r="QUT855" s="999"/>
      <c r="QUU855" s="999"/>
      <c r="QUV855" s="999"/>
      <c r="QUW855" s="999"/>
      <c r="QUX855" s="999"/>
      <c r="QUY855" s="999"/>
      <c r="QUZ855" s="999"/>
      <c r="QVA855" s="999"/>
      <c r="QVB855" s="999"/>
      <c r="QVC855" s="999"/>
      <c r="QVD855" s="999"/>
      <c r="QVE855" s="999"/>
      <c r="QVF855" s="999"/>
      <c r="QVG855" s="999"/>
      <c r="QVH855" s="999"/>
      <c r="QVI855" s="999"/>
      <c r="QVJ855" s="999"/>
      <c r="QVK855" s="999"/>
      <c r="QVL855" s="999"/>
      <c r="QVM855" s="999"/>
      <c r="QVN855" s="999"/>
      <c r="QVO855" s="999"/>
      <c r="QVP855" s="999"/>
      <c r="QVQ855" s="999"/>
      <c r="QVR855" s="999"/>
      <c r="QVS855" s="999"/>
      <c r="QVT855" s="999"/>
      <c r="QVU855" s="999"/>
      <c r="QVV855" s="999"/>
      <c r="QVW855" s="999"/>
      <c r="QVX855" s="999"/>
      <c r="QVY855" s="999"/>
      <c r="QVZ855" s="999"/>
      <c r="QWA855" s="999"/>
      <c r="QWB855" s="999"/>
      <c r="QWC855" s="999"/>
      <c r="QWD855" s="999"/>
      <c r="QWE855" s="999"/>
      <c r="QWF855" s="999"/>
      <c r="QWG855" s="999"/>
      <c r="QWH855" s="999"/>
      <c r="QWI855" s="999"/>
      <c r="QWJ855" s="999"/>
      <c r="QWK855" s="999"/>
      <c r="QWL855" s="999"/>
      <c r="QWM855" s="999"/>
      <c r="QWN855" s="999"/>
      <c r="QWO855" s="999"/>
      <c r="QWP855" s="999"/>
      <c r="QWQ855" s="999"/>
      <c r="QWR855" s="999"/>
      <c r="QWS855" s="999"/>
      <c r="QWT855" s="999"/>
      <c r="QWU855" s="999"/>
      <c r="QWV855" s="999"/>
      <c r="QWW855" s="999"/>
      <c r="QWX855" s="999"/>
      <c r="QWY855" s="999"/>
      <c r="QWZ855" s="999"/>
      <c r="QXA855" s="999"/>
      <c r="QXB855" s="999"/>
      <c r="QXC855" s="999"/>
      <c r="QXD855" s="999"/>
      <c r="QXE855" s="999"/>
      <c r="QXF855" s="999"/>
      <c r="QXG855" s="999"/>
      <c r="QXH855" s="999"/>
      <c r="QXI855" s="999"/>
      <c r="QXJ855" s="999"/>
      <c r="QXK855" s="999"/>
      <c r="QXL855" s="999"/>
      <c r="QXM855" s="999"/>
      <c r="QXN855" s="999"/>
      <c r="QXO855" s="999"/>
      <c r="QXP855" s="999"/>
      <c r="QXQ855" s="999"/>
      <c r="QXR855" s="999"/>
      <c r="QXS855" s="999"/>
      <c r="QXT855" s="999"/>
      <c r="QXU855" s="999"/>
      <c r="QXV855" s="999"/>
      <c r="QXW855" s="999"/>
      <c r="QXX855" s="999"/>
      <c r="QXY855" s="999"/>
      <c r="QXZ855" s="999"/>
      <c r="QYA855" s="999"/>
      <c r="QYB855" s="999"/>
      <c r="QYC855" s="999"/>
      <c r="QYD855" s="999"/>
      <c r="QYE855" s="999"/>
      <c r="QYF855" s="999"/>
      <c r="QYG855" s="999"/>
      <c r="QYH855" s="999"/>
      <c r="QYI855" s="999"/>
      <c r="QYJ855" s="999"/>
      <c r="QYK855" s="999"/>
      <c r="QYL855" s="999"/>
      <c r="QYM855" s="999"/>
      <c r="QYN855" s="999"/>
      <c r="QYO855" s="999"/>
      <c r="QYP855" s="999"/>
      <c r="QYQ855" s="999"/>
      <c r="QYR855" s="999"/>
      <c r="QYS855" s="999"/>
      <c r="QYT855" s="999"/>
      <c r="QYU855" s="999"/>
      <c r="QYV855" s="999"/>
      <c r="QYW855" s="999"/>
      <c r="QYX855" s="999"/>
      <c r="QYY855" s="999"/>
      <c r="QYZ855" s="999"/>
      <c r="QZA855" s="999"/>
      <c r="QZB855" s="999"/>
      <c r="QZC855" s="999"/>
      <c r="QZD855" s="999"/>
      <c r="QZE855" s="999"/>
      <c r="QZF855" s="999"/>
      <c r="QZG855" s="999"/>
      <c r="QZH855" s="999"/>
      <c r="QZI855" s="999"/>
      <c r="QZJ855" s="999"/>
      <c r="QZK855" s="999"/>
      <c r="QZL855" s="999"/>
      <c r="QZM855" s="999"/>
      <c r="QZN855" s="999"/>
      <c r="QZO855" s="999"/>
      <c r="QZP855" s="999"/>
      <c r="QZQ855" s="999"/>
      <c r="QZR855" s="999"/>
      <c r="QZS855" s="999"/>
      <c r="QZT855" s="999"/>
      <c r="QZU855" s="999"/>
      <c r="QZV855" s="999"/>
      <c r="QZW855" s="999"/>
      <c r="QZX855" s="999"/>
      <c r="QZY855" s="999"/>
      <c r="QZZ855" s="999"/>
      <c r="RAA855" s="999"/>
      <c r="RAB855" s="999"/>
      <c r="RAC855" s="999"/>
      <c r="RAD855" s="999"/>
      <c r="RAE855" s="999"/>
      <c r="RAF855" s="999"/>
      <c r="RAG855" s="999"/>
      <c r="RAH855" s="999"/>
      <c r="RAI855" s="999"/>
      <c r="RAJ855" s="999"/>
      <c r="RAK855" s="999"/>
      <c r="RAL855" s="999"/>
      <c r="RAM855" s="999"/>
      <c r="RAN855" s="999"/>
      <c r="RAO855" s="999"/>
      <c r="RAP855" s="999"/>
      <c r="RAQ855" s="999"/>
      <c r="RAR855" s="999"/>
      <c r="RAS855" s="999"/>
      <c r="RAT855" s="999"/>
      <c r="RAU855" s="999"/>
      <c r="RAV855" s="999"/>
      <c r="RAW855" s="999"/>
      <c r="RAX855" s="999"/>
      <c r="RAY855" s="999"/>
      <c r="RAZ855" s="999"/>
      <c r="RBA855" s="999"/>
      <c r="RBB855" s="999"/>
      <c r="RBC855" s="999"/>
      <c r="RBD855" s="999"/>
      <c r="RBE855" s="999"/>
      <c r="RBF855" s="999"/>
      <c r="RBG855" s="999"/>
      <c r="RBH855" s="999"/>
      <c r="RBI855" s="999"/>
      <c r="RBJ855" s="999"/>
      <c r="RBK855" s="999"/>
      <c r="RBL855" s="999"/>
      <c r="RBM855" s="999"/>
      <c r="RBN855" s="999"/>
      <c r="RBO855" s="999"/>
      <c r="RBP855" s="999"/>
      <c r="RBQ855" s="999"/>
      <c r="RBR855" s="999"/>
      <c r="RBS855" s="999"/>
      <c r="RBT855" s="999"/>
      <c r="RBU855" s="999"/>
      <c r="RBV855" s="999"/>
      <c r="RBW855" s="999"/>
      <c r="RBX855" s="999"/>
      <c r="RBY855" s="999"/>
      <c r="RBZ855" s="999"/>
      <c r="RCA855" s="999"/>
      <c r="RCB855" s="999"/>
      <c r="RCC855" s="999"/>
      <c r="RCD855" s="999"/>
      <c r="RCE855" s="999"/>
      <c r="RCF855" s="999"/>
      <c r="RCG855" s="999"/>
      <c r="RCH855" s="999"/>
      <c r="RCI855" s="999"/>
      <c r="RCJ855" s="999"/>
      <c r="RCK855" s="999"/>
      <c r="RCL855" s="999"/>
      <c r="RCM855" s="999"/>
      <c r="RCN855" s="999"/>
      <c r="RCO855" s="999"/>
      <c r="RCP855" s="999"/>
      <c r="RCQ855" s="999"/>
      <c r="RCR855" s="999"/>
      <c r="RCS855" s="999"/>
      <c r="RCT855" s="999"/>
      <c r="RCU855" s="999"/>
      <c r="RCV855" s="999"/>
      <c r="RCW855" s="999"/>
      <c r="RCX855" s="999"/>
      <c r="RCY855" s="999"/>
      <c r="RCZ855" s="999"/>
      <c r="RDA855" s="999"/>
      <c r="RDB855" s="999"/>
      <c r="RDC855" s="999"/>
      <c r="RDD855" s="999"/>
      <c r="RDE855" s="999"/>
      <c r="RDF855" s="999"/>
      <c r="RDG855" s="999"/>
      <c r="RDH855" s="999"/>
      <c r="RDI855" s="999"/>
      <c r="RDJ855" s="999"/>
      <c r="RDK855" s="999"/>
      <c r="RDL855" s="999"/>
      <c r="RDM855" s="999"/>
      <c r="RDN855" s="999"/>
      <c r="RDO855" s="999"/>
      <c r="RDP855" s="999"/>
      <c r="RDQ855" s="999"/>
      <c r="RDR855" s="999"/>
      <c r="RDS855" s="999"/>
      <c r="RDT855" s="999"/>
      <c r="RDU855" s="999"/>
      <c r="RDV855" s="999"/>
      <c r="RDW855" s="999"/>
      <c r="RDX855" s="999"/>
      <c r="RDY855" s="999"/>
      <c r="RDZ855" s="999"/>
      <c r="REA855" s="999"/>
      <c r="REB855" s="999"/>
      <c r="REC855" s="999"/>
      <c r="RED855" s="999"/>
      <c r="REE855" s="999"/>
      <c r="REF855" s="999"/>
      <c r="REG855" s="999"/>
      <c r="REH855" s="999"/>
      <c r="REI855" s="999"/>
      <c r="REJ855" s="999"/>
      <c r="REK855" s="999"/>
      <c r="REL855" s="999"/>
      <c r="REM855" s="999"/>
      <c r="REN855" s="999"/>
      <c r="REO855" s="999"/>
      <c r="REP855" s="999"/>
      <c r="REQ855" s="999"/>
      <c r="RER855" s="999"/>
      <c r="RES855" s="999"/>
      <c r="RET855" s="999"/>
      <c r="REU855" s="999"/>
      <c r="REV855" s="999"/>
      <c r="REW855" s="999"/>
      <c r="REX855" s="999"/>
      <c r="REY855" s="999"/>
      <c r="REZ855" s="999"/>
      <c r="RFA855" s="999"/>
      <c r="RFB855" s="999"/>
      <c r="RFC855" s="999"/>
      <c r="RFD855" s="999"/>
      <c r="RFE855" s="999"/>
      <c r="RFF855" s="999"/>
      <c r="RFG855" s="999"/>
      <c r="RFH855" s="999"/>
      <c r="RFI855" s="999"/>
      <c r="RFJ855" s="999"/>
      <c r="RFK855" s="999"/>
      <c r="RFL855" s="999"/>
      <c r="RFM855" s="999"/>
      <c r="RFN855" s="999"/>
      <c r="RFO855" s="999"/>
      <c r="RFP855" s="999"/>
      <c r="RFQ855" s="999"/>
      <c r="RFR855" s="999"/>
      <c r="RFS855" s="999"/>
      <c r="RFT855" s="999"/>
      <c r="RFU855" s="999"/>
      <c r="RFV855" s="999"/>
      <c r="RFW855" s="999"/>
      <c r="RFX855" s="999"/>
      <c r="RFY855" s="999"/>
      <c r="RFZ855" s="999"/>
      <c r="RGA855" s="999"/>
      <c r="RGB855" s="999"/>
      <c r="RGC855" s="999"/>
      <c r="RGD855" s="999"/>
      <c r="RGE855" s="999"/>
      <c r="RGF855" s="999"/>
      <c r="RGG855" s="999"/>
      <c r="RGH855" s="999"/>
      <c r="RGI855" s="999"/>
      <c r="RGJ855" s="999"/>
      <c r="RGK855" s="999"/>
      <c r="RGL855" s="999"/>
      <c r="RGM855" s="999"/>
      <c r="RGN855" s="999"/>
      <c r="RGO855" s="999"/>
      <c r="RGP855" s="999"/>
      <c r="RGQ855" s="999"/>
      <c r="RGR855" s="999"/>
      <c r="RGS855" s="999"/>
      <c r="RGT855" s="999"/>
      <c r="RGU855" s="999"/>
      <c r="RGV855" s="999"/>
      <c r="RGW855" s="999"/>
      <c r="RGX855" s="999"/>
      <c r="RGY855" s="999"/>
      <c r="RGZ855" s="999"/>
      <c r="RHA855" s="999"/>
      <c r="RHB855" s="999"/>
      <c r="RHC855" s="999"/>
      <c r="RHD855" s="999"/>
      <c r="RHE855" s="999"/>
      <c r="RHF855" s="999"/>
      <c r="RHG855" s="999"/>
      <c r="RHH855" s="999"/>
      <c r="RHI855" s="999"/>
      <c r="RHJ855" s="999"/>
      <c r="RHK855" s="999"/>
      <c r="RHL855" s="999"/>
      <c r="RHM855" s="999"/>
      <c r="RHN855" s="999"/>
      <c r="RHO855" s="999"/>
      <c r="RHP855" s="999"/>
      <c r="RHQ855" s="999"/>
      <c r="RHR855" s="999"/>
      <c r="RHS855" s="999"/>
      <c r="RHT855" s="999"/>
      <c r="RHU855" s="999"/>
      <c r="RHV855" s="999"/>
      <c r="RHW855" s="999"/>
      <c r="RHX855" s="999"/>
      <c r="RHY855" s="999"/>
      <c r="RHZ855" s="999"/>
      <c r="RIA855" s="999"/>
      <c r="RIB855" s="999"/>
      <c r="RIC855" s="999"/>
      <c r="RID855" s="999"/>
      <c r="RIE855" s="999"/>
      <c r="RIF855" s="999"/>
      <c r="RIG855" s="999"/>
      <c r="RIH855" s="999"/>
      <c r="RII855" s="999"/>
      <c r="RIJ855" s="999"/>
      <c r="RIK855" s="999"/>
      <c r="RIL855" s="999"/>
      <c r="RIM855" s="999"/>
      <c r="RIN855" s="999"/>
      <c r="RIO855" s="999"/>
      <c r="RIP855" s="999"/>
      <c r="RIQ855" s="999"/>
      <c r="RIR855" s="999"/>
      <c r="RIS855" s="999"/>
      <c r="RIT855" s="999"/>
      <c r="RIU855" s="999"/>
      <c r="RIV855" s="999"/>
      <c r="RIW855" s="999"/>
      <c r="RIX855" s="999"/>
      <c r="RIY855" s="999"/>
      <c r="RIZ855" s="999"/>
      <c r="RJA855" s="999"/>
      <c r="RJB855" s="999"/>
      <c r="RJC855" s="999"/>
      <c r="RJD855" s="999"/>
      <c r="RJE855" s="999"/>
      <c r="RJF855" s="999"/>
      <c r="RJG855" s="999"/>
      <c r="RJH855" s="999"/>
      <c r="RJI855" s="999"/>
      <c r="RJJ855" s="999"/>
      <c r="RJK855" s="999"/>
      <c r="RJL855" s="999"/>
      <c r="RJM855" s="999"/>
      <c r="RJN855" s="999"/>
      <c r="RJO855" s="999"/>
      <c r="RJP855" s="999"/>
      <c r="RJQ855" s="999"/>
      <c r="RJR855" s="999"/>
      <c r="RJS855" s="999"/>
      <c r="RJT855" s="999"/>
      <c r="RJU855" s="999"/>
      <c r="RJV855" s="999"/>
      <c r="RJW855" s="999"/>
      <c r="RJX855" s="999"/>
      <c r="RJY855" s="999"/>
      <c r="RJZ855" s="999"/>
      <c r="RKA855" s="999"/>
      <c r="RKB855" s="999"/>
      <c r="RKC855" s="999"/>
      <c r="RKD855" s="999"/>
      <c r="RKE855" s="999"/>
      <c r="RKF855" s="999"/>
      <c r="RKG855" s="999"/>
      <c r="RKH855" s="999"/>
      <c r="RKI855" s="999"/>
      <c r="RKJ855" s="999"/>
      <c r="RKK855" s="999"/>
      <c r="RKL855" s="999"/>
      <c r="RKM855" s="999"/>
      <c r="RKN855" s="999"/>
      <c r="RKO855" s="999"/>
      <c r="RKP855" s="999"/>
      <c r="RKQ855" s="999"/>
      <c r="RKR855" s="999"/>
      <c r="RKS855" s="999"/>
      <c r="RKT855" s="999"/>
      <c r="RKU855" s="999"/>
      <c r="RKV855" s="999"/>
      <c r="RKW855" s="999"/>
      <c r="RKX855" s="999"/>
      <c r="RKY855" s="999"/>
      <c r="RKZ855" s="999"/>
      <c r="RLA855" s="999"/>
      <c r="RLB855" s="999"/>
      <c r="RLC855" s="999"/>
      <c r="RLD855" s="999"/>
      <c r="RLE855" s="999"/>
      <c r="RLF855" s="999"/>
      <c r="RLG855" s="999"/>
      <c r="RLH855" s="999"/>
      <c r="RLI855" s="999"/>
      <c r="RLJ855" s="999"/>
      <c r="RLK855" s="999"/>
      <c r="RLL855" s="999"/>
      <c r="RLM855" s="999"/>
      <c r="RLN855" s="999"/>
      <c r="RLO855" s="999"/>
      <c r="RLP855" s="999"/>
      <c r="RLQ855" s="999"/>
      <c r="RLR855" s="999"/>
      <c r="RLS855" s="999"/>
      <c r="RLT855" s="999"/>
      <c r="RLU855" s="999"/>
      <c r="RLV855" s="999"/>
      <c r="RLW855" s="999"/>
      <c r="RLX855" s="999"/>
      <c r="RLY855" s="999"/>
      <c r="RLZ855" s="999"/>
      <c r="RMA855" s="999"/>
      <c r="RMB855" s="999"/>
      <c r="RMC855" s="999"/>
      <c r="RMD855" s="999"/>
      <c r="RME855" s="999"/>
      <c r="RMF855" s="999"/>
      <c r="RMG855" s="999"/>
      <c r="RMH855" s="999"/>
      <c r="RMI855" s="999"/>
      <c r="RMJ855" s="999"/>
      <c r="RMK855" s="999"/>
      <c r="RML855" s="999"/>
      <c r="RMM855" s="999"/>
      <c r="RMN855" s="999"/>
      <c r="RMO855" s="999"/>
      <c r="RMP855" s="999"/>
      <c r="RMQ855" s="999"/>
      <c r="RMR855" s="999"/>
      <c r="RMS855" s="999"/>
      <c r="RMT855" s="999"/>
      <c r="RMU855" s="999"/>
      <c r="RMV855" s="999"/>
      <c r="RMW855" s="999"/>
      <c r="RMX855" s="999"/>
      <c r="RMY855" s="999"/>
      <c r="RMZ855" s="999"/>
      <c r="RNA855" s="999"/>
      <c r="RNB855" s="999"/>
      <c r="RNC855" s="999"/>
      <c r="RND855" s="999"/>
      <c r="RNE855" s="999"/>
      <c r="RNF855" s="999"/>
      <c r="RNG855" s="999"/>
      <c r="RNH855" s="999"/>
      <c r="RNI855" s="999"/>
      <c r="RNJ855" s="999"/>
      <c r="RNK855" s="999"/>
      <c r="RNL855" s="999"/>
      <c r="RNM855" s="999"/>
      <c r="RNN855" s="999"/>
      <c r="RNO855" s="999"/>
      <c r="RNP855" s="999"/>
      <c r="RNQ855" s="999"/>
      <c r="RNR855" s="999"/>
      <c r="RNS855" s="999"/>
      <c r="RNT855" s="999"/>
      <c r="RNU855" s="999"/>
      <c r="RNV855" s="999"/>
      <c r="RNW855" s="999"/>
      <c r="RNX855" s="999"/>
      <c r="RNY855" s="999"/>
      <c r="RNZ855" s="999"/>
      <c r="ROA855" s="999"/>
      <c r="ROB855" s="999"/>
      <c r="ROC855" s="999"/>
      <c r="ROD855" s="999"/>
      <c r="ROE855" s="999"/>
      <c r="ROF855" s="999"/>
      <c r="ROG855" s="999"/>
      <c r="ROH855" s="999"/>
      <c r="ROI855" s="999"/>
      <c r="ROJ855" s="999"/>
      <c r="ROK855" s="999"/>
      <c r="ROL855" s="999"/>
      <c r="ROM855" s="999"/>
      <c r="RON855" s="999"/>
      <c r="ROO855" s="999"/>
      <c r="ROP855" s="999"/>
      <c r="ROQ855" s="999"/>
      <c r="ROR855" s="999"/>
      <c r="ROS855" s="999"/>
      <c r="ROT855" s="999"/>
      <c r="ROU855" s="999"/>
      <c r="ROV855" s="999"/>
      <c r="ROW855" s="999"/>
      <c r="ROX855" s="999"/>
      <c r="ROY855" s="999"/>
      <c r="ROZ855" s="999"/>
      <c r="RPA855" s="999"/>
      <c r="RPB855" s="999"/>
      <c r="RPC855" s="999"/>
      <c r="RPD855" s="999"/>
      <c r="RPE855" s="999"/>
      <c r="RPF855" s="999"/>
      <c r="RPG855" s="999"/>
      <c r="RPH855" s="999"/>
      <c r="RPI855" s="999"/>
      <c r="RPJ855" s="999"/>
      <c r="RPK855" s="999"/>
      <c r="RPL855" s="999"/>
      <c r="RPM855" s="999"/>
      <c r="RPN855" s="999"/>
      <c r="RPO855" s="999"/>
      <c r="RPP855" s="999"/>
      <c r="RPQ855" s="999"/>
      <c r="RPR855" s="999"/>
      <c r="RPS855" s="999"/>
      <c r="RPT855" s="999"/>
      <c r="RPU855" s="999"/>
      <c r="RPV855" s="999"/>
      <c r="RPW855" s="999"/>
      <c r="RPX855" s="999"/>
      <c r="RPY855" s="999"/>
      <c r="RPZ855" s="999"/>
      <c r="RQA855" s="999"/>
      <c r="RQB855" s="999"/>
      <c r="RQC855" s="999"/>
      <c r="RQD855" s="999"/>
      <c r="RQE855" s="999"/>
      <c r="RQF855" s="999"/>
      <c r="RQG855" s="999"/>
      <c r="RQH855" s="999"/>
      <c r="RQI855" s="999"/>
      <c r="RQJ855" s="999"/>
      <c r="RQK855" s="999"/>
      <c r="RQL855" s="999"/>
      <c r="RQM855" s="999"/>
      <c r="RQN855" s="999"/>
      <c r="RQO855" s="999"/>
      <c r="RQP855" s="999"/>
      <c r="RQQ855" s="999"/>
      <c r="RQR855" s="999"/>
      <c r="RQS855" s="999"/>
      <c r="RQT855" s="999"/>
      <c r="RQU855" s="999"/>
      <c r="RQV855" s="999"/>
      <c r="RQW855" s="999"/>
      <c r="RQX855" s="999"/>
      <c r="RQY855" s="999"/>
      <c r="RQZ855" s="999"/>
      <c r="RRA855" s="999"/>
      <c r="RRB855" s="999"/>
      <c r="RRC855" s="999"/>
      <c r="RRD855" s="999"/>
      <c r="RRE855" s="999"/>
      <c r="RRF855" s="999"/>
      <c r="RRG855" s="999"/>
      <c r="RRH855" s="999"/>
      <c r="RRI855" s="999"/>
      <c r="RRJ855" s="999"/>
      <c r="RRK855" s="999"/>
      <c r="RRL855" s="999"/>
      <c r="RRM855" s="999"/>
      <c r="RRN855" s="999"/>
      <c r="RRO855" s="999"/>
      <c r="RRP855" s="999"/>
      <c r="RRQ855" s="999"/>
      <c r="RRR855" s="999"/>
      <c r="RRS855" s="999"/>
      <c r="RRT855" s="999"/>
      <c r="RRU855" s="999"/>
      <c r="RRV855" s="999"/>
      <c r="RRW855" s="999"/>
      <c r="RRX855" s="999"/>
      <c r="RRY855" s="999"/>
      <c r="RRZ855" s="999"/>
      <c r="RSA855" s="999"/>
      <c r="RSB855" s="999"/>
      <c r="RSC855" s="999"/>
      <c r="RSD855" s="999"/>
      <c r="RSE855" s="999"/>
      <c r="RSF855" s="999"/>
      <c r="RSG855" s="999"/>
      <c r="RSH855" s="999"/>
      <c r="RSI855" s="999"/>
      <c r="RSJ855" s="999"/>
      <c r="RSK855" s="999"/>
      <c r="RSL855" s="999"/>
      <c r="RSM855" s="999"/>
      <c r="RSN855" s="999"/>
      <c r="RSO855" s="999"/>
      <c r="RSP855" s="999"/>
      <c r="RSQ855" s="999"/>
      <c r="RSR855" s="999"/>
      <c r="RSS855" s="999"/>
      <c r="RST855" s="999"/>
      <c r="RSU855" s="999"/>
      <c r="RSV855" s="999"/>
      <c r="RSW855" s="999"/>
      <c r="RSX855" s="999"/>
      <c r="RSY855" s="999"/>
      <c r="RSZ855" s="999"/>
      <c r="RTA855" s="999"/>
      <c r="RTB855" s="999"/>
      <c r="RTC855" s="999"/>
      <c r="RTD855" s="999"/>
      <c r="RTE855" s="999"/>
      <c r="RTF855" s="999"/>
      <c r="RTG855" s="999"/>
      <c r="RTH855" s="999"/>
      <c r="RTI855" s="999"/>
      <c r="RTJ855" s="999"/>
      <c r="RTK855" s="999"/>
      <c r="RTL855" s="999"/>
      <c r="RTM855" s="999"/>
      <c r="RTN855" s="999"/>
      <c r="RTO855" s="999"/>
      <c r="RTP855" s="999"/>
      <c r="RTQ855" s="999"/>
      <c r="RTR855" s="999"/>
      <c r="RTS855" s="999"/>
      <c r="RTT855" s="999"/>
      <c r="RTU855" s="999"/>
      <c r="RTV855" s="999"/>
      <c r="RTW855" s="999"/>
      <c r="RTX855" s="999"/>
      <c r="RTY855" s="999"/>
      <c r="RTZ855" s="999"/>
      <c r="RUA855" s="999"/>
      <c r="RUB855" s="999"/>
      <c r="RUC855" s="999"/>
      <c r="RUD855" s="999"/>
      <c r="RUE855" s="999"/>
      <c r="RUF855" s="999"/>
      <c r="RUG855" s="999"/>
      <c r="RUH855" s="999"/>
      <c r="RUI855" s="999"/>
      <c r="RUJ855" s="999"/>
      <c r="RUK855" s="999"/>
      <c r="RUL855" s="999"/>
      <c r="RUM855" s="999"/>
      <c r="RUN855" s="999"/>
      <c r="RUO855" s="999"/>
      <c r="RUP855" s="999"/>
      <c r="RUQ855" s="999"/>
      <c r="RUR855" s="999"/>
      <c r="RUS855" s="999"/>
      <c r="RUT855" s="999"/>
      <c r="RUU855" s="999"/>
      <c r="RUV855" s="999"/>
      <c r="RUW855" s="999"/>
      <c r="RUX855" s="999"/>
      <c r="RUY855" s="999"/>
      <c r="RUZ855" s="999"/>
      <c r="RVA855" s="999"/>
      <c r="RVB855" s="999"/>
      <c r="RVC855" s="999"/>
      <c r="RVD855" s="999"/>
      <c r="RVE855" s="999"/>
      <c r="RVF855" s="999"/>
      <c r="RVG855" s="999"/>
      <c r="RVH855" s="999"/>
      <c r="RVI855" s="999"/>
      <c r="RVJ855" s="999"/>
      <c r="RVK855" s="999"/>
      <c r="RVL855" s="999"/>
      <c r="RVM855" s="999"/>
      <c r="RVN855" s="999"/>
      <c r="RVO855" s="999"/>
      <c r="RVP855" s="999"/>
      <c r="RVQ855" s="999"/>
      <c r="RVR855" s="999"/>
      <c r="RVS855" s="999"/>
      <c r="RVT855" s="999"/>
      <c r="RVU855" s="999"/>
      <c r="RVV855" s="999"/>
      <c r="RVW855" s="999"/>
      <c r="RVX855" s="999"/>
      <c r="RVY855" s="999"/>
      <c r="RVZ855" s="999"/>
      <c r="RWA855" s="999"/>
      <c r="RWB855" s="999"/>
      <c r="RWC855" s="999"/>
      <c r="RWD855" s="999"/>
      <c r="RWE855" s="999"/>
      <c r="RWF855" s="999"/>
      <c r="RWG855" s="999"/>
      <c r="RWH855" s="999"/>
      <c r="RWI855" s="999"/>
      <c r="RWJ855" s="999"/>
      <c r="RWK855" s="999"/>
      <c r="RWL855" s="999"/>
      <c r="RWM855" s="999"/>
      <c r="RWN855" s="999"/>
      <c r="RWO855" s="999"/>
      <c r="RWP855" s="999"/>
      <c r="RWQ855" s="999"/>
      <c r="RWR855" s="999"/>
      <c r="RWS855" s="999"/>
      <c r="RWT855" s="999"/>
      <c r="RWU855" s="999"/>
      <c r="RWV855" s="999"/>
      <c r="RWW855" s="999"/>
      <c r="RWX855" s="999"/>
      <c r="RWY855" s="999"/>
      <c r="RWZ855" s="999"/>
      <c r="RXA855" s="999"/>
      <c r="RXB855" s="999"/>
      <c r="RXC855" s="999"/>
      <c r="RXD855" s="999"/>
      <c r="RXE855" s="999"/>
      <c r="RXF855" s="999"/>
      <c r="RXG855" s="999"/>
      <c r="RXH855" s="999"/>
      <c r="RXI855" s="999"/>
      <c r="RXJ855" s="999"/>
      <c r="RXK855" s="999"/>
      <c r="RXL855" s="999"/>
      <c r="RXM855" s="999"/>
      <c r="RXN855" s="999"/>
      <c r="RXO855" s="999"/>
      <c r="RXP855" s="999"/>
      <c r="RXQ855" s="999"/>
      <c r="RXR855" s="999"/>
      <c r="RXS855" s="999"/>
      <c r="RXT855" s="999"/>
      <c r="RXU855" s="999"/>
      <c r="RXV855" s="999"/>
      <c r="RXW855" s="999"/>
      <c r="RXX855" s="999"/>
      <c r="RXY855" s="999"/>
      <c r="RXZ855" s="999"/>
      <c r="RYA855" s="999"/>
      <c r="RYB855" s="999"/>
      <c r="RYC855" s="999"/>
      <c r="RYD855" s="999"/>
      <c r="RYE855" s="999"/>
      <c r="RYF855" s="999"/>
      <c r="RYG855" s="999"/>
      <c r="RYH855" s="999"/>
      <c r="RYI855" s="999"/>
      <c r="RYJ855" s="999"/>
      <c r="RYK855" s="999"/>
      <c r="RYL855" s="999"/>
      <c r="RYM855" s="999"/>
      <c r="RYN855" s="999"/>
      <c r="RYO855" s="999"/>
      <c r="RYP855" s="999"/>
      <c r="RYQ855" s="999"/>
      <c r="RYR855" s="999"/>
      <c r="RYS855" s="999"/>
      <c r="RYT855" s="999"/>
      <c r="RYU855" s="999"/>
      <c r="RYV855" s="999"/>
      <c r="RYW855" s="999"/>
      <c r="RYX855" s="999"/>
      <c r="RYY855" s="999"/>
      <c r="RYZ855" s="999"/>
      <c r="RZA855" s="999"/>
      <c r="RZB855" s="999"/>
      <c r="RZC855" s="999"/>
      <c r="RZD855" s="999"/>
      <c r="RZE855" s="999"/>
      <c r="RZF855" s="999"/>
      <c r="RZG855" s="999"/>
      <c r="RZH855" s="999"/>
      <c r="RZI855" s="999"/>
      <c r="RZJ855" s="999"/>
      <c r="RZK855" s="999"/>
      <c r="RZL855" s="999"/>
      <c r="RZM855" s="999"/>
      <c r="RZN855" s="999"/>
      <c r="RZO855" s="999"/>
      <c r="RZP855" s="999"/>
      <c r="RZQ855" s="999"/>
      <c r="RZR855" s="999"/>
      <c r="RZS855" s="999"/>
      <c r="RZT855" s="999"/>
      <c r="RZU855" s="999"/>
      <c r="RZV855" s="999"/>
      <c r="RZW855" s="999"/>
      <c r="RZX855" s="999"/>
      <c r="RZY855" s="999"/>
      <c r="RZZ855" s="999"/>
      <c r="SAA855" s="999"/>
      <c r="SAB855" s="999"/>
      <c r="SAC855" s="999"/>
      <c r="SAD855" s="999"/>
      <c r="SAE855" s="999"/>
      <c r="SAF855" s="999"/>
      <c r="SAG855" s="999"/>
      <c r="SAH855" s="999"/>
      <c r="SAI855" s="999"/>
      <c r="SAJ855" s="999"/>
      <c r="SAK855" s="999"/>
      <c r="SAL855" s="999"/>
      <c r="SAM855" s="999"/>
      <c r="SAN855" s="999"/>
      <c r="SAO855" s="999"/>
      <c r="SAP855" s="999"/>
      <c r="SAQ855" s="999"/>
      <c r="SAR855" s="999"/>
      <c r="SAS855" s="999"/>
      <c r="SAT855" s="999"/>
      <c r="SAU855" s="999"/>
      <c r="SAV855" s="999"/>
      <c r="SAW855" s="999"/>
      <c r="SAX855" s="999"/>
      <c r="SAY855" s="999"/>
      <c r="SAZ855" s="999"/>
      <c r="SBA855" s="999"/>
      <c r="SBB855" s="999"/>
      <c r="SBC855" s="999"/>
      <c r="SBD855" s="999"/>
      <c r="SBE855" s="999"/>
      <c r="SBF855" s="999"/>
      <c r="SBG855" s="999"/>
      <c r="SBH855" s="999"/>
      <c r="SBI855" s="999"/>
      <c r="SBJ855" s="999"/>
      <c r="SBK855" s="999"/>
      <c r="SBL855" s="999"/>
      <c r="SBM855" s="999"/>
      <c r="SBN855" s="999"/>
      <c r="SBO855" s="999"/>
      <c r="SBP855" s="999"/>
      <c r="SBQ855" s="999"/>
      <c r="SBR855" s="999"/>
      <c r="SBS855" s="999"/>
      <c r="SBT855" s="999"/>
      <c r="SBU855" s="999"/>
      <c r="SBV855" s="999"/>
      <c r="SBW855" s="999"/>
      <c r="SBX855" s="999"/>
      <c r="SBY855" s="999"/>
      <c r="SBZ855" s="999"/>
      <c r="SCA855" s="999"/>
      <c r="SCB855" s="999"/>
      <c r="SCC855" s="999"/>
      <c r="SCD855" s="999"/>
      <c r="SCE855" s="999"/>
      <c r="SCF855" s="999"/>
      <c r="SCG855" s="999"/>
      <c r="SCH855" s="999"/>
      <c r="SCI855" s="999"/>
      <c r="SCJ855" s="999"/>
      <c r="SCK855" s="999"/>
      <c r="SCL855" s="999"/>
      <c r="SCM855" s="999"/>
      <c r="SCN855" s="999"/>
      <c r="SCO855" s="999"/>
      <c r="SCP855" s="999"/>
      <c r="SCQ855" s="999"/>
      <c r="SCR855" s="999"/>
      <c r="SCS855" s="999"/>
      <c r="SCT855" s="999"/>
      <c r="SCU855" s="999"/>
      <c r="SCV855" s="999"/>
      <c r="SCW855" s="999"/>
      <c r="SCX855" s="999"/>
      <c r="SCY855" s="999"/>
      <c r="SCZ855" s="999"/>
      <c r="SDA855" s="999"/>
      <c r="SDB855" s="999"/>
      <c r="SDC855" s="999"/>
      <c r="SDD855" s="999"/>
      <c r="SDE855" s="999"/>
      <c r="SDF855" s="999"/>
      <c r="SDG855" s="999"/>
      <c r="SDH855" s="999"/>
      <c r="SDI855" s="999"/>
      <c r="SDJ855" s="999"/>
      <c r="SDK855" s="999"/>
      <c r="SDL855" s="999"/>
      <c r="SDM855" s="999"/>
      <c r="SDN855" s="999"/>
      <c r="SDO855" s="999"/>
      <c r="SDP855" s="999"/>
      <c r="SDQ855" s="999"/>
      <c r="SDR855" s="999"/>
      <c r="SDS855" s="999"/>
      <c r="SDT855" s="999"/>
      <c r="SDU855" s="999"/>
      <c r="SDV855" s="999"/>
      <c r="SDW855" s="999"/>
      <c r="SDX855" s="999"/>
      <c r="SDY855" s="999"/>
      <c r="SDZ855" s="999"/>
      <c r="SEA855" s="999"/>
      <c r="SEB855" s="999"/>
      <c r="SEC855" s="999"/>
      <c r="SED855" s="999"/>
      <c r="SEE855" s="999"/>
      <c r="SEF855" s="999"/>
      <c r="SEG855" s="999"/>
      <c r="SEH855" s="999"/>
      <c r="SEI855" s="999"/>
      <c r="SEJ855" s="999"/>
      <c r="SEK855" s="999"/>
      <c r="SEL855" s="999"/>
      <c r="SEM855" s="999"/>
      <c r="SEN855" s="999"/>
      <c r="SEO855" s="999"/>
      <c r="SEP855" s="999"/>
      <c r="SEQ855" s="999"/>
      <c r="SER855" s="999"/>
      <c r="SES855" s="999"/>
      <c r="SET855" s="999"/>
      <c r="SEU855" s="999"/>
      <c r="SEV855" s="999"/>
      <c r="SEW855" s="999"/>
      <c r="SEX855" s="999"/>
      <c r="SEY855" s="999"/>
      <c r="SEZ855" s="999"/>
      <c r="SFA855" s="999"/>
      <c r="SFB855" s="999"/>
      <c r="SFC855" s="999"/>
      <c r="SFD855" s="999"/>
      <c r="SFE855" s="999"/>
      <c r="SFF855" s="999"/>
      <c r="SFG855" s="999"/>
      <c r="SFH855" s="999"/>
      <c r="SFI855" s="999"/>
      <c r="SFJ855" s="999"/>
      <c r="SFK855" s="999"/>
      <c r="SFL855" s="999"/>
      <c r="SFM855" s="999"/>
      <c r="SFN855" s="999"/>
      <c r="SFO855" s="999"/>
      <c r="SFP855" s="999"/>
      <c r="SFQ855" s="999"/>
      <c r="SFR855" s="999"/>
      <c r="SFS855" s="999"/>
      <c r="SFT855" s="999"/>
      <c r="SFU855" s="999"/>
      <c r="SFV855" s="999"/>
      <c r="SFW855" s="999"/>
      <c r="SFX855" s="999"/>
      <c r="SFY855" s="999"/>
      <c r="SFZ855" s="999"/>
      <c r="SGA855" s="999"/>
      <c r="SGB855" s="999"/>
      <c r="SGC855" s="999"/>
      <c r="SGD855" s="999"/>
      <c r="SGE855" s="999"/>
      <c r="SGF855" s="999"/>
      <c r="SGG855" s="999"/>
      <c r="SGH855" s="999"/>
      <c r="SGI855" s="999"/>
      <c r="SGJ855" s="999"/>
      <c r="SGK855" s="999"/>
      <c r="SGL855" s="999"/>
      <c r="SGM855" s="999"/>
      <c r="SGN855" s="999"/>
      <c r="SGO855" s="999"/>
      <c r="SGP855" s="999"/>
      <c r="SGQ855" s="999"/>
      <c r="SGR855" s="999"/>
      <c r="SGS855" s="999"/>
      <c r="SGT855" s="999"/>
      <c r="SGU855" s="999"/>
      <c r="SGV855" s="999"/>
      <c r="SGW855" s="999"/>
      <c r="SGX855" s="999"/>
      <c r="SGY855" s="999"/>
      <c r="SGZ855" s="999"/>
      <c r="SHA855" s="999"/>
      <c r="SHB855" s="999"/>
      <c r="SHC855" s="999"/>
      <c r="SHD855" s="999"/>
      <c r="SHE855" s="999"/>
      <c r="SHF855" s="999"/>
      <c r="SHG855" s="999"/>
      <c r="SHH855" s="999"/>
      <c r="SHI855" s="999"/>
      <c r="SHJ855" s="999"/>
      <c r="SHK855" s="999"/>
      <c r="SHL855" s="999"/>
      <c r="SHM855" s="999"/>
      <c r="SHN855" s="999"/>
      <c r="SHO855" s="999"/>
      <c r="SHP855" s="999"/>
      <c r="SHQ855" s="999"/>
      <c r="SHR855" s="999"/>
      <c r="SHS855" s="999"/>
      <c r="SHT855" s="999"/>
      <c r="SHU855" s="999"/>
      <c r="SHV855" s="999"/>
      <c r="SHW855" s="999"/>
      <c r="SHX855" s="999"/>
      <c r="SHY855" s="999"/>
      <c r="SHZ855" s="999"/>
      <c r="SIA855" s="999"/>
      <c r="SIB855" s="999"/>
      <c r="SIC855" s="999"/>
      <c r="SID855" s="999"/>
      <c r="SIE855" s="999"/>
      <c r="SIF855" s="999"/>
      <c r="SIG855" s="999"/>
      <c r="SIH855" s="999"/>
      <c r="SII855" s="999"/>
      <c r="SIJ855" s="999"/>
      <c r="SIK855" s="999"/>
      <c r="SIL855" s="999"/>
      <c r="SIM855" s="999"/>
      <c r="SIN855" s="999"/>
      <c r="SIO855" s="999"/>
      <c r="SIP855" s="999"/>
      <c r="SIQ855" s="999"/>
      <c r="SIR855" s="999"/>
      <c r="SIS855" s="999"/>
      <c r="SIT855" s="999"/>
      <c r="SIU855" s="999"/>
      <c r="SIV855" s="999"/>
      <c r="SIW855" s="999"/>
      <c r="SIX855" s="999"/>
      <c r="SIY855" s="999"/>
      <c r="SIZ855" s="999"/>
      <c r="SJA855" s="999"/>
      <c r="SJB855" s="999"/>
      <c r="SJC855" s="999"/>
      <c r="SJD855" s="999"/>
      <c r="SJE855" s="999"/>
      <c r="SJF855" s="999"/>
      <c r="SJG855" s="999"/>
      <c r="SJH855" s="999"/>
      <c r="SJI855" s="999"/>
      <c r="SJJ855" s="999"/>
      <c r="SJK855" s="999"/>
      <c r="SJL855" s="999"/>
      <c r="SJM855" s="999"/>
      <c r="SJN855" s="999"/>
      <c r="SJO855" s="999"/>
      <c r="SJP855" s="999"/>
      <c r="SJQ855" s="999"/>
      <c r="SJR855" s="999"/>
      <c r="SJS855" s="999"/>
      <c r="SJT855" s="999"/>
      <c r="SJU855" s="999"/>
      <c r="SJV855" s="999"/>
      <c r="SJW855" s="999"/>
      <c r="SJX855" s="999"/>
      <c r="SJY855" s="999"/>
      <c r="SJZ855" s="999"/>
      <c r="SKA855" s="999"/>
      <c r="SKB855" s="999"/>
      <c r="SKC855" s="999"/>
      <c r="SKD855" s="999"/>
      <c r="SKE855" s="999"/>
      <c r="SKF855" s="999"/>
      <c r="SKG855" s="999"/>
      <c r="SKH855" s="999"/>
      <c r="SKI855" s="999"/>
      <c r="SKJ855" s="999"/>
      <c r="SKK855" s="999"/>
      <c r="SKL855" s="999"/>
      <c r="SKM855" s="999"/>
      <c r="SKN855" s="999"/>
      <c r="SKO855" s="999"/>
      <c r="SKP855" s="999"/>
      <c r="SKQ855" s="999"/>
      <c r="SKR855" s="999"/>
      <c r="SKS855" s="999"/>
      <c r="SKT855" s="999"/>
      <c r="SKU855" s="999"/>
      <c r="SKV855" s="999"/>
      <c r="SKW855" s="999"/>
      <c r="SKX855" s="999"/>
      <c r="SKY855" s="999"/>
      <c r="SKZ855" s="999"/>
      <c r="SLA855" s="999"/>
      <c r="SLB855" s="999"/>
      <c r="SLC855" s="999"/>
      <c r="SLD855" s="999"/>
      <c r="SLE855" s="999"/>
      <c r="SLF855" s="999"/>
      <c r="SLG855" s="999"/>
      <c r="SLH855" s="999"/>
      <c r="SLI855" s="999"/>
      <c r="SLJ855" s="999"/>
      <c r="SLK855" s="999"/>
      <c r="SLL855" s="999"/>
      <c r="SLM855" s="999"/>
      <c r="SLN855" s="999"/>
      <c r="SLO855" s="999"/>
      <c r="SLP855" s="999"/>
      <c r="SLQ855" s="999"/>
      <c r="SLR855" s="999"/>
      <c r="SLS855" s="999"/>
      <c r="SLT855" s="999"/>
      <c r="SLU855" s="999"/>
      <c r="SLV855" s="999"/>
      <c r="SLW855" s="999"/>
      <c r="SLX855" s="999"/>
      <c r="SLY855" s="999"/>
      <c r="SLZ855" s="999"/>
      <c r="SMA855" s="999"/>
      <c r="SMB855" s="999"/>
      <c r="SMC855" s="999"/>
      <c r="SMD855" s="999"/>
      <c r="SME855" s="999"/>
      <c r="SMF855" s="999"/>
      <c r="SMG855" s="999"/>
      <c r="SMH855" s="999"/>
      <c r="SMI855" s="999"/>
      <c r="SMJ855" s="999"/>
      <c r="SMK855" s="999"/>
      <c r="SML855" s="999"/>
      <c r="SMM855" s="999"/>
      <c r="SMN855" s="999"/>
      <c r="SMO855" s="999"/>
      <c r="SMP855" s="999"/>
      <c r="SMQ855" s="999"/>
      <c r="SMR855" s="999"/>
      <c r="SMS855" s="999"/>
      <c r="SMT855" s="999"/>
      <c r="SMU855" s="999"/>
      <c r="SMV855" s="999"/>
      <c r="SMW855" s="999"/>
      <c r="SMX855" s="999"/>
      <c r="SMY855" s="999"/>
      <c r="SMZ855" s="999"/>
      <c r="SNA855" s="999"/>
      <c r="SNB855" s="999"/>
      <c r="SNC855" s="999"/>
      <c r="SND855" s="999"/>
      <c r="SNE855" s="999"/>
      <c r="SNF855" s="999"/>
      <c r="SNG855" s="999"/>
      <c r="SNH855" s="999"/>
      <c r="SNI855" s="999"/>
      <c r="SNJ855" s="999"/>
      <c r="SNK855" s="999"/>
      <c r="SNL855" s="999"/>
      <c r="SNM855" s="999"/>
      <c r="SNN855" s="999"/>
      <c r="SNO855" s="999"/>
      <c r="SNP855" s="999"/>
      <c r="SNQ855" s="999"/>
      <c r="SNR855" s="999"/>
      <c r="SNS855" s="999"/>
      <c r="SNT855" s="999"/>
      <c r="SNU855" s="999"/>
      <c r="SNV855" s="999"/>
      <c r="SNW855" s="999"/>
      <c r="SNX855" s="999"/>
      <c r="SNY855" s="999"/>
      <c r="SNZ855" s="999"/>
      <c r="SOA855" s="999"/>
      <c r="SOB855" s="999"/>
      <c r="SOC855" s="999"/>
      <c r="SOD855" s="999"/>
      <c r="SOE855" s="999"/>
      <c r="SOF855" s="999"/>
      <c r="SOG855" s="999"/>
      <c r="SOH855" s="999"/>
      <c r="SOI855" s="999"/>
      <c r="SOJ855" s="999"/>
      <c r="SOK855" s="999"/>
      <c r="SOL855" s="999"/>
      <c r="SOM855" s="999"/>
      <c r="SON855" s="999"/>
      <c r="SOO855" s="999"/>
      <c r="SOP855" s="999"/>
      <c r="SOQ855" s="999"/>
      <c r="SOR855" s="999"/>
      <c r="SOS855" s="999"/>
      <c r="SOT855" s="999"/>
      <c r="SOU855" s="999"/>
      <c r="SOV855" s="999"/>
      <c r="SOW855" s="999"/>
      <c r="SOX855" s="999"/>
      <c r="SOY855" s="999"/>
      <c r="SOZ855" s="999"/>
      <c r="SPA855" s="999"/>
      <c r="SPB855" s="999"/>
      <c r="SPC855" s="999"/>
      <c r="SPD855" s="999"/>
      <c r="SPE855" s="999"/>
      <c r="SPF855" s="999"/>
      <c r="SPG855" s="999"/>
      <c r="SPH855" s="999"/>
      <c r="SPI855" s="999"/>
      <c r="SPJ855" s="999"/>
      <c r="SPK855" s="999"/>
      <c r="SPL855" s="999"/>
      <c r="SPM855" s="999"/>
      <c r="SPN855" s="999"/>
      <c r="SPO855" s="999"/>
      <c r="SPP855" s="999"/>
      <c r="SPQ855" s="999"/>
      <c r="SPR855" s="999"/>
      <c r="SPS855" s="999"/>
      <c r="SPT855" s="999"/>
      <c r="SPU855" s="999"/>
      <c r="SPV855" s="999"/>
      <c r="SPW855" s="999"/>
      <c r="SPX855" s="999"/>
      <c r="SPY855" s="999"/>
      <c r="SPZ855" s="999"/>
      <c r="SQA855" s="999"/>
      <c r="SQB855" s="999"/>
      <c r="SQC855" s="999"/>
      <c r="SQD855" s="999"/>
      <c r="SQE855" s="999"/>
      <c r="SQF855" s="999"/>
      <c r="SQG855" s="999"/>
      <c r="SQH855" s="999"/>
      <c r="SQI855" s="999"/>
      <c r="SQJ855" s="999"/>
      <c r="SQK855" s="999"/>
      <c r="SQL855" s="999"/>
      <c r="SQM855" s="999"/>
      <c r="SQN855" s="999"/>
      <c r="SQO855" s="999"/>
      <c r="SQP855" s="999"/>
      <c r="SQQ855" s="999"/>
      <c r="SQR855" s="999"/>
      <c r="SQS855" s="999"/>
      <c r="SQT855" s="999"/>
      <c r="SQU855" s="999"/>
      <c r="SQV855" s="999"/>
      <c r="SQW855" s="999"/>
      <c r="SQX855" s="999"/>
      <c r="SQY855" s="999"/>
      <c r="SQZ855" s="999"/>
      <c r="SRA855" s="999"/>
      <c r="SRB855" s="999"/>
      <c r="SRC855" s="999"/>
      <c r="SRD855" s="999"/>
      <c r="SRE855" s="999"/>
      <c r="SRF855" s="999"/>
      <c r="SRG855" s="999"/>
      <c r="SRH855" s="999"/>
      <c r="SRI855" s="999"/>
      <c r="SRJ855" s="999"/>
      <c r="SRK855" s="999"/>
      <c r="SRL855" s="999"/>
      <c r="SRM855" s="999"/>
      <c r="SRN855" s="999"/>
      <c r="SRO855" s="999"/>
      <c r="SRP855" s="999"/>
      <c r="SRQ855" s="999"/>
      <c r="SRR855" s="999"/>
      <c r="SRS855" s="999"/>
      <c r="SRT855" s="999"/>
      <c r="SRU855" s="999"/>
      <c r="SRV855" s="999"/>
      <c r="SRW855" s="999"/>
      <c r="SRX855" s="999"/>
      <c r="SRY855" s="999"/>
      <c r="SRZ855" s="999"/>
      <c r="SSA855" s="999"/>
      <c r="SSB855" s="999"/>
      <c r="SSC855" s="999"/>
      <c r="SSD855" s="999"/>
      <c r="SSE855" s="999"/>
      <c r="SSF855" s="999"/>
      <c r="SSG855" s="999"/>
      <c r="SSH855" s="999"/>
      <c r="SSI855" s="999"/>
      <c r="SSJ855" s="999"/>
      <c r="SSK855" s="999"/>
      <c r="SSL855" s="999"/>
      <c r="SSM855" s="999"/>
      <c r="SSN855" s="999"/>
      <c r="SSO855" s="999"/>
      <c r="SSP855" s="999"/>
      <c r="SSQ855" s="999"/>
      <c r="SSR855" s="999"/>
      <c r="SSS855" s="999"/>
      <c r="SST855" s="999"/>
      <c r="SSU855" s="999"/>
      <c r="SSV855" s="999"/>
      <c r="SSW855" s="999"/>
      <c r="SSX855" s="999"/>
      <c r="SSY855" s="999"/>
      <c r="SSZ855" s="999"/>
      <c r="STA855" s="999"/>
      <c r="STB855" s="999"/>
      <c r="STC855" s="999"/>
      <c r="STD855" s="999"/>
      <c r="STE855" s="999"/>
      <c r="STF855" s="999"/>
      <c r="STG855" s="999"/>
      <c r="STH855" s="999"/>
      <c r="STI855" s="999"/>
      <c r="STJ855" s="999"/>
      <c r="STK855" s="999"/>
      <c r="STL855" s="999"/>
      <c r="STM855" s="999"/>
      <c r="STN855" s="999"/>
      <c r="STO855" s="999"/>
      <c r="STP855" s="999"/>
      <c r="STQ855" s="999"/>
      <c r="STR855" s="999"/>
      <c r="STS855" s="999"/>
      <c r="STT855" s="999"/>
      <c r="STU855" s="999"/>
      <c r="STV855" s="999"/>
      <c r="STW855" s="999"/>
      <c r="STX855" s="999"/>
      <c r="STY855" s="999"/>
      <c r="STZ855" s="999"/>
      <c r="SUA855" s="999"/>
      <c r="SUB855" s="999"/>
      <c r="SUC855" s="999"/>
      <c r="SUD855" s="999"/>
      <c r="SUE855" s="999"/>
      <c r="SUF855" s="999"/>
      <c r="SUG855" s="999"/>
      <c r="SUH855" s="999"/>
      <c r="SUI855" s="999"/>
      <c r="SUJ855" s="999"/>
      <c r="SUK855" s="999"/>
      <c r="SUL855" s="999"/>
      <c r="SUM855" s="999"/>
      <c r="SUN855" s="999"/>
      <c r="SUO855" s="999"/>
      <c r="SUP855" s="999"/>
      <c r="SUQ855" s="999"/>
      <c r="SUR855" s="999"/>
      <c r="SUS855" s="999"/>
      <c r="SUT855" s="999"/>
      <c r="SUU855" s="999"/>
      <c r="SUV855" s="999"/>
      <c r="SUW855" s="999"/>
      <c r="SUX855" s="999"/>
      <c r="SUY855" s="999"/>
      <c r="SUZ855" s="999"/>
      <c r="SVA855" s="999"/>
      <c r="SVB855" s="999"/>
      <c r="SVC855" s="999"/>
      <c r="SVD855" s="999"/>
      <c r="SVE855" s="999"/>
      <c r="SVF855" s="999"/>
      <c r="SVG855" s="999"/>
      <c r="SVH855" s="999"/>
      <c r="SVI855" s="999"/>
      <c r="SVJ855" s="999"/>
      <c r="SVK855" s="999"/>
      <c r="SVL855" s="999"/>
      <c r="SVM855" s="999"/>
      <c r="SVN855" s="999"/>
      <c r="SVO855" s="999"/>
      <c r="SVP855" s="999"/>
      <c r="SVQ855" s="999"/>
      <c r="SVR855" s="999"/>
      <c r="SVS855" s="999"/>
      <c r="SVT855" s="999"/>
      <c r="SVU855" s="999"/>
      <c r="SVV855" s="999"/>
      <c r="SVW855" s="999"/>
      <c r="SVX855" s="999"/>
      <c r="SVY855" s="999"/>
      <c r="SVZ855" s="999"/>
      <c r="SWA855" s="999"/>
      <c r="SWB855" s="999"/>
      <c r="SWC855" s="999"/>
      <c r="SWD855" s="999"/>
      <c r="SWE855" s="999"/>
      <c r="SWF855" s="999"/>
      <c r="SWG855" s="999"/>
      <c r="SWH855" s="999"/>
      <c r="SWI855" s="999"/>
      <c r="SWJ855" s="999"/>
      <c r="SWK855" s="999"/>
      <c r="SWL855" s="999"/>
      <c r="SWM855" s="999"/>
      <c r="SWN855" s="999"/>
      <c r="SWO855" s="999"/>
      <c r="SWP855" s="999"/>
      <c r="SWQ855" s="999"/>
      <c r="SWR855" s="999"/>
      <c r="SWS855" s="999"/>
      <c r="SWT855" s="999"/>
      <c r="SWU855" s="999"/>
      <c r="SWV855" s="999"/>
      <c r="SWW855" s="999"/>
      <c r="SWX855" s="999"/>
      <c r="SWY855" s="999"/>
      <c r="SWZ855" s="999"/>
      <c r="SXA855" s="999"/>
      <c r="SXB855" s="999"/>
      <c r="SXC855" s="999"/>
      <c r="SXD855" s="999"/>
      <c r="SXE855" s="999"/>
      <c r="SXF855" s="999"/>
      <c r="SXG855" s="999"/>
      <c r="SXH855" s="999"/>
      <c r="SXI855" s="999"/>
      <c r="SXJ855" s="999"/>
      <c r="SXK855" s="999"/>
      <c r="SXL855" s="999"/>
      <c r="SXM855" s="999"/>
      <c r="SXN855" s="999"/>
      <c r="SXO855" s="999"/>
      <c r="SXP855" s="999"/>
      <c r="SXQ855" s="999"/>
      <c r="SXR855" s="999"/>
      <c r="SXS855" s="999"/>
      <c r="SXT855" s="999"/>
      <c r="SXU855" s="999"/>
      <c r="SXV855" s="999"/>
      <c r="SXW855" s="999"/>
      <c r="SXX855" s="999"/>
      <c r="SXY855" s="999"/>
      <c r="SXZ855" s="999"/>
      <c r="SYA855" s="999"/>
      <c r="SYB855" s="999"/>
      <c r="SYC855" s="999"/>
      <c r="SYD855" s="999"/>
      <c r="SYE855" s="999"/>
      <c r="SYF855" s="999"/>
      <c r="SYG855" s="999"/>
      <c r="SYH855" s="999"/>
      <c r="SYI855" s="999"/>
      <c r="SYJ855" s="999"/>
      <c r="SYK855" s="999"/>
      <c r="SYL855" s="999"/>
      <c r="SYM855" s="999"/>
      <c r="SYN855" s="999"/>
      <c r="SYO855" s="999"/>
      <c r="SYP855" s="999"/>
      <c r="SYQ855" s="999"/>
      <c r="SYR855" s="999"/>
      <c r="SYS855" s="999"/>
      <c r="SYT855" s="999"/>
      <c r="SYU855" s="999"/>
      <c r="SYV855" s="999"/>
      <c r="SYW855" s="999"/>
      <c r="SYX855" s="999"/>
      <c r="SYY855" s="999"/>
      <c r="SYZ855" s="999"/>
      <c r="SZA855" s="999"/>
      <c r="SZB855" s="999"/>
      <c r="SZC855" s="999"/>
      <c r="SZD855" s="999"/>
      <c r="SZE855" s="999"/>
      <c r="SZF855" s="999"/>
      <c r="SZG855" s="999"/>
      <c r="SZH855" s="999"/>
      <c r="SZI855" s="999"/>
      <c r="SZJ855" s="999"/>
      <c r="SZK855" s="999"/>
      <c r="SZL855" s="999"/>
      <c r="SZM855" s="999"/>
      <c r="SZN855" s="999"/>
      <c r="SZO855" s="999"/>
      <c r="SZP855" s="999"/>
      <c r="SZQ855" s="999"/>
      <c r="SZR855" s="999"/>
      <c r="SZS855" s="999"/>
      <c r="SZT855" s="999"/>
      <c r="SZU855" s="999"/>
      <c r="SZV855" s="999"/>
      <c r="SZW855" s="999"/>
      <c r="SZX855" s="999"/>
      <c r="SZY855" s="999"/>
      <c r="SZZ855" s="999"/>
      <c r="TAA855" s="999"/>
      <c r="TAB855" s="999"/>
      <c r="TAC855" s="999"/>
      <c r="TAD855" s="999"/>
      <c r="TAE855" s="999"/>
      <c r="TAF855" s="999"/>
      <c r="TAG855" s="999"/>
      <c r="TAH855" s="999"/>
      <c r="TAI855" s="999"/>
      <c r="TAJ855" s="999"/>
      <c r="TAK855" s="999"/>
      <c r="TAL855" s="999"/>
      <c r="TAM855" s="999"/>
      <c r="TAN855" s="999"/>
      <c r="TAO855" s="999"/>
      <c r="TAP855" s="999"/>
      <c r="TAQ855" s="999"/>
      <c r="TAR855" s="999"/>
      <c r="TAS855" s="999"/>
      <c r="TAT855" s="999"/>
      <c r="TAU855" s="999"/>
      <c r="TAV855" s="999"/>
      <c r="TAW855" s="999"/>
      <c r="TAX855" s="999"/>
      <c r="TAY855" s="999"/>
      <c r="TAZ855" s="999"/>
      <c r="TBA855" s="999"/>
      <c r="TBB855" s="999"/>
      <c r="TBC855" s="999"/>
      <c r="TBD855" s="999"/>
      <c r="TBE855" s="999"/>
      <c r="TBF855" s="999"/>
      <c r="TBG855" s="999"/>
      <c r="TBH855" s="999"/>
      <c r="TBI855" s="999"/>
      <c r="TBJ855" s="999"/>
      <c r="TBK855" s="999"/>
      <c r="TBL855" s="999"/>
      <c r="TBM855" s="999"/>
      <c r="TBN855" s="999"/>
      <c r="TBO855" s="999"/>
      <c r="TBP855" s="999"/>
      <c r="TBQ855" s="999"/>
      <c r="TBR855" s="999"/>
      <c r="TBS855" s="999"/>
      <c r="TBT855" s="999"/>
      <c r="TBU855" s="999"/>
      <c r="TBV855" s="999"/>
      <c r="TBW855" s="999"/>
      <c r="TBX855" s="999"/>
      <c r="TBY855" s="999"/>
      <c r="TBZ855" s="999"/>
      <c r="TCA855" s="999"/>
      <c r="TCB855" s="999"/>
      <c r="TCC855" s="999"/>
      <c r="TCD855" s="999"/>
      <c r="TCE855" s="999"/>
      <c r="TCF855" s="999"/>
      <c r="TCG855" s="999"/>
      <c r="TCH855" s="999"/>
      <c r="TCI855" s="999"/>
      <c r="TCJ855" s="999"/>
      <c r="TCK855" s="999"/>
      <c r="TCL855" s="999"/>
      <c r="TCM855" s="999"/>
      <c r="TCN855" s="999"/>
      <c r="TCO855" s="999"/>
      <c r="TCP855" s="999"/>
      <c r="TCQ855" s="999"/>
      <c r="TCR855" s="999"/>
      <c r="TCS855" s="999"/>
      <c r="TCT855" s="999"/>
      <c r="TCU855" s="999"/>
      <c r="TCV855" s="999"/>
      <c r="TCW855" s="999"/>
      <c r="TCX855" s="999"/>
      <c r="TCY855" s="999"/>
      <c r="TCZ855" s="999"/>
      <c r="TDA855" s="999"/>
      <c r="TDB855" s="999"/>
      <c r="TDC855" s="999"/>
      <c r="TDD855" s="999"/>
      <c r="TDE855" s="999"/>
      <c r="TDF855" s="999"/>
      <c r="TDG855" s="999"/>
      <c r="TDH855" s="999"/>
      <c r="TDI855" s="999"/>
      <c r="TDJ855" s="999"/>
      <c r="TDK855" s="999"/>
      <c r="TDL855" s="999"/>
      <c r="TDM855" s="999"/>
      <c r="TDN855" s="999"/>
      <c r="TDO855" s="999"/>
      <c r="TDP855" s="999"/>
      <c r="TDQ855" s="999"/>
      <c r="TDR855" s="999"/>
      <c r="TDS855" s="999"/>
      <c r="TDT855" s="999"/>
      <c r="TDU855" s="999"/>
      <c r="TDV855" s="999"/>
      <c r="TDW855" s="999"/>
      <c r="TDX855" s="999"/>
      <c r="TDY855" s="999"/>
      <c r="TDZ855" s="999"/>
      <c r="TEA855" s="999"/>
      <c r="TEB855" s="999"/>
      <c r="TEC855" s="999"/>
      <c r="TED855" s="999"/>
      <c r="TEE855" s="999"/>
      <c r="TEF855" s="999"/>
      <c r="TEG855" s="999"/>
      <c r="TEH855" s="999"/>
      <c r="TEI855" s="999"/>
      <c r="TEJ855" s="999"/>
      <c r="TEK855" s="999"/>
      <c r="TEL855" s="999"/>
      <c r="TEM855" s="999"/>
      <c r="TEN855" s="999"/>
      <c r="TEO855" s="999"/>
      <c r="TEP855" s="999"/>
      <c r="TEQ855" s="999"/>
      <c r="TER855" s="999"/>
      <c r="TES855" s="999"/>
      <c r="TET855" s="999"/>
      <c r="TEU855" s="999"/>
      <c r="TEV855" s="999"/>
      <c r="TEW855" s="999"/>
      <c r="TEX855" s="999"/>
      <c r="TEY855" s="999"/>
      <c r="TEZ855" s="999"/>
      <c r="TFA855" s="999"/>
      <c r="TFB855" s="999"/>
      <c r="TFC855" s="999"/>
      <c r="TFD855" s="999"/>
      <c r="TFE855" s="999"/>
      <c r="TFF855" s="999"/>
      <c r="TFG855" s="999"/>
      <c r="TFH855" s="999"/>
      <c r="TFI855" s="999"/>
      <c r="TFJ855" s="999"/>
      <c r="TFK855" s="999"/>
      <c r="TFL855" s="999"/>
      <c r="TFM855" s="999"/>
      <c r="TFN855" s="999"/>
      <c r="TFO855" s="999"/>
      <c r="TFP855" s="999"/>
      <c r="TFQ855" s="999"/>
      <c r="TFR855" s="999"/>
      <c r="TFS855" s="999"/>
      <c r="TFT855" s="999"/>
      <c r="TFU855" s="999"/>
      <c r="TFV855" s="999"/>
      <c r="TFW855" s="999"/>
      <c r="TFX855" s="999"/>
      <c r="TFY855" s="999"/>
      <c r="TFZ855" s="999"/>
      <c r="TGA855" s="999"/>
      <c r="TGB855" s="999"/>
      <c r="TGC855" s="999"/>
      <c r="TGD855" s="999"/>
      <c r="TGE855" s="999"/>
      <c r="TGF855" s="999"/>
      <c r="TGG855" s="999"/>
      <c r="TGH855" s="999"/>
      <c r="TGI855" s="999"/>
      <c r="TGJ855" s="999"/>
      <c r="TGK855" s="999"/>
      <c r="TGL855" s="999"/>
      <c r="TGM855" s="999"/>
      <c r="TGN855" s="999"/>
      <c r="TGO855" s="999"/>
      <c r="TGP855" s="999"/>
      <c r="TGQ855" s="999"/>
      <c r="TGR855" s="999"/>
      <c r="TGS855" s="999"/>
      <c r="TGT855" s="999"/>
      <c r="TGU855" s="999"/>
      <c r="TGV855" s="999"/>
      <c r="TGW855" s="999"/>
      <c r="TGX855" s="999"/>
      <c r="TGY855" s="999"/>
      <c r="TGZ855" s="999"/>
      <c r="THA855" s="999"/>
      <c r="THB855" s="999"/>
      <c r="THC855" s="999"/>
      <c r="THD855" s="999"/>
      <c r="THE855" s="999"/>
      <c r="THF855" s="999"/>
      <c r="THG855" s="999"/>
      <c r="THH855" s="999"/>
      <c r="THI855" s="999"/>
      <c r="THJ855" s="999"/>
      <c r="THK855" s="999"/>
      <c r="THL855" s="999"/>
      <c r="THM855" s="999"/>
      <c r="THN855" s="999"/>
      <c r="THO855" s="999"/>
      <c r="THP855" s="999"/>
      <c r="THQ855" s="999"/>
      <c r="THR855" s="999"/>
      <c r="THS855" s="999"/>
      <c r="THT855" s="999"/>
      <c r="THU855" s="999"/>
      <c r="THV855" s="999"/>
      <c r="THW855" s="999"/>
      <c r="THX855" s="999"/>
      <c r="THY855" s="999"/>
      <c r="THZ855" s="999"/>
      <c r="TIA855" s="999"/>
      <c r="TIB855" s="999"/>
      <c r="TIC855" s="999"/>
      <c r="TID855" s="999"/>
      <c r="TIE855" s="999"/>
      <c r="TIF855" s="999"/>
      <c r="TIG855" s="999"/>
      <c r="TIH855" s="999"/>
      <c r="TII855" s="999"/>
      <c r="TIJ855" s="999"/>
      <c r="TIK855" s="999"/>
      <c r="TIL855" s="999"/>
      <c r="TIM855" s="999"/>
      <c r="TIN855" s="999"/>
      <c r="TIO855" s="999"/>
      <c r="TIP855" s="999"/>
      <c r="TIQ855" s="999"/>
      <c r="TIR855" s="999"/>
      <c r="TIS855" s="999"/>
      <c r="TIT855" s="999"/>
      <c r="TIU855" s="999"/>
      <c r="TIV855" s="999"/>
      <c r="TIW855" s="999"/>
      <c r="TIX855" s="999"/>
      <c r="TIY855" s="999"/>
      <c r="TIZ855" s="999"/>
      <c r="TJA855" s="999"/>
      <c r="TJB855" s="999"/>
      <c r="TJC855" s="999"/>
      <c r="TJD855" s="999"/>
      <c r="TJE855" s="999"/>
      <c r="TJF855" s="999"/>
      <c r="TJG855" s="999"/>
      <c r="TJH855" s="999"/>
      <c r="TJI855" s="999"/>
      <c r="TJJ855" s="999"/>
      <c r="TJK855" s="999"/>
      <c r="TJL855" s="999"/>
      <c r="TJM855" s="999"/>
      <c r="TJN855" s="999"/>
      <c r="TJO855" s="999"/>
      <c r="TJP855" s="999"/>
      <c r="TJQ855" s="999"/>
      <c r="TJR855" s="999"/>
      <c r="TJS855" s="999"/>
      <c r="TJT855" s="999"/>
      <c r="TJU855" s="999"/>
      <c r="TJV855" s="999"/>
      <c r="TJW855" s="999"/>
      <c r="TJX855" s="999"/>
      <c r="TJY855" s="999"/>
      <c r="TJZ855" s="999"/>
      <c r="TKA855" s="999"/>
      <c r="TKB855" s="999"/>
      <c r="TKC855" s="999"/>
      <c r="TKD855" s="999"/>
      <c r="TKE855" s="999"/>
      <c r="TKF855" s="999"/>
      <c r="TKG855" s="999"/>
      <c r="TKH855" s="999"/>
      <c r="TKI855" s="999"/>
      <c r="TKJ855" s="999"/>
      <c r="TKK855" s="999"/>
      <c r="TKL855" s="999"/>
      <c r="TKM855" s="999"/>
      <c r="TKN855" s="999"/>
      <c r="TKO855" s="999"/>
      <c r="TKP855" s="999"/>
      <c r="TKQ855" s="999"/>
      <c r="TKR855" s="999"/>
      <c r="TKS855" s="999"/>
      <c r="TKT855" s="999"/>
      <c r="TKU855" s="999"/>
      <c r="TKV855" s="999"/>
      <c r="TKW855" s="999"/>
      <c r="TKX855" s="999"/>
      <c r="TKY855" s="999"/>
      <c r="TKZ855" s="999"/>
      <c r="TLA855" s="999"/>
      <c r="TLB855" s="999"/>
      <c r="TLC855" s="999"/>
      <c r="TLD855" s="999"/>
      <c r="TLE855" s="999"/>
      <c r="TLF855" s="999"/>
      <c r="TLG855" s="999"/>
      <c r="TLH855" s="999"/>
      <c r="TLI855" s="999"/>
      <c r="TLJ855" s="999"/>
      <c r="TLK855" s="999"/>
      <c r="TLL855" s="999"/>
      <c r="TLM855" s="999"/>
      <c r="TLN855" s="999"/>
      <c r="TLO855" s="999"/>
      <c r="TLP855" s="999"/>
      <c r="TLQ855" s="999"/>
      <c r="TLR855" s="999"/>
      <c r="TLS855" s="999"/>
      <c r="TLT855" s="999"/>
      <c r="TLU855" s="999"/>
      <c r="TLV855" s="999"/>
      <c r="TLW855" s="999"/>
      <c r="TLX855" s="999"/>
      <c r="TLY855" s="999"/>
      <c r="TLZ855" s="999"/>
      <c r="TMA855" s="999"/>
      <c r="TMB855" s="999"/>
      <c r="TMC855" s="999"/>
      <c r="TMD855" s="999"/>
      <c r="TME855" s="999"/>
      <c r="TMF855" s="999"/>
      <c r="TMG855" s="999"/>
      <c r="TMH855" s="999"/>
      <c r="TMI855" s="999"/>
      <c r="TMJ855" s="999"/>
      <c r="TMK855" s="999"/>
      <c r="TML855" s="999"/>
      <c r="TMM855" s="999"/>
      <c r="TMN855" s="999"/>
      <c r="TMO855" s="999"/>
      <c r="TMP855" s="999"/>
      <c r="TMQ855" s="999"/>
      <c r="TMR855" s="999"/>
      <c r="TMS855" s="999"/>
      <c r="TMT855" s="999"/>
      <c r="TMU855" s="999"/>
      <c r="TMV855" s="999"/>
      <c r="TMW855" s="999"/>
      <c r="TMX855" s="999"/>
      <c r="TMY855" s="999"/>
      <c r="TMZ855" s="999"/>
      <c r="TNA855" s="999"/>
      <c r="TNB855" s="999"/>
      <c r="TNC855" s="999"/>
      <c r="TND855" s="999"/>
      <c r="TNE855" s="999"/>
      <c r="TNF855" s="999"/>
      <c r="TNG855" s="999"/>
      <c r="TNH855" s="999"/>
      <c r="TNI855" s="999"/>
      <c r="TNJ855" s="999"/>
      <c r="TNK855" s="999"/>
      <c r="TNL855" s="999"/>
      <c r="TNM855" s="999"/>
      <c r="TNN855" s="999"/>
      <c r="TNO855" s="999"/>
      <c r="TNP855" s="999"/>
      <c r="TNQ855" s="999"/>
      <c r="TNR855" s="999"/>
      <c r="TNS855" s="999"/>
      <c r="TNT855" s="999"/>
      <c r="TNU855" s="999"/>
      <c r="TNV855" s="999"/>
      <c r="TNW855" s="999"/>
      <c r="TNX855" s="999"/>
      <c r="TNY855" s="999"/>
      <c r="TNZ855" s="999"/>
      <c r="TOA855" s="999"/>
      <c r="TOB855" s="999"/>
      <c r="TOC855" s="999"/>
      <c r="TOD855" s="999"/>
      <c r="TOE855" s="999"/>
      <c r="TOF855" s="999"/>
      <c r="TOG855" s="999"/>
      <c r="TOH855" s="999"/>
      <c r="TOI855" s="999"/>
      <c r="TOJ855" s="999"/>
      <c r="TOK855" s="999"/>
      <c r="TOL855" s="999"/>
      <c r="TOM855" s="999"/>
      <c r="TON855" s="999"/>
      <c r="TOO855" s="999"/>
      <c r="TOP855" s="999"/>
      <c r="TOQ855" s="999"/>
      <c r="TOR855" s="999"/>
      <c r="TOS855" s="999"/>
      <c r="TOT855" s="999"/>
      <c r="TOU855" s="999"/>
      <c r="TOV855" s="999"/>
      <c r="TOW855" s="999"/>
      <c r="TOX855" s="999"/>
      <c r="TOY855" s="999"/>
      <c r="TOZ855" s="999"/>
      <c r="TPA855" s="999"/>
      <c r="TPB855" s="999"/>
      <c r="TPC855" s="999"/>
      <c r="TPD855" s="999"/>
      <c r="TPE855" s="999"/>
      <c r="TPF855" s="999"/>
      <c r="TPG855" s="999"/>
      <c r="TPH855" s="999"/>
      <c r="TPI855" s="999"/>
      <c r="TPJ855" s="999"/>
      <c r="TPK855" s="999"/>
      <c r="TPL855" s="999"/>
      <c r="TPM855" s="999"/>
      <c r="TPN855" s="999"/>
      <c r="TPO855" s="999"/>
      <c r="TPP855" s="999"/>
      <c r="TPQ855" s="999"/>
      <c r="TPR855" s="999"/>
      <c r="TPS855" s="999"/>
      <c r="TPT855" s="999"/>
      <c r="TPU855" s="999"/>
      <c r="TPV855" s="999"/>
      <c r="TPW855" s="999"/>
      <c r="TPX855" s="999"/>
      <c r="TPY855" s="999"/>
      <c r="TPZ855" s="999"/>
      <c r="TQA855" s="999"/>
      <c r="TQB855" s="999"/>
      <c r="TQC855" s="999"/>
      <c r="TQD855" s="999"/>
      <c r="TQE855" s="999"/>
      <c r="TQF855" s="999"/>
      <c r="TQG855" s="999"/>
      <c r="TQH855" s="999"/>
      <c r="TQI855" s="999"/>
      <c r="TQJ855" s="999"/>
      <c r="TQK855" s="999"/>
      <c r="TQL855" s="999"/>
      <c r="TQM855" s="999"/>
      <c r="TQN855" s="999"/>
      <c r="TQO855" s="999"/>
      <c r="TQP855" s="999"/>
      <c r="TQQ855" s="999"/>
      <c r="TQR855" s="999"/>
      <c r="TQS855" s="999"/>
      <c r="TQT855" s="999"/>
      <c r="TQU855" s="999"/>
      <c r="TQV855" s="999"/>
      <c r="TQW855" s="999"/>
      <c r="TQX855" s="999"/>
      <c r="TQY855" s="999"/>
      <c r="TQZ855" s="999"/>
      <c r="TRA855" s="999"/>
      <c r="TRB855" s="999"/>
      <c r="TRC855" s="999"/>
      <c r="TRD855" s="999"/>
      <c r="TRE855" s="999"/>
      <c r="TRF855" s="999"/>
      <c r="TRG855" s="999"/>
      <c r="TRH855" s="999"/>
      <c r="TRI855" s="999"/>
      <c r="TRJ855" s="999"/>
      <c r="TRK855" s="999"/>
      <c r="TRL855" s="999"/>
      <c r="TRM855" s="999"/>
      <c r="TRN855" s="999"/>
      <c r="TRO855" s="999"/>
      <c r="TRP855" s="999"/>
      <c r="TRQ855" s="999"/>
      <c r="TRR855" s="999"/>
      <c r="TRS855" s="999"/>
      <c r="TRT855" s="999"/>
      <c r="TRU855" s="999"/>
      <c r="TRV855" s="999"/>
      <c r="TRW855" s="999"/>
      <c r="TRX855" s="999"/>
      <c r="TRY855" s="999"/>
      <c r="TRZ855" s="999"/>
      <c r="TSA855" s="999"/>
      <c r="TSB855" s="999"/>
      <c r="TSC855" s="999"/>
      <c r="TSD855" s="999"/>
      <c r="TSE855" s="999"/>
      <c r="TSF855" s="999"/>
      <c r="TSG855" s="999"/>
      <c r="TSH855" s="999"/>
      <c r="TSI855" s="999"/>
      <c r="TSJ855" s="999"/>
      <c r="TSK855" s="999"/>
      <c r="TSL855" s="999"/>
      <c r="TSM855" s="999"/>
      <c r="TSN855" s="999"/>
      <c r="TSO855" s="999"/>
      <c r="TSP855" s="999"/>
      <c r="TSQ855" s="999"/>
      <c r="TSR855" s="999"/>
      <c r="TSS855" s="999"/>
      <c r="TST855" s="999"/>
      <c r="TSU855" s="999"/>
      <c r="TSV855" s="999"/>
      <c r="TSW855" s="999"/>
      <c r="TSX855" s="999"/>
      <c r="TSY855" s="999"/>
      <c r="TSZ855" s="999"/>
      <c r="TTA855" s="999"/>
      <c r="TTB855" s="999"/>
      <c r="TTC855" s="999"/>
      <c r="TTD855" s="999"/>
      <c r="TTE855" s="999"/>
      <c r="TTF855" s="999"/>
      <c r="TTG855" s="999"/>
      <c r="TTH855" s="999"/>
      <c r="TTI855" s="999"/>
      <c r="TTJ855" s="999"/>
      <c r="TTK855" s="999"/>
      <c r="TTL855" s="999"/>
      <c r="TTM855" s="999"/>
      <c r="TTN855" s="999"/>
      <c r="TTO855" s="999"/>
      <c r="TTP855" s="999"/>
      <c r="TTQ855" s="999"/>
      <c r="TTR855" s="999"/>
      <c r="TTS855" s="999"/>
      <c r="TTT855" s="999"/>
      <c r="TTU855" s="999"/>
      <c r="TTV855" s="999"/>
      <c r="TTW855" s="999"/>
      <c r="TTX855" s="999"/>
      <c r="TTY855" s="999"/>
      <c r="TTZ855" s="999"/>
      <c r="TUA855" s="999"/>
      <c r="TUB855" s="999"/>
      <c r="TUC855" s="999"/>
      <c r="TUD855" s="999"/>
      <c r="TUE855" s="999"/>
      <c r="TUF855" s="999"/>
      <c r="TUG855" s="999"/>
      <c r="TUH855" s="999"/>
      <c r="TUI855" s="999"/>
      <c r="TUJ855" s="999"/>
      <c r="TUK855" s="999"/>
      <c r="TUL855" s="999"/>
      <c r="TUM855" s="999"/>
      <c r="TUN855" s="999"/>
      <c r="TUO855" s="999"/>
      <c r="TUP855" s="999"/>
      <c r="TUQ855" s="999"/>
      <c r="TUR855" s="999"/>
      <c r="TUS855" s="999"/>
      <c r="TUT855" s="999"/>
      <c r="TUU855" s="999"/>
      <c r="TUV855" s="999"/>
      <c r="TUW855" s="999"/>
      <c r="TUX855" s="999"/>
      <c r="TUY855" s="999"/>
      <c r="TUZ855" s="999"/>
      <c r="TVA855" s="999"/>
      <c r="TVB855" s="999"/>
      <c r="TVC855" s="999"/>
      <c r="TVD855" s="999"/>
      <c r="TVE855" s="999"/>
      <c r="TVF855" s="999"/>
      <c r="TVG855" s="999"/>
      <c r="TVH855" s="999"/>
      <c r="TVI855" s="999"/>
      <c r="TVJ855" s="999"/>
      <c r="TVK855" s="999"/>
      <c r="TVL855" s="999"/>
      <c r="TVM855" s="999"/>
      <c r="TVN855" s="999"/>
      <c r="TVO855" s="999"/>
      <c r="TVP855" s="999"/>
      <c r="TVQ855" s="999"/>
      <c r="TVR855" s="999"/>
      <c r="TVS855" s="999"/>
      <c r="TVT855" s="999"/>
      <c r="TVU855" s="999"/>
      <c r="TVV855" s="999"/>
      <c r="TVW855" s="999"/>
      <c r="TVX855" s="999"/>
      <c r="TVY855" s="999"/>
      <c r="TVZ855" s="999"/>
      <c r="TWA855" s="999"/>
      <c r="TWB855" s="999"/>
      <c r="TWC855" s="999"/>
      <c r="TWD855" s="999"/>
      <c r="TWE855" s="999"/>
      <c r="TWF855" s="999"/>
      <c r="TWG855" s="999"/>
      <c r="TWH855" s="999"/>
      <c r="TWI855" s="999"/>
      <c r="TWJ855" s="999"/>
      <c r="TWK855" s="999"/>
      <c r="TWL855" s="999"/>
      <c r="TWM855" s="999"/>
      <c r="TWN855" s="999"/>
      <c r="TWO855" s="999"/>
      <c r="TWP855" s="999"/>
      <c r="TWQ855" s="999"/>
      <c r="TWR855" s="999"/>
      <c r="TWS855" s="999"/>
      <c r="TWT855" s="999"/>
      <c r="TWU855" s="999"/>
      <c r="TWV855" s="999"/>
      <c r="TWW855" s="999"/>
      <c r="TWX855" s="999"/>
      <c r="TWY855" s="999"/>
      <c r="TWZ855" s="999"/>
      <c r="TXA855" s="999"/>
      <c r="TXB855" s="999"/>
      <c r="TXC855" s="999"/>
      <c r="TXD855" s="999"/>
      <c r="TXE855" s="999"/>
      <c r="TXF855" s="999"/>
      <c r="TXG855" s="999"/>
      <c r="TXH855" s="999"/>
      <c r="TXI855" s="999"/>
      <c r="TXJ855" s="999"/>
      <c r="TXK855" s="999"/>
      <c r="TXL855" s="999"/>
      <c r="TXM855" s="999"/>
      <c r="TXN855" s="999"/>
      <c r="TXO855" s="999"/>
      <c r="TXP855" s="999"/>
      <c r="TXQ855" s="999"/>
      <c r="TXR855" s="999"/>
      <c r="TXS855" s="999"/>
      <c r="TXT855" s="999"/>
      <c r="TXU855" s="999"/>
      <c r="TXV855" s="999"/>
      <c r="TXW855" s="999"/>
      <c r="TXX855" s="999"/>
      <c r="TXY855" s="999"/>
      <c r="TXZ855" s="999"/>
      <c r="TYA855" s="999"/>
      <c r="TYB855" s="999"/>
      <c r="TYC855" s="999"/>
      <c r="TYD855" s="999"/>
      <c r="TYE855" s="999"/>
      <c r="TYF855" s="999"/>
      <c r="TYG855" s="999"/>
      <c r="TYH855" s="999"/>
      <c r="TYI855" s="999"/>
      <c r="TYJ855" s="999"/>
      <c r="TYK855" s="999"/>
      <c r="TYL855" s="999"/>
      <c r="TYM855" s="999"/>
      <c r="TYN855" s="999"/>
      <c r="TYO855" s="999"/>
      <c r="TYP855" s="999"/>
      <c r="TYQ855" s="999"/>
      <c r="TYR855" s="999"/>
      <c r="TYS855" s="999"/>
      <c r="TYT855" s="999"/>
      <c r="TYU855" s="999"/>
      <c r="TYV855" s="999"/>
      <c r="TYW855" s="999"/>
      <c r="TYX855" s="999"/>
      <c r="TYY855" s="999"/>
      <c r="TYZ855" s="999"/>
      <c r="TZA855" s="999"/>
      <c r="TZB855" s="999"/>
      <c r="TZC855" s="999"/>
      <c r="TZD855" s="999"/>
      <c r="TZE855" s="999"/>
      <c r="TZF855" s="999"/>
      <c r="TZG855" s="999"/>
      <c r="TZH855" s="999"/>
      <c r="TZI855" s="999"/>
      <c r="TZJ855" s="999"/>
      <c r="TZK855" s="999"/>
      <c r="TZL855" s="999"/>
      <c r="TZM855" s="999"/>
      <c r="TZN855" s="999"/>
      <c r="TZO855" s="999"/>
      <c r="TZP855" s="999"/>
      <c r="TZQ855" s="999"/>
      <c r="TZR855" s="999"/>
      <c r="TZS855" s="999"/>
      <c r="TZT855" s="999"/>
      <c r="TZU855" s="999"/>
      <c r="TZV855" s="999"/>
      <c r="TZW855" s="999"/>
      <c r="TZX855" s="999"/>
      <c r="TZY855" s="999"/>
      <c r="TZZ855" s="999"/>
      <c r="UAA855" s="999"/>
      <c r="UAB855" s="999"/>
      <c r="UAC855" s="999"/>
      <c r="UAD855" s="999"/>
      <c r="UAE855" s="999"/>
      <c r="UAF855" s="999"/>
      <c r="UAG855" s="999"/>
      <c r="UAH855" s="999"/>
      <c r="UAI855" s="999"/>
      <c r="UAJ855" s="999"/>
      <c r="UAK855" s="999"/>
      <c r="UAL855" s="999"/>
      <c r="UAM855" s="999"/>
      <c r="UAN855" s="999"/>
      <c r="UAO855" s="999"/>
      <c r="UAP855" s="999"/>
      <c r="UAQ855" s="999"/>
      <c r="UAR855" s="999"/>
      <c r="UAS855" s="999"/>
      <c r="UAT855" s="999"/>
      <c r="UAU855" s="999"/>
      <c r="UAV855" s="999"/>
      <c r="UAW855" s="999"/>
      <c r="UAX855" s="999"/>
      <c r="UAY855" s="999"/>
      <c r="UAZ855" s="999"/>
      <c r="UBA855" s="999"/>
      <c r="UBB855" s="999"/>
      <c r="UBC855" s="999"/>
      <c r="UBD855" s="999"/>
      <c r="UBE855" s="999"/>
      <c r="UBF855" s="999"/>
      <c r="UBG855" s="999"/>
      <c r="UBH855" s="999"/>
      <c r="UBI855" s="999"/>
      <c r="UBJ855" s="999"/>
      <c r="UBK855" s="999"/>
      <c r="UBL855" s="999"/>
      <c r="UBM855" s="999"/>
      <c r="UBN855" s="999"/>
      <c r="UBO855" s="999"/>
      <c r="UBP855" s="999"/>
      <c r="UBQ855" s="999"/>
      <c r="UBR855" s="999"/>
      <c r="UBS855" s="999"/>
      <c r="UBT855" s="999"/>
      <c r="UBU855" s="999"/>
      <c r="UBV855" s="999"/>
      <c r="UBW855" s="999"/>
      <c r="UBX855" s="999"/>
      <c r="UBY855" s="999"/>
      <c r="UBZ855" s="999"/>
      <c r="UCA855" s="999"/>
      <c r="UCB855" s="999"/>
      <c r="UCC855" s="999"/>
      <c r="UCD855" s="999"/>
      <c r="UCE855" s="999"/>
      <c r="UCF855" s="999"/>
      <c r="UCG855" s="999"/>
      <c r="UCH855" s="999"/>
      <c r="UCI855" s="999"/>
      <c r="UCJ855" s="999"/>
      <c r="UCK855" s="999"/>
      <c r="UCL855" s="999"/>
      <c r="UCM855" s="999"/>
      <c r="UCN855" s="999"/>
      <c r="UCO855" s="999"/>
      <c r="UCP855" s="999"/>
      <c r="UCQ855" s="999"/>
      <c r="UCR855" s="999"/>
      <c r="UCS855" s="999"/>
      <c r="UCT855" s="999"/>
      <c r="UCU855" s="999"/>
      <c r="UCV855" s="999"/>
      <c r="UCW855" s="999"/>
      <c r="UCX855" s="999"/>
      <c r="UCY855" s="999"/>
      <c r="UCZ855" s="999"/>
      <c r="UDA855" s="999"/>
      <c r="UDB855" s="999"/>
      <c r="UDC855" s="999"/>
      <c r="UDD855" s="999"/>
      <c r="UDE855" s="999"/>
      <c r="UDF855" s="999"/>
      <c r="UDG855" s="999"/>
      <c r="UDH855" s="999"/>
      <c r="UDI855" s="999"/>
      <c r="UDJ855" s="999"/>
      <c r="UDK855" s="999"/>
      <c r="UDL855" s="999"/>
      <c r="UDM855" s="999"/>
      <c r="UDN855" s="999"/>
      <c r="UDO855" s="999"/>
      <c r="UDP855" s="999"/>
      <c r="UDQ855" s="999"/>
      <c r="UDR855" s="999"/>
      <c r="UDS855" s="999"/>
      <c r="UDT855" s="999"/>
      <c r="UDU855" s="999"/>
      <c r="UDV855" s="999"/>
      <c r="UDW855" s="999"/>
      <c r="UDX855" s="999"/>
      <c r="UDY855" s="999"/>
      <c r="UDZ855" s="999"/>
      <c r="UEA855" s="999"/>
      <c r="UEB855" s="999"/>
      <c r="UEC855" s="999"/>
      <c r="UED855" s="999"/>
      <c r="UEE855" s="999"/>
      <c r="UEF855" s="999"/>
      <c r="UEG855" s="999"/>
      <c r="UEH855" s="999"/>
      <c r="UEI855" s="999"/>
      <c r="UEJ855" s="999"/>
      <c r="UEK855" s="999"/>
      <c r="UEL855" s="999"/>
      <c r="UEM855" s="999"/>
      <c r="UEN855" s="999"/>
      <c r="UEO855" s="999"/>
      <c r="UEP855" s="999"/>
      <c r="UEQ855" s="999"/>
      <c r="UER855" s="999"/>
      <c r="UES855" s="999"/>
      <c r="UET855" s="999"/>
      <c r="UEU855" s="999"/>
      <c r="UEV855" s="999"/>
      <c r="UEW855" s="999"/>
      <c r="UEX855" s="999"/>
      <c r="UEY855" s="999"/>
      <c r="UEZ855" s="999"/>
      <c r="UFA855" s="999"/>
      <c r="UFB855" s="999"/>
      <c r="UFC855" s="999"/>
      <c r="UFD855" s="999"/>
      <c r="UFE855" s="999"/>
      <c r="UFF855" s="999"/>
      <c r="UFG855" s="999"/>
      <c r="UFH855" s="999"/>
      <c r="UFI855" s="999"/>
      <c r="UFJ855" s="999"/>
      <c r="UFK855" s="999"/>
      <c r="UFL855" s="999"/>
      <c r="UFM855" s="999"/>
      <c r="UFN855" s="999"/>
      <c r="UFO855" s="999"/>
      <c r="UFP855" s="999"/>
      <c r="UFQ855" s="999"/>
      <c r="UFR855" s="999"/>
      <c r="UFS855" s="999"/>
      <c r="UFT855" s="999"/>
      <c r="UFU855" s="999"/>
      <c r="UFV855" s="999"/>
      <c r="UFW855" s="999"/>
      <c r="UFX855" s="999"/>
      <c r="UFY855" s="999"/>
      <c r="UFZ855" s="999"/>
      <c r="UGA855" s="999"/>
      <c r="UGB855" s="999"/>
      <c r="UGC855" s="999"/>
      <c r="UGD855" s="999"/>
      <c r="UGE855" s="999"/>
      <c r="UGF855" s="999"/>
      <c r="UGG855" s="999"/>
      <c r="UGH855" s="999"/>
      <c r="UGI855" s="999"/>
      <c r="UGJ855" s="999"/>
      <c r="UGK855" s="999"/>
      <c r="UGL855" s="999"/>
      <c r="UGM855" s="999"/>
      <c r="UGN855" s="999"/>
      <c r="UGO855" s="999"/>
      <c r="UGP855" s="999"/>
      <c r="UGQ855" s="999"/>
      <c r="UGR855" s="999"/>
      <c r="UGS855" s="999"/>
      <c r="UGT855" s="999"/>
      <c r="UGU855" s="999"/>
      <c r="UGV855" s="999"/>
      <c r="UGW855" s="999"/>
      <c r="UGX855" s="999"/>
      <c r="UGY855" s="999"/>
      <c r="UGZ855" s="999"/>
      <c r="UHA855" s="999"/>
      <c r="UHB855" s="999"/>
      <c r="UHC855" s="999"/>
      <c r="UHD855" s="999"/>
      <c r="UHE855" s="999"/>
      <c r="UHF855" s="999"/>
      <c r="UHG855" s="999"/>
      <c r="UHH855" s="999"/>
      <c r="UHI855" s="999"/>
      <c r="UHJ855" s="999"/>
      <c r="UHK855" s="999"/>
      <c r="UHL855" s="999"/>
      <c r="UHM855" s="999"/>
      <c r="UHN855" s="999"/>
      <c r="UHO855" s="999"/>
      <c r="UHP855" s="999"/>
      <c r="UHQ855" s="999"/>
      <c r="UHR855" s="999"/>
      <c r="UHS855" s="999"/>
      <c r="UHT855" s="999"/>
      <c r="UHU855" s="999"/>
      <c r="UHV855" s="999"/>
      <c r="UHW855" s="999"/>
      <c r="UHX855" s="999"/>
      <c r="UHY855" s="999"/>
      <c r="UHZ855" s="999"/>
      <c r="UIA855" s="999"/>
      <c r="UIB855" s="999"/>
      <c r="UIC855" s="999"/>
      <c r="UID855" s="999"/>
      <c r="UIE855" s="999"/>
      <c r="UIF855" s="999"/>
      <c r="UIG855" s="999"/>
      <c r="UIH855" s="999"/>
      <c r="UII855" s="999"/>
      <c r="UIJ855" s="999"/>
      <c r="UIK855" s="999"/>
      <c r="UIL855" s="999"/>
      <c r="UIM855" s="999"/>
      <c r="UIN855" s="999"/>
      <c r="UIO855" s="999"/>
      <c r="UIP855" s="999"/>
      <c r="UIQ855" s="999"/>
      <c r="UIR855" s="999"/>
      <c r="UIS855" s="999"/>
      <c r="UIT855" s="999"/>
      <c r="UIU855" s="999"/>
      <c r="UIV855" s="999"/>
      <c r="UIW855" s="999"/>
      <c r="UIX855" s="999"/>
      <c r="UIY855" s="999"/>
      <c r="UIZ855" s="999"/>
      <c r="UJA855" s="999"/>
      <c r="UJB855" s="999"/>
      <c r="UJC855" s="999"/>
      <c r="UJD855" s="999"/>
      <c r="UJE855" s="999"/>
      <c r="UJF855" s="999"/>
      <c r="UJG855" s="999"/>
      <c r="UJH855" s="999"/>
      <c r="UJI855" s="999"/>
      <c r="UJJ855" s="999"/>
      <c r="UJK855" s="999"/>
      <c r="UJL855" s="999"/>
      <c r="UJM855" s="999"/>
      <c r="UJN855" s="999"/>
      <c r="UJO855" s="999"/>
      <c r="UJP855" s="999"/>
      <c r="UJQ855" s="999"/>
      <c r="UJR855" s="999"/>
      <c r="UJS855" s="999"/>
      <c r="UJT855" s="999"/>
      <c r="UJU855" s="999"/>
      <c r="UJV855" s="999"/>
      <c r="UJW855" s="999"/>
      <c r="UJX855" s="999"/>
      <c r="UJY855" s="999"/>
      <c r="UJZ855" s="999"/>
      <c r="UKA855" s="999"/>
      <c r="UKB855" s="999"/>
      <c r="UKC855" s="999"/>
      <c r="UKD855" s="999"/>
      <c r="UKE855" s="999"/>
      <c r="UKF855" s="999"/>
      <c r="UKG855" s="999"/>
      <c r="UKH855" s="999"/>
      <c r="UKI855" s="999"/>
      <c r="UKJ855" s="999"/>
      <c r="UKK855" s="999"/>
      <c r="UKL855" s="999"/>
      <c r="UKM855" s="999"/>
      <c r="UKN855" s="999"/>
      <c r="UKO855" s="999"/>
      <c r="UKP855" s="999"/>
      <c r="UKQ855" s="999"/>
      <c r="UKR855" s="999"/>
      <c r="UKS855" s="999"/>
      <c r="UKT855" s="999"/>
      <c r="UKU855" s="999"/>
      <c r="UKV855" s="999"/>
      <c r="UKW855" s="999"/>
      <c r="UKX855" s="999"/>
      <c r="UKY855" s="999"/>
      <c r="UKZ855" s="999"/>
      <c r="ULA855" s="999"/>
      <c r="ULB855" s="999"/>
      <c r="ULC855" s="999"/>
      <c r="ULD855" s="999"/>
      <c r="ULE855" s="999"/>
      <c r="ULF855" s="999"/>
      <c r="ULG855" s="999"/>
      <c r="ULH855" s="999"/>
      <c r="ULI855" s="999"/>
      <c r="ULJ855" s="999"/>
      <c r="ULK855" s="999"/>
      <c r="ULL855" s="999"/>
      <c r="ULM855" s="999"/>
      <c r="ULN855" s="999"/>
      <c r="ULO855" s="999"/>
      <c r="ULP855" s="999"/>
      <c r="ULQ855" s="999"/>
      <c r="ULR855" s="999"/>
      <c r="ULS855" s="999"/>
      <c r="ULT855" s="999"/>
      <c r="ULU855" s="999"/>
      <c r="ULV855" s="999"/>
      <c r="ULW855" s="999"/>
      <c r="ULX855" s="999"/>
      <c r="ULY855" s="999"/>
      <c r="ULZ855" s="999"/>
      <c r="UMA855" s="999"/>
      <c r="UMB855" s="999"/>
      <c r="UMC855" s="999"/>
      <c r="UMD855" s="999"/>
      <c r="UME855" s="999"/>
      <c r="UMF855" s="999"/>
      <c r="UMG855" s="999"/>
      <c r="UMH855" s="999"/>
      <c r="UMI855" s="999"/>
      <c r="UMJ855" s="999"/>
      <c r="UMK855" s="999"/>
      <c r="UML855" s="999"/>
      <c r="UMM855" s="999"/>
      <c r="UMN855" s="999"/>
      <c r="UMO855" s="999"/>
      <c r="UMP855" s="999"/>
      <c r="UMQ855" s="999"/>
      <c r="UMR855" s="999"/>
      <c r="UMS855" s="999"/>
      <c r="UMT855" s="999"/>
      <c r="UMU855" s="999"/>
      <c r="UMV855" s="999"/>
      <c r="UMW855" s="999"/>
      <c r="UMX855" s="999"/>
      <c r="UMY855" s="999"/>
      <c r="UMZ855" s="999"/>
      <c r="UNA855" s="999"/>
      <c r="UNB855" s="999"/>
      <c r="UNC855" s="999"/>
      <c r="UND855" s="999"/>
      <c r="UNE855" s="999"/>
      <c r="UNF855" s="999"/>
      <c r="UNG855" s="999"/>
      <c r="UNH855" s="999"/>
      <c r="UNI855" s="999"/>
      <c r="UNJ855" s="999"/>
      <c r="UNK855" s="999"/>
      <c r="UNL855" s="999"/>
      <c r="UNM855" s="999"/>
      <c r="UNN855" s="999"/>
      <c r="UNO855" s="999"/>
      <c r="UNP855" s="999"/>
      <c r="UNQ855" s="999"/>
      <c r="UNR855" s="999"/>
      <c r="UNS855" s="999"/>
      <c r="UNT855" s="999"/>
      <c r="UNU855" s="999"/>
      <c r="UNV855" s="999"/>
      <c r="UNW855" s="999"/>
      <c r="UNX855" s="999"/>
      <c r="UNY855" s="999"/>
      <c r="UNZ855" s="999"/>
      <c r="UOA855" s="999"/>
      <c r="UOB855" s="999"/>
      <c r="UOC855" s="999"/>
      <c r="UOD855" s="999"/>
      <c r="UOE855" s="999"/>
      <c r="UOF855" s="999"/>
      <c r="UOG855" s="999"/>
      <c r="UOH855" s="999"/>
      <c r="UOI855" s="999"/>
      <c r="UOJ855" s="999"/>
      <c r="UOK855" s="999"/>
      <c r="UOL855" s="999"/>
      <c r="UOM855" s="999"/>
      <c r="UON855" s="999"/>
      <c r="UOO855" s="999"/>
      <c r="UOP855" s="999"/>
      <c r="UOQ855" s="999"/>
      <c r="UOR855" s="999"/>
      <c r="UOS855" s="999"/>
      <c r="UOT855" s="999"/>
      <c r="UOU855" s="999"/>
      <c r="UOV855" s="999"/>
      <c r="UOW855" s="999"/>
      <c r="UOX855" s="999"/>
      <c r="UOY855" s="999"/>
      <c r="UOZ855" s="999"/>
      <c r="UPA855" s="999"/>
      <c r="UPB855" s="999"/>
      <c r="UPC855" s="999"/>
      <c r="UPD855" s="999"/>
      <c r="UPE855" s="999"/>
      <c r="UPF855" s="999"/>
      <c r="UPG855" s="999"/>
      <c r="UPH855" s="999"/>
      <c r="UPI855" s="999"/>
      <c r="UPJ855" s="999"/>
      <c r="UPK855" s="999"/>
      <c r="UPL855" s="999"/>
      <c r="UPM855" s="999"/>
      <c r="UPN855" s="999"/>
      <c r="UPO855" s="999"/>
      <c r="UPP855" s="999"/>
      <c r="UPQ855" s="999"/>
      <c r="UPR855" s="999"/>
      <c r="UPS855" s="999"/>
      <c r="UPT855" s="999"/>
      <c r="UPU855" s="999"/>
      <c r="UPV855" s="999"/>
      <c r="UPW855" s="999"/>
      <c r="UPX855" s="999"/>
      <c r="UPY855" s="999"/>
      <c r="UPZ855" s="999"/>
      <c r="UQA855" s="999"/>
      <c r="UQB855" s="999"/>
      <c r="UQC855" s="999"/>
      <c r="UQD855" s="999"/>
      <c r="UQE855" s="999"/>
      <c r="UQF855" s="999"/>
      <c r="UQG855" s="999"/>
      <c r="UQH855" s="999"/>
      <c r="UQI855" s="999"/>
      <c r="UQJ855" s="999"/>
      <c r="UQK855" s="999"/>
      <c r="UQL855" s="999"/>
      <c r="UQM855" s="999"/>
      <c r="UQN855" s="999"/>
      <c r="UQO855" s="999"/>
      <c r="UQP855" s="999"/>
      <c r="UQQ855" s="999"/>
      <c r="UQR855" s="999"/>
      <c r="UQS855" s="999"/>
      <c r="UQT855" s="999"/>
      <c r="UQU855" s="999"/>
      <c r="UQV855" s="999"/>
      <c r="UQW855" s="999"/>
      <c r="UQX855" s="999"/>
      <c r="UQY855" s="999"/>
      <c r="UQZ855" s="999"/>
      <c r="URA855" s="999"/>
      <c r="URB855" s="999"/>
      <c r="URC855" s="999"/>
      <c r="URD855" s="999"/>
      <c r="URE855" s="999"/>
      <c r="URF855" s="999"/>
      <c r="URG855" s="999"/>
      <c r="URH855" s="999"/>
      <c r="URI855" s="999"/>
      <c r="URJ855" s="999"/>
      <c r="URK855" s="999"/>
      <c r="URL855" s="999"/>
      <c r="URM855" s="999"/>
      <c r="URN855" s="999"/>
      <c r="URO855" s="999"/>
      <c r="URP855" s="999"/>
      <c r="URQ855" s="999"/>
      <c r="URR855" s="999"/>
      <c r="URS855" s="999"/>
      <c r="URT855" s="999"/>
      <c r="URU855" s="999"/>
      <c r="URV855" s="999"/>
      <c r="URW855" s="999"/>
      <c r="URX855" s="999"/>
      <c r="URY855" s="999"/>
      <c r="URZ855" s="999"/>
      <c r="USA855" s="999"/>
      <c r="USB855" s="999"/>
      <c r="USC855" s="999"/>
      <c r="USD855" s="999"/>
      <c r="USE855" s="999"/>
      <c r="USF855" s="999"/>
      <c r="USG855" s="999"/>
      <c r="USH855" s="999"/>
      <c r="USI855" s="999"/>
      <c r="USJ855" s="999"/>
      <c r="USK855" s="999"/>
      <c r="USL855" s="999"/>
      <c r="USM855" s="999"/>
      <c r="USN855" s="999"/>
      <c r="USO855" s="999"/>
      <c r="USP855" s="999"/>
      <c r="USQ855" s="999"/>
      <c r="USR855" s="999"/>
      <c r="USS855" s="999"/>
      <c r="UST855" s="999"/>
      <c r="USU855" s="999"/>
      <c r="USV855" s="999"/>
      <c r="USW855" s="999"/>
      <c r="USX855" s="999"/>
      <c r="USY855" s="999"/>
      <c r="USZ855" s="999"/>
      <c r="UTA855" s="999"/>
      <c r="UTB855" s="999"/>
      <c r="UTC855" s="999"/>
      <c r="UTD855" s="999"/>
      <c r="UTE855" s="999"/>
      <c r="UTF855" s="999"/>
      <c r="UTG855" s="999"/>
      <c r="UTH855" s="999"/>
      <c r="UTI855" s="999"/>
      <c r="UTJ855" s="999"/>
      <c r="UTK855" s="999"/>
      <c r="UTL855" s="999"/>
      <c r="UTM855" s="999"/>
      <c r="UTN855" s="999"/>
      <c r="UTO855" s="999"/>
      <c r="UTP855" s="999"/>
      <c r="UTQ855" s="999"/>
      <c r="UTR855" s="999"/>
      <c r="UTS855" s="999"/>
      <c r="UTT855" s="999"/>
      <c r="UTU855" s="999"/>
      <c r="UTV855" s="999"/>
      <c r="UTW855" s="999"/>
      <c r="UTX855" s="999"/>
      <c r="UTY855" s="999"/>
      <c r="UTZ855" s="999"/>
      <c r="UUA855" s="999"/>
      <c r="UUB855" s="999"/>
      <c r="UUC855" s="999"/>
      <c r="UUD855" s="999"/>
      <c r="UUE855" s="999"/>
      <c r="UUF855" s="999"/>
      <c r="UUG855" s="999"/>
      <c r="UUH855" s="999"/>
      <c r="UUI855" s="999"/>
      <c r="UUJ855" s="999"/>
      <c r="UUK855" s="999"/>
      <c r="UUL855" s="999"/>
      <c r="UUM855" s="999"/>
      <c r="UUN855" s="999"/>
      <c r="UUO855" s="999"/>
      <c r="UUP855" s="999"/>
      <c r="UUQ855" s="999"/>
      <c r="UUR855" s="999"/>
      <c r="UUS855" s="999"/>
      <c r="UUT855" s="999"/>
      <c r="UUU855" s="999"/>
      <c r="UUV855" s="999"/>
      <c r="UUW855" s="999"/>
      <c r="UUX855" s="999"/>
      <c r="UUY855" s="999"/>
      <c r="UUZ855" s="999"/>
      <c r="UVA855" s="999"/>
      <c r="UVB855" s="999"/>
      <c r="UVC855" s="999"/>
      <c r="UVD855" s="999"/>
      <c r="UVE855" s="999"/>
      <c r="UVF855" s="999"/>
      <c r="UVG855" s="999"/>
      <c r="UVH855" s="999"/>
      <c r="UVI855" s="999"/>
      <c r="UVJ855" s="999"/>
      <c r="UVK855" s="999"/>
      <c r="UVL855" s="999"/>
      <c r="UVM855" s="999"/>
      <c r="UVN855" s="999"/>
      <c r="UVO855" s="999"/>
      <c r="UVP855" s="999"/>
      <c r="UVQ855" s="999"/>
      <c r="UVR855" s="999"/>
      <c r="UVS855" s="999"/>
      <c r="UVT855" s="999"/>
      <c r="UVU855" s="999"/>
      <c r="UVV855" s="999"/>
      <c r="UVW855" s="999"/>
      <c r="UVX855" s="999"/>
      <c r="UVY855" s="999"/>
      <c r="UVZ855" s="999"/>
      <c r="UWA855" s="999"/>
      <c r="UWB855" s="999"/>
      <c r="UWC855" s="999"/>
      <c r="UWD855" s="999"/>
      <c r="UWE855" s="999"/>
      <c r="UWF855" s="999"/>
      <c r="UWG855" s="999"/>
      <c r="UWH855" s="999"/>
      <c r="UWI855" s="999"/>
      <c r="UWJ855" s="999"/>
      <c r="UWK855" s="999"/>
      <c r="UWL855" s="999"/>
      <c r="UWM855" s="999"/>
      <c r="UWN855" s="999"/>
      <c r="UWO855" s="999"/>
      <c r="UWP855" s="999"/>
      <c r="UWQ855" s="999"/>
      <c r="UWR855" s="999"/>
      <c r="UWS855" s="999"/>
      <c r="UWT855" s="999"/>
      <c r="UWU855" s="999"/>
      <c r="UWV855" s="999"/>
      <c r="UWW855" s="999"/>
      <c r="UWX855" s="999"/>
      <c r="UWY855" s="999"/>
      <c r="UWZ855" s="999"/>
      <c r="UXA855" s="999"/>
      <c r="UXB855" s="999"/>
      <c r="UXC855" s="999"/>
      <c r="UXD855" s="999"/>
      <c r="UXE855" s="999"/>
      <c r="UXF855" s="999"/>
      <c r="UXG855" s="999"/>
      <c r="UXH855" s="999"/>
      <c r="UXI855" s="999"/>
      <c r="UXJ855" s="999"/>
      <c r="UXK855" s="999"/>
      <c r="UXL855" s="999"/>
      <c r="UXM855" s="999"/>
      <c r="UXN855" s="999"/>
      <c r="UXO855" s="999"/>
      <c r="UXP855" s="999"/>
      <c r="UXQ855" s="999"/>
      <c r="UXR855" s="999"/>
      <c r="UXS855" s="999"/>
      <c r="UXT855" s="999"/>
      <c r="UXU855" s="999"/>
      <c r="UXV855" s="999"/>
      <c r="UXW855" s="999"/>
      <c r="UXX855" s="999"/>
      <c r="UXY855" s="999"/>
      <c r="UXZ855" s="999"/>
      <c r="UYA855" s="999"/>
      <c r="UYB855" s="999"/>
      <c r="UYC855" s="999"/>
      <c r="UYD855" s="999"/>
      <c r="UYE855" s="999"/>
      <c r="UYF855" s="999"/>
      <c r="UYG855" s="999"/>
      <c r="UYH855" s="999"/>
      <c r="UYI855" s="999"/>
      <c r="UYJ855" s="999"/>
      <c r="UYK855" s="999"/>
      <c r="UYL855" s="999"/>
      <c r="UYM855" s="999"/>
      <c r="UYN855" s="999"/>
      <c r="UYO855" s="999"/>
      <c r="UYP855" s="999"/>
      <c r="UYQ855" s="999"/>
      <c r="UYR855" s="999"/>
      <c r="UYS855" s="999"/>
      <c r="UYT855" s="999"/>
      <c r="UYU855" s="999"/>
      <c r="UYV855" s="999"/>
      <c r="UYW855" s="999"/>
      <c r="UYX855" s="999"/>
      <c r="UYY855" s="999"/>
      <c r="UYZ855" s="999"/>
      <c r="UZA855" s="999"/>
      <c r="UZB855" s="999"/>
      <c r="UZC855" s="999"/>
      <c r="UZD855" s="999"/>
      <c r="UZE855" s="999"/>
      <c r="UZF855" s="999"/>
      <c r="UZG855" s="999"/>
      <c r="UZH855" s="999"/>
      <c r="UZI855" s="999"/>
      <c r="UZJ855" s="999"/>
      <c r="UZK855" s="999"/>
      <c r="UZL855" s="999"/>
      <c r="UZM855" s="999"/>
      <c r="UZN855" s="999"/>
      <c r="UZO855" s="999"/>
      <c r="UZP855" s="999"/>
      <c r="UZQ855" s="999"/>
      <c r="UZR855" s="999"/>
      <c r="UZS855" s="999"/>
      <c r="UZT855" s="999"/>
      <c r="UZU855" s="999"/>
      <c r="UZV855" s="999"/>
      <c r="UZW855" s="999"/>
      <c r="UZX855" s="999"/>
      <c r="UZY855" s="999"/>
      <c r="UZZ855" s="999"/>
      <c r="VAA855" s="999"/>
      <c r="VAB855" s="999"/>
      <c r="VAC855" s="999"/>
      <c r="VAD855" s="999"/>
      <c r="VAE855" s="999"/>
      <c r="VAF855" s="999"/>
      <c r="VAG855" s="999"/>
      <c r="VAH855" s="999"/>
      <c r="VAI855" s="999"/>
      <c r="VAJ855" s="999"/>
      <c r="VAK855" s="999"/>
      <c r="VAL855" s="999"/>
      <c r="VAM855" s="999"/>
      <c r="VAN855" s="999"/>
      <c r="VAO855" s="999"/>
      <c r="VAP855" s="999"/>
      <c r="VAQ855" s="999"/>
      <c r="VAR855" s="999"/>
      <c r="VAS855" s="999"/>
      <c r="VAT855" s="999"/>
      <c r="VAU855" s="999"/>
      <c r="VAV855" s="999"/>
      <c r="VAW855" s="999"/>
      <c r="VAX855" s="999"/>
      <c r="VAY855" s="999"/>
      <c r="VAZ855" s="999"/>
      <c r="VBA855" s="999"/>
      <c r="VBB855" s="999"/>
      <c r="VBC855" s="999"/>
      <c r="VBD855" s="999"/>
      <c r="VBE855" s="999"/>
      <c r="VBF855" s="999"/>
      <c r="VBG855" s="999"/>
      <c r="VBH855" s="999"/>
      <c r="VBI855" s="999"/>
      <c r="VBJ855" s="999"/>
      <c r="VBK855" s="999"/>
      <c r="VBL855" s="999"/>
      <c r="VBM855" s="999"/>
      <c r="VBN855" s="999"/>
      <c r="VBO855" s="999"/>
      <c r="VBP855" s="999"/>
      <c r="VBQ855" s="999"/>
      <c r="VBR855" s="999"/>
      <c r="VBS855" s="999"/>
      <c r="VBT855" s="999"/>
      <c r="VBU855" s="999"/>
      <c r="VBV855" s="999"/>
      <c r="VBW855" s="999"/>
      <c r="VBX855" s="999"/>
      <c r="VBY855" s="999"/>
      <c r="VBZ855" s="999"/>
      <c r="VCA855" s="999"/>
      <c r="VCB855" s="999"/>
      <c r="VCC855" s="999"/>
      <c r="VCD855" s="999"/>
      <c r="VCE855" s="999"/>
      <c r="VCF855" s="999"/>
      <c r="VCG855" s="999"/>
      <c r="VCH855" s="999"/>
      <c r="VCI855" s="999"/>
      <c r="VCJ855" s="999"/>
      <c r="VCK855" s="999"/>
      <c r="VCL855" s="999"/>
      <c r="VCM855" s="999"/>
      <c r="VCN855" s="999"/>
      <c r="VCO855" s="999"/>
      <c r="VCP855" s="999"/>
      <c r="VCQ855" s="999"/>
      <c r="VCR855" s="999"/>
      <c r="VCS855" s="999"/>
      <c r="VCT855" s="999"/>
      <c r="VCU855" s="999"/>
      <c r="VCV855" s="999"/>
      <c r="VCW855" s="999"/>
      <c r="VCX855" s="999"/>
      <c r="VCY855" s="999"/>
      <c r="VCZ855" s="999"/>
      <c r="VDA855" s="999"/>
      <c r="VDB855" s="999"/>
      <c r="VDC855" s="999"/>
      <c r="VDD855" s="999"/>
      <c r="VDE855" s="999"/>
      <c r="VDF855" s="999"/>
      <c r="VDG855" s="999"/>
      <c r="VDH855" s="999"/>
      <c r="VDI855" s="999"/>
      <c r="VDJ855" s="999"/>
      <c r="VDK855" s="999"/>
      <c r="VDL855" s="999"/>
      <c r="VDM855" s="999"/>
      <c r="VDN855" s="999"/>
      <c r="VDO855" s="999"/>
      <c r="VDP855" s="999"/>
      <c r="VDQ855" s="999"/>
      <c r="VDR855" s="999"/>
      <c r="VDS855" s="999"/>
      <c r="VDT855" s="999"/>
      <c r="VDU855" s="999"/>
      <c r="VDV855" s="999"/>
      <c r="VDW855" s="999"/>
      <c r="VDX855" s="999"/>
      <c r="VDY855" s="999"/>
      <c r="VDZ855" s="999"/>
      <c r="VEA855" s="999"/>
      <c r="VEB855" s="999"/>
      <c r="VEC855" s="999"/>
      <c r="VED855" s="999"/>
      <c r="VEE855" s="999"/>
      <c r="VEF855" s="999"/>
      <c r="VEG855" s="999"/>
      <c r="VEH855" s="999"/>
      <c r="VEI855" s="999"/>
      <c r="VEJ855" s="999"/>
      <c r="VEK855" s="999"/>
      <c r="VEL855" s="999"/>
      <c r="VEM855" s="999"/>
      <c r="VEN855" s="999"/>
      <c r="VEO855" s="999"/>
      <c r="VEP855" s="999"/>
      <c r="VEQ855" s="999"/>
      <c r="VER855" s="999"/>
      <c r="VES855" s="999"/>
      <c r="VET855" s="999"/>
      <c r="VEU855" s="999"/>
      <c r="VEV855" s="999"/>
      <c r="VEW855" s="999"/>
      <c r="VEX855" s="999"/>
      <c r="VEY855" s="999"/>
      <c r="VEZ855" s="999"/>
      <c r="VFA855" s="999"/>
      <c r="VFB855" s="999"/>
      <c r="VFC855" s="999"/>
      <c r="VFD855" s="999"/>
      <c r="VFE855" s="999"/>
      <c r="VFF855" s="999"/>
      <c r="VFG855" s="999"/>
      <c r="VFH855" s="999"/>
      <c r="VFI855" s="999"/>
      <c r="VFJ855" s="999"/>
      <c r="VFK855" s="999"/>
      <c r="VFL855" s="999"/>
      <c r="VFM855" s="999"/>
      <c r="VFN855" s="999"/>
      <c r="VFO855" s="999"/>
      <c r="VFP855" s="999"/>
      <c r="VFQ855" s="999"/>
      <c r="VFR855" s="999"/>
      <c r="VFS855" s="999"/>
      <c r="VFT855" s="999"/>
      <c r="VFU855" s="999"/>
      <c r="VFV855" s="999"/>
      <c r="VFW855" s="999"/>
      <c r="VFX855" s="999"/>
      <c r="VFY855" s="999"/>
      <c r="VFZ855" s="999"/>
      <c r="VGA855" s="999"/>
      <c r="VGB855" s="999"/>
      <c r="VGC855" s="999"/>
      <c r="VGD855" s="999"/>
      <c r="VGE855" s="999"/>
      <c r="VGF855" s="999"/>
      <c r="VGG855" s="999"/>
      <c r="VGH855" s="999"/>
      <c r="VGI855" s="999"/>
      <c r="VGJ855" s="999"/>
      <c r="VGK855" s="999"/>
      <c r="VGL855" s="999"/>
      <c r="VGM855" s="999"/>
      <c r="VGN855" s="999"/>
      <c r="VGO855" s="999"/>
      <c r="VGP855" s="999"/>
      <c r="VGQ855" s="999"/>
      <c r="VGR855" s="999"/>
      <c r="VGS855" s="999"/>
      <c r="VGT855" s="999"/>
      <c r="VGU855" s="999"/>
      <c r="VGV855" s="999"/>
      <c r="VGW855" s="999"/>
      <c r="VGX855" s="999"/>
      <c r="VGY855" s="999"/>
      <c r="VGZ855" s="999"/>
      <c r="VHA855" s="999"/>
      <c r="VHB855" s="999"/>
      <c r="VHC855" s="999"/>
      <c r="VHD855" s="999"/>
      <c r="VHE855" s="999"/>
      <c r="VHF855" s="999"/>
      <c r="VHG855" s="999"/>
      <c r="VHH855" s="999"/>
      <c r="VHI855" s="999"/>
      <c r="VHJ855" s="999"/>
      <c r="VHK855" s="999"/>
      <c r="VHL855" s="999"/>
      <c r="VHM855" s="999"/>
      <c r="VHN855" s="999"/>
      <c r="VHO855" s="999"/>
      <c r="VHP855" s="999"/>
      <c r="VHQ855" s="999"/>
      <c r="VHR855" s="999"/>
      <c r="VHS855" s="999"/>
      <c r="VHT855" s="999"/>
      <c r="VHU855" s="999"/>
      <c r="VHV855" s="999"/>
      <c r="VHW855" s="999"/>
      <c r="VHX855" s="999"/>
      <c r="VHY855" s="999"/>
      <c r="VHZ855" s="999"/>
      <c r="VIA855" s="999"/>
      <c r="VIB855" s="999"/>
      <c r="VIC855" s="999"/>
      <c r="VID855" s="999"/>
      <c r="VIE855" s="999"/>
      <c r="VIF855" s="999"/>
      <c r="VIG855" s="999"/>
      <c r="VIH855" s="999"/>
      <c r="VII855" s="999"/>
      <c r="VIJ855" s="999"/>
      <c r="VIK855" s="999"/>
      <c r="VIL855" s="999"/>
      <c r="VIM855" s="999"/>
      <c r="VIN855" s="999"/>
      <c r="VIO855" s="999"/>
      <c r="VIP855" s="999"/>
      <c r="VIQ855" s="999"/>
      <c r="VIR855" s="999"/>
      <c r="VIS855" s="999"/>
      <c r="VIT855" s="999"/>
      <c r="VIU855" s="999"/>
      <c r="VIV855" s="999"/>
      <c r="VIW855" s="999"/>
      <c r="VIX855" s="999"/>
      <c r="VIY855" s="999"/>
      <c r="VIZ855" s="999"/>
      <c r="VJA855" s="999"/>
      <c r="VJB855" s="999"/>
      <c r="VJC855" s="999"/>
      <c r="VJD855" s="999"/>
      <c r="VJE855" s="999"/>
      <c r="VJF855" s="999"/>
      <c r="VJG855" s="999"/>
      <c r="VJH855" s="999"/>
      <c r="VJI855" s="999"/>
      <c r="VJJ855" s="999"/>
      <c r="VJK855" s="999"/>
      <c r="VJL855" s="999"/>
      <c r="VJM855" s="999"/>
      <c r="VJN855" s="999"/>
      <c r="VJO855" s="999"/>
      <c r="VJP855" s="999"/>
      <c r="VJQ855" s="999"/>
      <c r="VJR855" s="999"/>
      <c r="VJS855" s="999"/>
      <c r="VJT855" s="999"/>
      <c r="VJU855" s="999"/>
      <c r="VJV855" s="999"/>
      <c r="VJW855" s="999"/>
      <c r="VJX855" s="999"/>
      <c r="VJY855" s="999"/>
      <c r="VJZ855" s="999"/>
      <c r="VKA855" s="999"/>
      <c r="VKB855" s="999"/>
      <c r="VKC855" s="999"/>
      <c r="VKD855" s="999"/>
      <c r="VKE855" s="999"/>
      <c r="VKF855" s="999"/>
      <c r="VKG855" s="999"/>
      <c r="VKH855" s="999"/>
      <c r="VKI855" s="999"/>
      <c r="VKJ855" s="999"/>
      <c r="VKK855" s="999"/>
      <c r="VKL855" s="999"/>
      <c r="VKM855" s="999"/>
      <c r="VKN855" s="999"/>
      <c r="VKO855" s="999"/>
      <c r="VKP855" s="999"/>
      <c r="VKQ855" s="999"/>
      <c r="VKR855" s="999"/>
      <c r="VKS855" s="999"/>
      <c r="VKT855" s="999"/>
      <c r="VKU855" s="999"/>
      <c r="VKV855" s="999"/>
      <c r="VKW855" s="999"/>
      <c r="VKX855" s="999"/>
      <c r="VKY855" s="999"/>
      <c r="VKZ855" s="999"/>
      <c r="VLA855" s="999"/>
      <c r="VLB855" s="999"/>
      <c r="VLC855" s="999"/>
      <c r="VLD855" s="999"/>
      <c r="VLE855" s="999"/>
      <c r="VLF855" s="999"/>
      <c r="VLG855" s="999"/>
      <c r="VLH855" s="999"/>
      <c r="VLI855" s="999"/>
      <c r="VLJ855" s="999"/>
      <c r="VLK855" s="999"/>
      <c r="VLL855" s="999"/>
      <c r="VLM855" s="999"/>
      <c r="VLN855" s="999"/>
      <c r="VLO855" s="999"/>
      <c r="VLP855" s="999"/>
      <c r="VLQ855" s="999"/>
      <c r="VLR855" s="999"/>
      <c r="VLS855" s="999"/>
      <c r="VLT855" s="999"/>
      <c r="VLU855" s="999"/>
      <c r="VLV855" s="999"/>
      <c r="VLW855" s="999"/>
      <c r="VLX855" s="999"/>
      <c r="VLY855" s="999"/>
      <c r="VLZ855" s="999"/>
      <c r="VMA855" s="999"/>
      <c r="VMB855" s="999"/>
      <c r="VMC855" s="999"/>
      <c r="VMD855" s="999"/>
      <c r="VME855" s="999"/>
      <c r="VMF855" s="999"/>
      <c r="VMG855" s="999"/>
      <c r="VMH855" s="999"/>
      <c r="VMI855" s="999"/>
      <c r="VMJ855" s="999"/>
      <c r="VMK855" s="999"/>
      <c r="VML855" s="999"/>
      <c r="VMM855" s="999"/>
      <c r="VMN855" s="999"/>
      <c r="VMO855" s="999"/>
      <c r="VMP855" s="999"/>
      <c r="VMQ855" s="999"/>
      <c r="VMR855" s="999"/>
      <c r="VMS855" s="999"/>
      <c r="VMT855" s="999"/>
      <c r="VMU855" s="999"/>
      <c r="VMV855" s="999"/>
      <c r="VMW855" s="999"/>
      <c r="VMX855" s="999"/>
      <c r="VMY855" s="999"/>
      <c r="VMZ855" s="999"/>
      <c r="VNA855" s="999"/>
      <c r="VNB855" s="999"/>
      <c r="VNC855" s="999"/>
      <c r="VND855" s="999"/>
      <c r="VNE855" s="999"/>
      <c r="VNF855" s="999"/>
      <c r="VNG855" s="999"/>
      <c r="VNH855" s="999"/>
      <c r="VNI855" s="999"/>
      <c r="VNJ855" s="999"/>
      <c r="VNK855" s="999"/>
      <c r="VNL855" s="999"/>
      <c r="VNM855" s="999"/>
      <c r="VNN855" s="999"/>
      <c r="VNO855" s="999"/>
      <c r="VNP855" s="999"/>
      <c r="VNQ855" s="999"/>
      <c r="VNR855" s="999"/>
      <c r="VNS855" s="999"/>
      <c r="VNT855" s="999"/>
      <c r="VNU855" s="999"/>
      <c r="VNV855" s="999"/>
      <c r="VNW855" s="999"/>
      <c r="VNX855" s="999"/>
      <c r="VNY855" s="999"/>
      <c r="VNZ855" s="999"/>
      <c r="VOA855" s="999"/>
      <c r="VOB855" s="999"/>
      <c r="VOC855" s="999"/>
      <c r="VOD855" s="999"/>
      <c r="VOE855" s="999"/>
      <c r="VOF855" s="999"/>
      <c r="VOG855" s="999"/>
      <c r="VOH855" s="999"/>
      <c r="VOI855" s="999"/>
      <c r="VOJ855" s="999"/>
      <c r="VOK855" s="999"/>
      <c r="VOL855" s="999"/>
      <c r="VOM855" s="999"/>
      <c r="VON855" s="999"/>
      <c r="VOO855" s="999"/>
      <c r="VOP855" s="999"/>
      <c r="VOQ855" s="999"/>
      <c r="VOR855" s="999"/>
      <c r="VOS855" s="999"/>
      <c r="VOT855" s="999"/>
      <c r="VOU855" s="999"/>
      <c r="VOV855" s="999"/>
      <c r="VOW855" s="999"/>
      <c r="VOX855" s="999"/>
      <c r="VOY855" s="999"/>
      <c r="VOZ855" s="999"/>
      <c r="VPA855" s="999"/>
      <c r="VPB855" s="999"/>
      <c r="VPC855" s="999"/>
      <c r="VPD855" s="999"/>
      <c r="VPE855" s="999"/>
      <c r="VPF855" s="999"/>
      <c r="VPG855" s="999"/>
      <c r="VPH855" s="999"/>
      <c r="VPI855" s="999"/>
      <c r="VPJ855" s="999"/>
      <c r="VPK855" s="999"/>
      <c r="VPL855" s="999"/>
      <c r="VPM855" s="999"/>
      <c r="VPN855" s="999"/>
      <c r="VPO855" s="999"/>
      <c r="VPP855" s="999"/>
      <c r="VPQ855" s="999"/>
      <c r="VPR855" s="999"/>
      <c r="VPS855" s="999"/>
      <c r="VPT855" s="999"/>
      <c r="VPU855" s="999"/>
      <c r="VPV855" s="999"/>
      <c r="VPW855" s="999"/>
      <c r="VPX855" s="999"/>
      <c r="VPY855" s="999"/>
      <c r="VPZ855" s="999"/>
      <c r="VQA855" s="999"/>
      <c r="VQB855" s="999"/>
      <c r="VQC855" s="999"/>
      <c r="VQD855" s="999"/>
      <c r="VQE855" s="999"/>
      <c r="VQF855" s="999"/>
      <c r="VQG855" s="999"/>
      <c r="VQH855" s="999"/>
      <c r="VQI855" s="999"/>
      <c r="VQJ855" s="999"/>
      <c r="VQK855" s="999"/>
      <c r="VQL855" s="999"/>
      <c r="VQM855" s="999"/>
      <c r="VQN855" s="999"/>
      <c r="VQO855" s="999"/>
      <c r="VQP855" s="999"/>
      <c r="VQQ855" s="999"/>
      <c r="VQR855" s="999"/>
      <c r="VQS855" s="999"/>
      <c r="VQT855" s="999"/>
      <c r="VQU855" s="999"/>
      <c r="VQV855" s="999"/>
      <c r="VQW855" s="999"/>
      <c r="VQX855" s="999"/>
      <c r="VQY855" s="999"/>
      <c r="VQZ855" s="999"/>
      <c r="VRA855" s="999"/>
      <c r="VRB855" s="999"/>
      <c r="VRC855" s="999"/>
      <c r="VRD855" s="999"/>
      <c r="VRE855" s="999"/>
      <c r="VRF855" s="999"/>
      <c r="VRG855" s="999"/>
      <c r="VRH855" s="999"/>
      <c r="VRI855" s="999"/>
      <c r="VRJ855" s="999"/>
      <c r="VRK855" s="999"/>
      <c r="VRL855" s="999"/>
      <c r="VRM855" s="999"/>
      <c r="VRN855" s="999"/>
      <c r="VRO855" s="999"/>
      <c r="VRP855" s="999"/>
      <c r="VRQ855" s="999"/>
      <c r="VRR855" s="999"/>
      <c r="VRS855" s="999"/>
      <c r="VRT855" s="999"/>
      <c r="VRU855" s="999"/>
      <c r="VRV855" s="999"/>
      <c r="VRW855" s="999"/>
      <c r="VRX855" s="999"/>
      <c r="VRY855" s="999"/>
      <c r="VRZ855" s="999"/>
      <c r="VSA855" s="999"/>
      <c r="VSB855" s="999"/>
      <c r="VSC855" s="999"/>
      <c r="VSD855" s="999"/>
      <c r="VSE855" s="999"/>
      <c r="VSF855" s="999"/>
      <c r="VSG855" s="999"/>
      <c r="VSH855" s="999"/>
      <c r="VSI855" s="999"/>
      <c r="VSJ855" s="999"/>
      <c r="VSK855" s="999"/>
      <c r="VSL855" s="999"/>
      <c r="VSM855" s="999"/>
      <c r="VSN855" s="999"/>
      <c r="VSO855" s="999"/>
      <c r="VSP855" s="999"/>
      <c r="VSQ855" s="999"/>
      <c r="VSR855" s="999"/>
      <c r="VSS855" s="999"/>
      <c r="VST855" s="999"/>
      <c r="VSU855" s="999"/>
      <c r="VSV855" s="999"/>
      <c r="VSW855" s="999"/>
      <c r="VSX855" s="999"/>
      <c r="VSY855" s="999"/>
      <c r="VSZ855" s="999"/>
      <c r="VTA855" s="999"/>
      <c r="VTB855" s="999"/>
      <c r="VTC855" s="999"/>
      <c r="VTD855" s="999"/>
      <c r="VTE855" s="999"/>
      <c r="VTF855" s="999"/>
      <c r="VTG855" s="999"/>
      <c r="VTH855" s="999"/>
      <c r="VTI855" s="999"/>
      <c r="VTJ855" s="999"/>
      <c r="VTK855" s="999"/>
      <c r="VTL855" s="999"/>
      <c r="VTM855" s="999"/>
      <c r="VTN855" s="999"/>
      <c r="VTO855" s="999"/>
      <c r="VTP855" s="999"/>
      <c r="VTQ855" s="999"/>
      <c r="VTR855" s="999"/>
      <c r="VTS855" s="999"/>
      <c r="VTT855" s="999"/>
      <c r="VTU855" s="999"/>
      <c r="VTV855" s="999"/>
      <c r="VTW855" s="999"/>
      <c r="VTX855" s="999"/>
      <c r="VTY855" s="999"/>
      <c r="VTZ855" s="999"/>
      <c r="VUA855" s="999"/>
      <c r="VUB855" s="999"/>
      <c r="VUC855" s="999"/>
      <c r="VUD855" s="999"/>
      <c r="VUE855" s="999"/>
      <c r="VUF855" s="999"/>
      <c r="VUG855" s="999"/>
      <c r="VUH855" s="999"/>
      <c r="VUI855" s="999"/>
      <c r="VUJ855" s="999"/>
      <c r="VUK855" s="999"/>
      <c r="VUL855" s="999"/>
      <c r="VUM855" s="999"/>
      <c r="VUN855" s="999"/>
      <c r="VUO855" s="999"/>
      <c r="VUP855" s="999"/>
      <c r="VUQ855" s="999"/>
      <c r="VUR855" s="999"/>
      <c r="VUS855" s="999"/>
      <c r="VUT855" s="999"/>
      <c r="VUU855" s="999"/>
      <c r="VUV855" s="999"/>
      <c r="VUW855" s="999"/>
      <c r="VUX855" s="999"/>
      <c r="VUY855" s="999"/>
      <c r="VUZ855" s="999"/>
      <c r="VVA855" s="999"/>
      <c r="VVB855" s="999"/>
      <c r="VVC855" s="999"/>
      <c r="VVD855" s="999"/>
      <c r="VVE855" s="999"/>
      <c r="VVF855" s="999"/>
      <c r="VVG855" s="999"/>
      <c r="VVH855" s="999"/>
      <c r="VVI855" s="999"/>
      <c r="VVJ855" s="999"/>
      <c r="VVK855" s="999"/>
      <c r="VVL855" s="999"/>
      <c r="VVM855" s="999"/>
      <c r="VVN855" s="999"/>
      <c r="VVO855" s="999"/>
      <c r="VVP855" s="999"/>
      <c r="VVQ855" s="999"/>
      <c r="VVR855" s="999"/>
      <c r="VVS855" s="999"/>
      <c r="VVT855" s="999"/>
      <c r="VVU855" s="999"/>
      <c r="VVV855" s="999"/>
      <c r="VVW855" s="999"/>
      <c r="VVX855" s="999"/>
      <c r="VVY855" s="999"/>
      <c r="VVZ855" s="999"/>
      <c r="VWA855" s="999"/>
      <c r="VWB855" s="999"/>
      <c r="VWC855" s="999"/>
      <c r="VWD855" s="999"/>
      <c r="VWE855" s="999"/>
      <c r="VWF855" s="999"/>
      <c r="VWG855" s="999"/>
      <c r="VWH855" s="999"/>
      <c r="VWI855" s="999"/>
      <c r="VWJ855" s="999"/>
      <c r="VWK855" s="999"/>
      <c r="VWL855" s="999"/>
      <c r="VWM855" s="999"/>
      <c r="VWN855" s="999"/>
      <c r="VWO855" s="999"/>
      <c r="VWP855" s="999"/>
      <c r="VWQ855" s="999"/>
      <c r="VWR855" s="999"/>
      <c r="VWS855" s="999"/>
      <c r="VWT855" s="999"/>
      <c r="VWU855" s="999"/>
      <c r="VWV855" s="999"/>
      <c r="VWW855" s="999"/>
      <c r="VWX855" s="999"/>
      <c r="VWY855" s="999"/>
      <c r="VWZ855" s="999"/>
      <c r="VXA855" s="999"/>
      <c r="VXB855" s="999"/>
      <c r="VXC855" s="999"/>
      <c r="VXD855" s="999"/>
      <c r="VXE855" s="999"/>
      <c r="VXF855" s="999"/>
      <c r="VXG855" s="999"/>
      <c r="VXH855" s="999"/>
      <c r="VXI855" s="999"/>
      <c r="VXJ855" s="999"/>
      <c r="VXK855" s="999"/>
      <c r="VXL855" s="999"/>
      <c r="VXM855" s="999"/>
      <c r="VXN855" s="999"/>
      <c r="VXO855" s="999"/>
      <c r="VXP855" s="999"/>
      <c r="VXQ855" s="999"/>
      <c r="VXR855" s="999"/>
      <c r="VXS855" s="999"/>
      <c r="VXT855" s="999"/>
      <c r="VXU855" s="999"/>
      <c r="VXV855" s="999"/>
      <c r="VXW855" s="999"/>
      <c r="VXX855" s="999"/>
      <c r="VXY855" s="999"/>
      <c r="VXZ855" s="999"/>
      <c r="VYA855" s="999"/>
      <c r="VYB855" s="999"/>
      <c r="VYC855" s="999"/>
      <c r="VYD855" s="999"/>
      <c r="VYE855" s="999"/>
      <c r="VYF855" s="999"/>
      <c r="VYG855" s="999"/>
      <c r="VYH855" s="999"/>
      <c r="VYI855" s="999"/>
      <c r="VYJ855" s="999"/>
      <c r="VYK855" s="999"/>
      <c r="VYL855" s="999"/>
      <c r="VYM855" s="999"/>
      <c r="VYN855" s="999"/>
      <c r="VYO855" s="999"/>
      <c r="VYP855" s="999"/>
      <c r="VYQ855" s="999"/>
      <c r="VYR855" s="999"/>
      <c r="VYS855" s="999"/>
      <c r="VYT855" s="999"/>
      <c r="VYU855" s="999"/>
      <c r="VYV855" s="999"/>
      <c r="VYW855" s="999"/>
      <c r="VYX855" s="999"/>
      <c r="VYY855" s="999"/>
      <c r="VYZ855" s="999"/>
      <c r="VZA855" s="999"/>
      <c r="VZB855" s="999"/>
      <c r="VZC855" s="999"/>
      <c r="VZD855" s="999"/>
      <c r="VZE855" s="999"/>
      <c r="VZF855" s="999"/>
      <c r="VZG855" s="999"/>
      <c r="VZH855" s="999"/>
      <c r="VZI855" s="999"/>
      <c r="VZJ855" s="999"/>
      <c r="VZK855" s="999"/>
      <c r="VZL855" s="999"/>
      <c r="VZM855" s="999"/>
      <c r="VZN855" s="999"/>
      <c r="VZO855" s="999"/>
      <c r="VZP855" s="999"/>
      <c r="VZQ855" s="999"/>
      <c r="VZR855" s="999"/>
      <c r="VZS855" s="999"/>
      <c r="VZT855" s="999"/>
      <c r="VZU855" s="999"/>
      <c r="VZV855" s="999"/>
      <c r="VZW855" s="999"/>
      <c r="VZX855" s="999"/>
      <c r="VZY855" s="999"/>
      <c r="VZZ855" s="999"/>
      <c r="WAA855" s="999"/>
      <c r="WAB855" s="999"/>
      <c r="WAC855" s="999"/>
      <c r="WAD855" s="999"/>
      <c r="WAE855" s="999"/>
      <c r="WAF855" s="999"/>
      <c r="WAG855" s="999"/>
      <c r="WAH855" s="999"/>
      <c r="WAI855" s="999"/>
      <c r="WAJ855" s="999"/>
      <c r="WAK855" s="999"/>
      <c r="WAL855" s="999"/>
      <c r="WAM855" s="999"/>
      <c r="WAN855" s="999"/>
      <c r="WAO855" s="999"/>
      <c r="WAP855" s="999"/>
      <c r="WAQ855" s="999"/>
      <c r="WAR855" s="999"/>
      <c r="WAS855" s="999"/>
      <c r="WAT855" s="999"/>
      <c r="WAU855" s="999"/>
      <c r="WAV855" s="999"/>
      <c r="WAW855" s="999"/>
      <c r="WAX855" s="999"/>
      <c r="WAY855" s="999"/>
      <c r="WAZ855" s="999"/>
      <c r="WBA855" s="999"/>
      <c r="WBB855" s="999"/>
      <c r="WBC855" s="999"/>
      <c r="WBD855" s="999"/>
      <c r="WBE855" s="999"/>
      <c r="WBF855" s="999"/>
      <c r="WBG855" s="999"/>
      <c r="WBH855" s="999"/>
      <c r="WBI855" s="999"/>
      <c r="WBJ855" s="999"/>
      <c r="WBK855" s="999"/>
      <c r="WBL855" s="999"/>
      <c r="WBM855" s="999"/>
      <c r="WBN855" s="999"/>
      <c r="WBO855" s="999"/>
      <c r="WBP855" s="999"/>
      <c r="WBQ855" s="999"/>
      <c r="WBR855" s="999"/>
      <c r="WBS855" s="999"/>
      <c r="WBT855" s="999"/>
      <c r="WBU855" s="999"/>
      <c r="WBV855" s="999"/>
      <c r="WBW855" s="999"/>
      <c r="WBX855" s="999"/>
      <c r="WBY855" s="999"/>
      <c r="WBZ855" s="999"/>
      <c r="WCA855" s="999"/>
      <c r="WCB855" s="999"/>
      <c r="WCC855" s="999"/>
      <c r="WCD855" s="999"/>
      <c r="WCE855" s="999"/>
      <c r="WCF855" s="999"/>
      <c r="WCG855" s="999"/>
      <c r="WCH855" s="999"/>
      <c r="WCI855" s="999"/>
      <c r="WCJ855" s="999"/>
      <c r="WCK855" s="999"/>
      <c r="WCL855" s="999"/>
      <c r="WCM855" s="999"/>
      <c r="WCN855" s="999"/>
      <c r="WCO855" s="999"/>
      <c r="WCP855" s="999"/>
      <c r="WCQ855" s="999"/>
      <c r="WCR855" s="999"/>
      <c r="WCS855" s="999"/>
      <c r="WCT855" s="999"/>
      <c r="WCU855" s="999"/>
      <c r="WCV855" s="999"/>
      <c r="WCW855" s="999"/>
      <c r="WCX855" s="999"/>
      <c r="WCY855" s="999"/>
      <c r="WCZ855" s="999"/>
      <c r="WDA855" s="999"/>
      <c r="WDB855" s="999"/>
      <c r="WDC855" s="999"/>
      <c r="WDD855" s="999"/>
      <c r="WDE855" s="999"/>
      <c r="WDF855" s="999"/>
      <c r="WDG855" s="999"/>
      <c r="WDH855" s="999"/>
      <c r="WDI855" s="999"/>
      <c r="WDJ855" s="999"/>
      <c r="WDK855" s="999"/>
      <c r="WDL855" s="999"/>
      <c r="WDM855" s="999"/>
      <c r="WDN855" s="999"/>
      <c r="WDO855" s="999"/>
      <c r="WDP855" s="999"/>
      <c r="WDQ855" s="999"/>
      <c r="WDR855" s="999"/>
      <c r="WDS855" s="999"/>
      <c r="WDT855" s="999"/>
      <c r="WDU855" s="999"/>
      <c r="WDV855" s="999"/>
      <c r="WDW855" s="999"/>
      <c r="WDX855" s="999"/>
      <c r="WDY855" s="999"/>
      <c r="WDZ855" s="999"/>
      <c r="WEA855" s="999"/>
      <c r="WEB855" s="999"/>
      <c r="WEC855" s="999"/>
      <c r="WED855" s="999"/>
      <c r="WEE855" s="999"/>
      <c r="WEF855" s="999"/>
      <c r="WEG855" s="999"/>
      <c r="WEH855" s="999"/>
      <c r="WEI855" s="999"/>
      <c r="WEJ855" s="999"/>
      <c r="WEK855" s="999"/>
      <c r="WEL855" s="999"/>
      <c r="WEM855" s="999"/>
      <c r="WEN855" s="999"/>
      <c r="WEO855" s="999"/>
      <c r="WEP855" s="999"/>
      <c r="WEQ855" s="999"/>
      <c r="WER855" s="999"/>
      <c r="WES855" s="999"/>
      <c r="WET855" s="999"/>
      <c r="WEU855" s="999"/>
      <c r="WEV855" s="999"/>
      <c r="WEW855" s="999"/>
      <c r="WEX855" s="999"/>
      <c r="WEY855" s="999"/>
      <c r="WEZ855" s="999"/>
      <c r="WFA855" s="999"/>
      <c r="WFB855" s="999"/>
      <c r="WFC855" s="999"/>
      <c r="WFD855" s="999"/>
      <c r="WFE855" s="999"/>
      <c r="WFF855" s="999"/>
      <c r="WFG855" s="999"/>
      <c r="WFH855" s="999"/>
      <c r="WFI855" s="999"/>
      <c r="WFJ855" s="999"/>
      <c r="WFK855" s="999"/>
      <c r="WFL855" s="999"/>
      <c r="WFM855" s="999"/>
      <c r="WFN855" s="999"/>
      <c r="WFO855" s="999"/>
      <c r="WFP855" s="999"/>
      <c r="WFQ855" s="999"/>
      <c r="WFR855" s="999"/>
      <c r="WFS855" s="999"/>
      <c r="WFT855" s="999"/>
      <c r="WFU855" s="999"/>
      <c r="WFV855" s="999"/>
      <c r="WFW855" s="999"/>
      <c r="WFX855" s="999"/>
      <c r="WFY855" s="999"/>
      <c r="WFZ855" s="999"/>
      <c r="WGA855" s="999"/>
      <c r="WGB855" s="999"/>
      <c r="WGC855" s="999"/>
      <c r="WGD855" s="999"/>
      <c r="WGE855" s="999"/>
      <c r="WGF855" s="999"/>
      <c r="WGG855" s="999"/>
      <c r="WGH855" s="999"/>
      <c r="WGI855" s="999"/>
      <c r="WGJ855" s="999"/>
      <c r="WGK855" s="999"/>
      <c r="WGL855" s="999"/>
      <c r="WGM855" s="999"/>
      <c r="WGN855" s="999"/>
      <c r="WGO855" s="999"/>
      <c r="WGP855" s="999"/>
      <c r="WGQ855" s="999"/>
      <c r="WGR855" s="999"/>
      <c r="WGS855" s="999"/>
      <c r="WGT855" s="999"/>
      <c r="WGU855" s="999"/>
      <c r="WGV855" s="999"/>
      <c r="WGW855" s="999"/>
      <c r="WGX855" s="999"/>
      <c r="WGY855" s="999"/>
      <c r="WGZ855" s="999"/>
      <c r="WHA855" s="999"/>
      <c r="WHB855" s="999"/>
      <c r="WHC855" s="999"/>
      <c r="WHD855" s="999"/>
      <c r="WHE855" s="999"/>
      <c r="WHF855" s="999"/>
      <c r="WHG855" s="999"/>
      <c r="WHH855" s="999"/>
      <c r="WHI855" s="999"/>
      <c r="WHJ855" s="999"/>
      <c r="WHK855" s="999"/>
      <c r="WHL855" s="999"/>
      <c r="WHM855" s="999"/>
      <c r="WHN855" s="999"/>
      <c r="WHO855" s="999"/>
      <c r="WHP855" s="999"/>
      <c r="WHQ855" s="999"/>
      <c r="WHR855" s="999"/>
      <c r="WHS855" s="999"/>
      <c r="WHT855" s="999"/>
      <c r="WHU855" s="999"/>
      <c r="WHV855" s="999"/>
      <c r="WHW855" s="999"/>
      <c r="WHX855" s="999"/>
      <c r="WHY855" s="999"/>
      <c r="WHZ855" s="999"/>
      <c r="WIA855" s="999"/>
      <c r="WIB855" s="999"/>
      <c r="WIC855" s="999"/>
      <c r="WID855" s="999"/>
      <c r="WIE855" s="999"/>
      <c r="WIF855" s="999"/>
      <c r="WIG855" s="999"/>
      <c r="WIH855" s="999"/>
      <c r="WII855" s="999"/>
      <c r="WIJ855" s="999"/>
      <c r="WIK855" s="999"/>
      <c r="WIL855" s="999"/>
      <c r="WIM855" s="999"/>
      <c r="WIN855" s="999"/>
      <c r="WIO855" s="999"/>
      <c r="WIP855" s="999"/>
      <c r="WIQ855" s="999"/>
      <c r="WIR855" s="999"/>
      <c r="WIS855" s="999"/>
      <c r="WIT855" s="999"/>
      <c r="WIU855" s="999"/>
      <c r="WIV855" s="999"/>
      <c r="WIW855" s="999"/>
      <c r="WIX855" s="999"/>
      <c r="WIY855" s="999"/>
      <c r="WIZ855" s="999"/>
      <c r="WJA855" s="999"/>
      <c r="WJB855" s="999"/>
      <c r="WJC855" s="999"/>
      <c r="WJD855" s="999"/>
      <c r="WJE855" s="999"/>
      <c r="WJF855" s="999"/>
      <c r="WJG855" s="999"/>
      <c r="WJH855" s="999"/>
      <c r="WJI855" s="999"/>
      <c r="WJJ855" s="999"/>
      <c r="WJK855" s="999"/>
      <c r="WJL855" s="999"/>
      <c r="WJM855" s="999"/>
      <c r="WJN855" s="999"/>
      <c r="WJO855" s="999"/>
      <c r="WJP855" s="999"/>
      <c r="WJQ855" s="999"/>
      <c r="WJR855" s="999"/>
      <c r="WJS855" s="999"/>
      <c r="WJT855" s="999"/>
      <c r="WJU855" s="999"/>
      <c r="WJV855" s="999"/>
      <c r="WJW855" s="999"/>
      <c r="WJX855" s="999"/>
      <c r="WJY855" s="999"/>
      <c r="WJZ855" s="999"/>
      <c r="WKA855" s="999"/>
      <c r="WKB855" s="999"/>
      <c r="WKC855" s="999"/>
      <c r="WKD855" s="999"/>
      <c r="WKE855" s="999"/>
      <c r="WKF855" s="999"/>
      <c r="WKG855" s="999"/>
      <c r="WKH855" s="999"/>
      <c r="WKI855" s="999"/>
      <c r="WKJ855" s="999"/>
      <c r="WKK855" s="999"/>
      <c r="WKL855" s="999"/>
      <c r="WKM855" s="999"/>
      <c r="WKN855" s="999"/>
      <c r="WKO855" s="999"/>
      <c r="WKP855" s="999"/>
      <c r="WKQ855" s="999"/>
      <c r="WKR855" s="999"/>
      <c r="WKS855" s="999"/>
      <c r="WKT855" s="999"/>
      <c r="WKU855" s="999"/>
      <c r="WKV855" s="999"/>
      <c r="WKW855" s="999"/>
      <c r="WKX855" s="999"/>
      <c r="WKY855" s="999"/>
      <c r="WKZ855" s="999"/>
      <c r="WLA855" s="999"/>
      <c r="WLB855" s="999"/>
      <c r="WLC855" s="999"/>
      <c r="WLD855" s="999"/>
      <c r="WLE855" s="999"/>
      <c r="WLF855" s="999"/>
      <c r="WLG855" s="999"/>
      <c r="WLH855" s="999"/>
      <c r="WLI855" s="999"/>
      <c r="WLJ855" s="999"/>
      <c r="WLK855" s="999"/>
      <c r="WLL855" s="999"/>
      <c r="WLM855" s="999"/>
      <c r="WLN855" s="999"/>
      <c r="WLO855" s="999"/>
      <c r="WLP855" s="999"/>
      <c r="WLQ855" s="999"/>
      <c r="WLR855" s="999"/>
      <c r="WLS855" s="999"/>
      <c r="WLT855" s="999"/>
      <c r="WLU855" s="999"/>
      <c r="WLV855" s="999"/>
      <c r="WLW855" s="999"/>
      <c r="WLX855" s="999"/>
      <c r="WLY855" s="999"/>
      <c r="WLZ855" s="999"/>
      <c r="WMA855" s="999"/>
      <c r="WMB855" s="999"/>
      <c r="WMC855" s="999"/>
      <c r="WMD855" s="999"/>
      <c r="WME855" s="999"/>
      <c r="WMF855" s="999"/>
      <c r="WMG855" s="999"/>
      <c r="WMH855" s="999"/>
      <c r="WMI855" s="999"/>
      <c r="WMJ855" s="999"/>
      <c r="WMK855" s="999"/>
      <c r="WML855" s="999"/>
      <c r="WMM855" s="999"/>
      <c r="WMN855" s="999"/>
      <c r="WMO855" s="999"/>
      <c r="WMP855" s="999"/>
      <c r="WMQ855" s="999"/>
      <c r="WMR855" s="999"/>
      <c r="WMS855" s="999"/>
      <c r="WMT855" s="999"/>
      <c r="WMU855" s="999"/>
      <c r="WMV855" s="999"/>
      <c r="WMW855" s="999"/>
      <c r="WMX855" s="999"/>
      <c r="WMY855" s="999"/>
      <c r="WMZ855" s="999"/>
      <c r="WNA855" s="999"/>
      <c r="WNB855" s="999"/>
      <c r="WNC855" s="999"/>
      <c r="WND855" s="999"/>
      <c r="WNE855" s="999"/>
      <c r="WNF855" s="999"/>
      <c r="WNG855" s="999"/>
      <c r="WNH855" s="999"/>
      <c r="WNI855" s="999"/>
      <c r="WNJ855" s="999"/>
      <c r="WNK855" s="999"/>
      <c r="WNL855" s="999"/>
      <c r="WNM855" s="999"/>
      <c r="WNN855" s="999"/>
      <c r="WNO855" s="999"/>
      <c r="WNP855" s="999"/>
      <c r="WNQ855" s="999"/>
      <c r="WNR855" s="999"/>
      <c r="WNS855" s="999"/>
      <c r="WNT855" s="999"/>
      <c r="WNU855" s="999"/>
      <c r="WNV855" s="999"/>
      <c r="WNW855" s="999"/>
      <c r="WNX855" s="999"/>
      <c r="WNY855" s="999"/>
      <c r="WNZ855" s="999"/>
      <c r="WOA855" s="999"/>
      <c r="WOB855" s="999"/>
      <c r="WOC855" s="999"/>
      <c r="WOD855" s="999"/>
      <c r="WOE855" s="999"/>
      <c r="WOF855" s="999"/>
      <c r="WOG855" s="999"/>
      <c r="WOH855" s="999"/>
      <c r="WOI855" s="999"/>
      <c r="WOJ855" s="999"/>
      <c r="WOK855" s="999"/>
      <c r="WOL855" s="999"/>
      <c r="WOM855" s="999"/>
      <c r="WON855" s="999"/>
      <c r="WOO855" s="999"/>
      <c r="WOP855" s="999"/>
      <c r="WOQ855" s="999"/>
      <c r="WOR855" s="999"/>
      <c r="WOS855" s="999"/>
      <c r="WOT855" s="999"/>
      <c r="WOU855" s="999"/>
      <c r="WOV855" s="999"/>
      <c r="WOW855" s="999"/>
      <c r="WOX855" s="999"/>
      <c r="WOY855" s="999"/>
      <c r="WOZ855" s="999"/>
      <c r="WPA855" s="999"/>
      <c r="WPB855" s="999"/>
      <c r="WPC855" s="999"/>
      <c r="WPD855" s="999"/>
      <c r="WPE855" s="999"/>
      <c r="WPF855" s="999"/>
      <c r="WPG855" s="999"/>
      <c r="WPH855" s="999"/>
      <c r="WPI855" s="999"/>
      <c r="WPJ855" s="999"/>
      <c r="WPK855" s="999"/>
      <c r="WPL855" s="999"/>
      <c r="WPM855" s="999"/>
      <c r="WPN855" s="999"/>
      <c r="WPO855" s="999"/>
      <c r="WPP855" s="999"/>
      <c r="WPQ855" s="999"/>
      <c r="WPR855" s="999"/>
      <c r="WPS855" s="999"/>
      <c r="WPT855" s="999"/>
      <c r="WPU855" s="999"/>
      <c r="WPV855" s="999"/>
      <c r="WPW855" s="999"/>
      <c r="WPX855" s="999"/>
      <c r="WPY855" s="999"/>
      <c r="WPZ855" s="999"/>
      <c r="WQA855" s="999"/>
      <c r="WQB855" s="999"/>
      <c r="WQC855" s="999"/>
      <c r="WQD855" s="999"/>
      <c r="WQE855" s="999"/>
      <c r="WQF855" s="999"/>
      <c r="WQG855" s="999"/>
      <c r="WQH855" s="999"/>
      <c r="WQI855" s="999"/>
      <c r="WQJ855" s="999"/>
      <c r="WQK855" s="999"/>
      <c r="WQL855" s="999"/>
      <c r="WQM855" s="999"/>
      <c r="WQN855" s="999"/>
      <c r="WQO855" s="999"/>
      <c r="WQP855" s="999"/>
      <c r="WQQ855" s="999"/>
      <c r="WQR855" s="999"/>
      <c r="WQS855" s="999"/>
      <c r="WQT855" s="999"/>
      <c r="WQU855" s="999"/>
      <c r="WQV855" s="999"/>
      <c r="WQW855" s="999"/>
      <c r="WQX855" s="999"/>
      <c r="WQY855" s="999"/>
      <c r="WQZ855" s="999"/>
      <c r="WRA855" s="999"/>
      <c r="WRB855" s="999"/>
      <c r="WRC855" s="999"/>
      <c r="WRD855" s="999"/>
      <c r="WRE855" s="999"/>
      <c r="WRF855" s="999"/>
      <c r="WRG855" s="999"/>
      <c r="WRH855" s="999"/>
      <c r="WRI855" s="999"/>
      <c r="WRJ855" s="999"/>
      <c r="WRK855" s="999"/>
      <c r="WRL855" s="999"/>
      <c r="WRM855" s="999"/>
      <c r="WRN855" s="999"/>
      <c r="WRO855" s="999"/>
      <c r="WRP855" s="999"/>
      <c r="WRQ855" s="999"/>
      <c r="WRR855" s="999"/>
      <c r="WRS855" s="999"/>
      <c r="WRT855" s="999"/>
      <c r="WRU855" s="999"/>
      <c r="WRV855" s="999"/>
      <c r="WRW855" s="999"/>
      <c r="WRX855" s="999"/>
      <c r="WRY855" s="999"/>
      <c r="WRZ855" s="999"/>
      <c r="WSA855" s="999"/>
      <c r="WSB855" s="999"/>
      <c r="WSC855" s="999"/>
      <c r="WSD855" s="999"/>
      <c r="WSE855" s="999"/>
      <c r="WSF855" s="999"/>
      <c r="WSG855" s="999"/>
      <c r="WSH855" s="999"/>
      <c r="WSI855" s="999"/>
      <c r="WSJ855" s="999"/>
      <c r="WSK855" s="999"/>
      <c r="WSL855" s="999"/>
      <c r="WSM855" s="999"/>
      <c r="WSN855" s="999"/>
      <c r="WSO855" s="999"/>
      <c r="WSP855" s="999"/>
      <c r="WSQ855" s="999"/>
      <c r="WSR855" s="999"/>
      <c r="WSS855" s="999"/>
      <c r="WST855" s="999"/>
      <c r="WSU855" s="999"/>
      <c r="WSV855" s="999"/>
      <c r="WSW855" s="999"/>
      <c r="WSX855" s="999"/>
      <c r="WSY855" s="999"/>
      <c r="WSZ855" s="999"/>
      <c r="WTA855" s="999"/>
      <c r="WTB855" s="999"/>
      <c r="WTC855" s="999"/>
      <c r="WTD855" s="999"/>
      <c r="WTE855" s="999"/>
      <c r="WTF855" s="999"/>
      <c r="WTG855" s="999"/>
      <c r="WTH855" s="999"/>
      <c r="WTI855" s="999"/>
      <c r="WTJ855" s="999"/>
      <c r="WTK855" s="999"/>
      <c r="WTL855" s="999"/>
      <c r="WTM855" s="999"/>
      <c r="WTN855" s="999"/>
      <c r="WTO855" s="999"/>
      <c r="WTP855" s="999"/>
      <c r="WTQ855" s="999"/>
      <c r="WTR855" s="999"/>
      <c r="WTS855" s="999"/>
      <c r="WTT855" s="999"/>
      <c r="WTU855" s="999"/>
      <c r="WTV855" s="999"/>
      <c r="WTW855" s="999"/>
      <c r="WTX855" s="999"/>
      <c r="WTY855" s="999"/>
      <c r="WTZ855" s="999"/>
      <c r="WUA855" s="999"/>
      <c r="WUB855" s="999"/>
      <c r="WUC855" s="999"/>
      <c r="WUD855" s="999"/>
      <c r="WUE855" s="999"/>
      <c r="WUF855" s="999"/>
      <c r="WUG855" s="999"/>
      <c r="WUH855" s="999"/>
      <c r="WUI855" s="999"/>
      <c r="WUJ855" s="999"/>
      <c r="WUK855" s="999"/>
      <c r="WUL855" s="999"/>
      <c r="WUM855" s="999"/>
      <c r="WUN855" s="999"/>
      <c r="WUO855" s="999"/>
      <c r="WUP855" s="999"/>
      <c r="WUQ855" s="999"/>
      <c r="WUR855" s="999"/>
      <c r="WUS855" s="999"/>
      <c r="WUT855" s="999"/>
      <c r="WUU855" s="999"/>
      <c r="WUV855" s="999"/>
      <c r="WUW855" s="999"/>
      <c r="WUX855" s="999"/>
      <c r="WUY855" s="999"/>
      <c r="WUZ855" s="999"/>
      <c r="WVA855" s="999"/>
      <c r="WVB855" s="999"/>
      <c r="WVC855" s="999"/>
      <c r="WVD855" s="999"/>
      <c r="WVE855" s="999"/>
      <c r="WVF855" s="999"/>
      <c r="WVG855" s="999"/>
      <c r="WVH855" s="999"/>
      <c r="WVI855" s="999"/>
      <c r="WVJ855" s="999"/>
      <c r="WVK855" s="999"/>
      <c r="WVL855" s="999"/>
      <c r="WVM855" s="999"/>
      <c r="WVN855" s="999"/>
      <c r="WVO855" s="999"/>
      <c r="WVP855" s="999"/>
      <c r="WVQ855" s="999"/>
      <c r="WVR855" s="999"/>
      <c r="WVS855" s="999"/>
      <c r="WVT855" s="999"/>
      <c r="WVU855" s="999"/>
      <c r="WVV855" s="999"/>
      <c r="WVW855" s="999"/>
      <c r="WVX855" s="999"/>
      <c r="WVY855" s="999"/>
      <c r="WVZ855" s="999"/>
      <c r="WWA855" s="999"/>
      <c r="WWB855" s="999"/>
      <c r="WWC855" s="999"/>
      <c r="WWD855" s="999"/>
      <c r="WWE855" s="999"/>
      <c r="WWF855" s="999"/>
      <c r="WWG855" s="999"/>
      <c r="WWH855" s="999"/>
      <c r="WWI855" s="999"/>
      <c r="WWJ855" s="999"/>
      <c r="WWK855" s="999"/>
      <c r="WWL855" s="999"/>
      <c r="WWM855" s="999"/>
      <c r="WWN855" s="999"/>
      <c r="WWO855" s="999"/>
      <c r="WWP855" s="999"/>
      <c r="WWQ855" s="999"/>
      <c r="WWR855" s="999"/>
      <c r="WWS855" s="999"/>
      <c r="WWT855" s="999"/>
      <c r="WWU855" s="999"/>
      <c r="WWV855" s="999"/>
      <c r="WWW855" s="999"/>
      <c r="WWX855" s="999"/>
      <c r="WWY855" s="999"/>
      <c r="WWZ855" s="999"/>
      <c r="WXA855" s="999"/>
      <c r="WXB855" s="999"/>
      <c r="WXC855" s="999"/>
      <c r="WXD855" s="999"/>
      <c r="WXE855" s="999"/>
      <c r="WXF855" s="999"/>
      <c r="WXG855" s="999"/>
      <c r="WXH855" s="999"/>
      <c r="WXI855" s="999"/>
      <c r="WXJ855" s="999"/>
      <c r="WXK855" s="999"/>
      <c r="WXL855" s="999"/>
      <c r="WXM855" s="999"/>
      <c r="WXN855" s="999"/>
      <c r="WXO855" s="999"/>
      <c r="WXP855" s="999"/>
      <c r="WXQ855" s="999"/>
      <c r="WXR855" s="999"/>
      <c r="WXS855" s="999"/>
      <c r="WXT855" s="999"/>
      <c r="WXU855" s="999"/>
      <c r="WXV855" s="999"/>
      <c r="WXW855" s="999"/>
      <c r="WXX855" s="999"/>
      <c r="WXY855" s="999"/>
      <c r="WXZ855" s="999"/>
      <c r="WYA855" s="999"/>
      <c r="WYB855" s="999"/>
      <c r="WYC855" s="999"/>
      <c r="WYD855" s="999"/>
      <c r="WYE855" s="999"/>
      <c r="WYF855" s="999"/>
      <c r="WYG855" s="999"/>
      <c r="WYH855" s="999"/>
      <c r="WYI855" s="999"/>
      <c r="WYJ855" s="999"/>
      <c r="WYK855" s="999"/>
      <c r="WYL855" s="999"/>
      <c r="WYM855" s="999"/>
      <c r="WYN855" s="999"/>
      <c r="WYO855" s="999"/>
      <c r="WYP855" s="999"/>
      <c r="WYQ855" s="999"/>
      <c r="WYR855" s="999"/>
      <c r="WYS855" s="999"/>
      <c r="WYT855" s="999"/>
      <c r="WYU855" s="999"/>
      <c r="WYV855" s="999"/>
      <c r="WYW855" s="999"/>
      <c r="WYX855" s="999"/>
      <c r="WYY855" s="999"/>
      <c r="WYZ855" s="999"/>
      <c r="WZA855" s="999"/>
      <c r="WZB855" s="999"/>
      <c r="WZC855" s="999"/>
      <c r="WZD855" s="999"/>
      <c r="WZE855" s="999"/>
      <c r="WZF855" s="999"/>
      <c r="WZG855" s="999"/>
      <c r="WZH855" s="999"/>
      <c r="WZI855" s="999"/>
      <c r="WZJ855" s="999"/>
      <c r="WZK855" s="999"/>
      <c r="WZL855" s="999"/>
      <c r="WZM855" s="999"/>
      <c r="WZN855" s="999"/>
      <c r="WZO855" s="999"/>
      <c r="WZP855" s="999"/>
      <c r="WZQ855" s="999"/>
      <c r="WZR855" s="999"/>
      <c r="WZS855" s="999"/>
      <c r="WZT855" s="999"/>
      <c r="WZU855" s="999"/>
      <c r="WZV855" s="999"/>
      <c r="WZW855" s="999"/>
      <c r="WZX855" s="999"/>
      <c r="WZY855" s="999"/>
      <c r="WZZ855" s="999"/>
      <c r="XAA855" s="999"/>
      <c r="XAB855" s="999"/>
      <c r="XAC855" s="999"/>
      <c r="XAD855" s="999"/>
      <c r="XAE855" s="999"/>
      <c r="XAF855" s="999"/>
      <c r="XAG855" s="999"/>
      <c r="XAH855" s="999"/>
      <c r="XAI855" s="999"/>
      <c r="XAJ855" s="999"/>
      <c r="XAK855" s="999"/>
      <c r="XAL855" s="999"/>
      <c r="XAM855" s="999"/>
      <c r="XAN855" s="999"/>
      <c r="XAO855" s="999"/>
      <c r="XAP855" s="999"/>
      <c r="XAQ855" s="999"/>
      <c r="XAR855" s="999"/>
      <c r="XAS855" s="999"/>
      <c r="XAT855" s="999"/>
      <c r="XAU855" s="999"/>
      <c r="XAV855" s="999"/>
      <c r="XAW855" s="999"/>
      <c r="XAX855" s="999"/>
      <c r="XAY855" s="999"/>
      <c r="XAZ855" s="999"/>
      <c r="XBA855" s="999"/>
      <c r="XBB855" s="999"/>
      <c r="XBC855" s="999"/>
      <c r="XBD855" s="999"/>
      <c r="XBE855" s="999"/>
      <c r="XBF855" s="999"/>
      <c r="XBG855" s="999"/>
      <c r="XBH855" s="999"/>
      <c r="XBI855" s="999"/>
      <c r="XBJ855" s="999"/>
      <c r="XBK855" s="999"/>
      <c r="XBL855" s="999"/>
      <c r="XBM855" s="999"/>
      <c r="XBN855" s="999"/>
      <c r="XBO855" s="999"/>
      <c r="XBP855" s="999"/>
      <c r="XBQ855" s="999"/>
      <c r="XBR855" s="999"/>
      <c r="XBS855" s="999"/>
      <c r="XBT855" s="999"/>
      <c r="XBU855" s="999"/>
      <c r="XBV855" s="999"/>
      <c r="XBW855" s="999"/>
      <c r="XBX855" s="999"/>
      <c r="XBY855" s="999"/>
      <c r="XBZ855" s="999"/>
      <c r="XCA855" s="999"/>
      <c r="XCB855" s="999"/>
      <c r="XCC855" s="999"/>
      <c r="XCD855" s="999"/>
      <c r="XCE855" s="999"/>
      <c r="XCF855" s="999"/>
      <c r="XCG855" s="999"/>
      <c r="XCH855" s="999"/>
      <c r="XCI855" s="999"/>
      <c r="XCJ855" s="999"/>
      <c r="XCK855" s="999"/>
      <c r="XCL855" s="999"/>
      <c r="XCM855" s="999"/>
      <c r="XCN855" s="999"/>
      <c r="XCO855" s="999"/>
      <c r="XCP855" s="999"/>
      <c r="XCQ855" s="999"/>
      <c r="XCR855" s="999"/>
      <c r="XCS855" s="999"/>
      <c r="XCT855" s="999"/>
      <c r="XCU855" s="999"/>
      <c r="XCV855" s="999"/>
      <c r="XCW855" s="999"/>
      <c r="XCX855" s="999"/>
      <c r="XCY855" s="999"/>
      <c r="XCZ855" s="999"/>
      <c r="XDA855" s="999"/>
      <c r="XDB855" s="999"/>
      <c r="XDC855" s="999"/>
      <c r="XDD855" s="999"/>
      <c r="XDE855" s="999"/>
      <c r="XDF855" s="999"/>
      <c r="XDG855" s="999"/>
      <c r="XDH855" s="999"/>
      <c r="XDI855" s="999"/>
      <c r="XDJ855" s="999"/>
      <c r="XDK855" s="999"/>
      <c r="XDL855" s="999"/>
      <c r="XDM855" s="999"/>
      <c r="XDN855" s="999"/>
      <c r="XDO855" s="999"/>
      <c r="XDP855" s="999"/>
      <c r="XDQ855" s="999"/>
      <c r="XDR855" s="999"/>
      <c r="XDS855" s="999"/>
      <c r="XDT855" s="999"/>
      <c r="XDU855" s="999"/>
      <c r="XDV855" s="999"/>
      <c r="XDW855" s="999"/>
      <c r="XDX855" s="999"/>
      <c r="XDY855" s="999"/>
      <c r="XDZ855" s="999"/>
      <c r="XEA855" s="999"/>
      <c r="XEB855" s="999"/>
      <c r="XEC855" s="999"/>
      <c r="XED855" s="999"/>
      <c r="XEE855" s="999"/>
      <c r="XEF855" s="999"/>
      <c r="XEG855" s="999"/>
      <c r="XEH855" s="999"/>
      <c r="XEI855" s="999"/>
      <c r="XEJ855" s="999"/>
      <c r="XEK855" s="999"/>
      <c r="XEL855" s="999"/>
      <c r="XEM855" s="999"/>
      <c r="XEN855" s="999"/>
      <c r="XEO855" s="999"/>
      <c r="XEP855" s="999"/>
      <c r="XEQ855" s="999"/>
      <c r="XER855" s="999"/>
      <c r="XES855" s="999"/>
      <c r="XET855" s="999"/>
      <c r="XEU855" s="999"/>
      <c r="XEV855" s="999"/>
      <c r="XEW855" s="999"/>
      <c r="XEX855" s="999"/>
      <c r="XEY855" s="999"/>
      <c r="XEZ855" s="999"/>
      <c r="XFA855" s="999"/>
      <c r="XFB855" s="999"/>
      <c r="XFC855" s="999"/>
      <c r="XFD855" s="999"/>
    </row>
    <row r="856" spans="1:16384" s="21" customFormat="1">
      <c r="A856" s="1017" t="s">
        <v>4087</v>
      </c>
      <c r="B856" s="1017"/>
      <c r="C856" s="1017"/>
      <c r="D856" s="1017"/>
      <c r="E856" s="1017"/>
      <c r="F856" s="748"/>
      <c r="G856" s="748"/>
      <c r="H856" s="75" t="s">
        <v>12</v>
      </c>
      <c r="I856" s="748" t="s">
        <v>368</v>
      </c>
      <c r="J856" s="755"/>
      <c r="L856" s="755"/>
      <c r="M856" s="519"/>
      <c r="N856" s="519"/>
      <c r="O856" s="519"/>
      <c r="P856" s="608"/>
      <c r="Q856" s="519"/>
      <c r="R856" s="519"/>
      <c r="S856" s="519"/>
      <c r="T856" s="519"/>
      <c r="U856" s="519"/>
      <c r="V856" s="519"/>
      <c r="W856" s="519"/>
      <c r="X856" s="519"/>
      <c r="Y856" s="519"/>
      <c r="Z856" s="519"/>
      <c r="AA856" s="519"/>
      <c r="AB856" s="519"/>
      <c r="AC856" s="519"/>
      <c r="AD856" s="519"/>
      <c r="AE856" s="519"/>
      <c r="AF856" s="519"/>
      <c r="AG856" s="519"/>
      <c r="AH856" s="519"/>
      <c r="AI856" s="519"/>
      <c r="AJ856" s="519"/>
      <c r="AK856" s="519"/>
      <c r="AL856" s="519"/>
    </row>
    <row r="857" spans="1:16384" s="21" customFormat="1" ht="28.5">
      <c r="A857" s="779" t="s">
        <v>1917</v>
      </c>
      <c r="B857" s="749"/>
      <c r="C857" s="93" t="s">
        <v>3</v>
      </c>
      <c r="D857" s="93" t="s">
        <v>4</v>
      </c>
      <c r="E857" s="93" t="s">
        <v>1826</v>
      </c>
      <c r="F857" s="93" t="s">
        <v>3781</v>
      </c>
      <c r="G857" s="93" t="s">
        <v>3783</v>
      </c>
      <c r="H857" s="93" t="s">
        <v>367</v>
      </c>
      <c r="I857" s="159">
        <f>ROUND(H858*E858,2)</f>
        <v>0</v>
      </c>
      <c r="J857" s="755"/>
      <c r="L857" s="755"/>
      <c r="M857" s="748"/>
      <c r="N857" s="748"/>
      <c r="O857" s="158"/>
      <c r="P857" s="598"/>
      <c r="Q857" s="158"/>
      <c r="R857" s="158"/>
      <c r="S857" s="158"/>
      <c r="T857" s="158"/>
      <c r="U857" s="158"/>
      <c r="V857" s="158"/>
      <c r="W857" s="158"/>
      <c r="X857" s="158"/>
      <c r="Y857" s="158"/>
      <c r="Z857" s="158"/>
      <c r="AA857" s="158"/>
      <c r="AB857" s="158"/>
      <c r="AC857" s="158"/>
      <c r="AD857" s="158"/>
      <c r="AE857" s="141"/>
      <c r="AF857" s="141"/>
      <c r="AG857" s="141"/>
      <c r="AH857" s="141"/>
      <c r="AI857" s="141"/>
      <c r="AJ857" s="141"/>
      <c r="AK857" s="141"/>
      <c r="AL857" s="141"/>
    </row>
    <row r="858" spans="1:16384" s="21" customFormat="1" ht="30">
      <c r="A858" s="743" t="s">
        <v>4081</v>
      </c>
      <c r="B858" s="752" t="s">
        <v>4082</v>
      </c>
      <c r="C858" s="743" t="s">
        <v>12</v>
      </c>
      <c r="D858" s="753" t="s">
        <v>52</v>
      </c>
      <c r="E858" s="754" t="s">
        <v>4083</v>
      </c>
      <c r="F858" s="155">
        <f t="shared" ref="F858" si="191">AVERAGE(M858:AL858)</f>
        <v>5.1899999999999995</v>
      </c>
      <c r="G858" s="155">
        <f>ROUND(F858*E858,2)</f>
        <v>5.51</v>
      </c>
      <c r="H858" s="155"/>
      <c r="I858" s="155"/>
      <c r="J858" s="755"/>
      <c r="L858" s="755"/>
      <c r="M858" s="158">
        <v>4.6100000000000003</v>
      </c>
      <c r="N858" s="158">
        <v>4.18</v>
      </c>
      <c r="O858" s="158">
        <v>5.59</v>
      </c>
      <c r="P858" s="598">
        <v>6.38</v>
      </c>
      <c r="Q858" s="158"/>
      <c r="R858" s="158"/>
      <c r="S858" s="158"/>
      <c r="T858" s="158"/>
      <c r="U858" s="158"/>
      <c r="V858" s="158"/>
      <c r="W858" s="158"/>
      <c r="X858" s="158"/>
      <c r="Y858" s="158"/>
      <c r="Z858" s="158"/>
      <c r="AA858" s="158"/>
      <c r="AB858" s="158"/>
      <c r="AC858" s="158"/>
      <c r="AD858" s="158"/>
      <c r="AE858" s="141"/>
      <c r="AF858" s="141"/>
      <c r="AG858" s="141"/>
      <c r="AH858" s="141"/>
      <c r="AI858" s="141"/>
      <c r="AJ858" s="141"/>
      <c r="AK858" s="141"/>
      <c r="AL858" s="141"/>
    </row>
    <row r="859" spans="1:16384" s="21" customFormat="1">
      <c r="A859" s="141" t="s">
        <v>4084</v>
      </c>
      <c r="B859" s="141" t="s">
        <v>480</v>
      </c>
      <c r="C859" s="141" t="s">
        <v>12</v>
      </c>
      <c r="D859" s="141" t="s">
        <v>17</v>
      </c>
      <c r="E859" s="762" t="s">
        <v>4006</v>
      </c>
      <c r="F859" s="158">
        <f t="shared" ref="F859" si="192">AVERAGE(M859:AL859)</f>
        <v>3.2566666666666664</v>
      </c>
      <c r="G859" s="158">
        <f>ROUND(F859*E859,2)</f>
        <v>0.35</v>
      </c>
      <c r="H859" s="158"/>
      <c r="I859" s="158"/>
      <c r="J859" s="755"/>
      <c r="L859" s="755"/>
      <c r="M859" s="158">
        <v>5.9</v>
      </c>
      <c r="N859" s="158"/>
      <c r="O859" s="158">
        <v>1.47</v>
      </c>
      <c r="P859" s="598">
        <v>2.4</v>
      </c>
      <c r="Q859" s="158"/>
      <c r="R859" s="158"/>
      <c r="S859" s="158"/>
      <c r="T859" s="158"/>
      <c r="U859" s="158"/>
      <c r="V859" s="158"/>
      <c r="W859" s="158"/>
      <c r="X859" s="158"/>
      <c r="Y859" s="158"/>
      <c r="Z859" s="158"/>
      <c r="AA859" s="158"/>
      <c r="AB859" s="158"/>
      <c r="AC859" s="158"/>
      <c r="AD859" s="158"/>
      <c r="AE859" s="141"/>
      <c r="AF859" s="141"/>
      <c r="AG859" s="141"/>
      <c r="AH859" s="141"/>
      <c r="AI859" s="141"/>
      <c r="AJ859" s="141"/>
      <c r="AK859" s="141"/>
      <c r="AL859" s="141"/>
    </row>
    <row r="860" spans="1:16384" s="21" customFormat="1" ht="45">
      <c r="A860" s="780">
        <v>88248</v>
      </c>
      <c r="B860" s="756" t="s">
        <v>473</v>
      </c>
      <c r="C860" s="757" t="s">
        <v>12</v>
      </c>
      <c r="D860" s="758" t="s">
        <v>19</v>
      </c>
      <c r="E860" s="759" t="s">
        <v>4085</v>
      </c>
      <c r="F860" s="506">
        <f>13.51*0.85*'PLANILHA ORÇA - CORREGEDORIA'!$BH$19</f>
        <v>12.792715055275846</v>
      </c>
      <c r="G860" s="506">
        <f>ROUND(F860*E860,2)</f>
        <v>4.08</v>
      </c>
      <c r="H860" s="159"/>
      <c r="I860" s="159"/>
      <c r="J860" s="755"/>
      <c r="L860" s="755"/>
      <c r="M860" s="239"/>
      <c r="N860" s="239"/>
      <c r="O860" s="239"/>
      <c r="P860" s="777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  <c r="AA860" s="239"/>
      <c r="AB860" s="239"/>
      <c r="AC860" s="239"/>
      <c r="AD860" s="239"/>
      <c r="AE860" s="778"/>
      <c r="AF860" s="778"/>
      <c r="AG860" s="778"/>
      <c r="AH860" s="778"/>
      <c r="AI860" s="778"/>
      <c r="AJ860" s="778"/>
      <c r="AK860" s="778"/>
      <c r="AL860" s="778"/>
    </row>
    <row r="861" spans="1:16384" ht="30">
      <c r="A861" s="504" t="s">
        <v>4086</v>
      </c>
      <c r="B861" s="750" t="s">
        <v>472</v>
      </c>
      <c r="C861" s="504" t="s">
        <v>12</v>
      </c>
      <c r="D861" s="751" t="s">
        <v>19</v>
      </c>
      <c r="E861" s="645" t="s">
        <v>4085</v>
      </c>
      <c r="F861" s="505">
        <f>17.31*0.85*'PLANILHA ORÇA - CORREGEDORIA'!$BH$19</f>
        <v>16.390962073044033</v>
      </c>
      <c r="G861" s="505">
        <f>ROUND(F861*E861,2)</f>
        <v>5.23</v>
      </c>
      <c r="H861" s="26"/>
      <c r="I861" s="26"/>
      <c r="M861" s="239"/>
      <c r="N861" s="239"/>
      <c r="O861" s="239"/>
      <c r="P861" s="777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  <c r="AB861" s="239"/>
      <c r="AC861" s="239"/>
      <c r="AD861" s="239"/>
      <c r="AE861" s="778"/>
      <c r="AF861" s="778"/>
      <c r="AG861" s="778"/>
      <c r="AH861" s="778"/>
      <c r="AI861" s="778"/>
      <c r="AJ861" s="778"/>
      <c r="AK861" s="778"/>
      <c r="AL861" s="778"/>
    </row>
    <row r="862" spans="1:16384">
      <c r="A862" s="917" t="s">
        <v>1894</v>
      </c>
      <c r="B862" s="918"/>
      <c r="C862" s="918"/>
      <c r="D862" s="918"/>
      <c r="E862" s="918"/>
      <c r="F862" s="926"/>
      <c r="G862" s="79">
        <f>SUM(G858:G861)</f>
        <v>15.17</v>
      </c>
      <c r="H862" s="745"/>
      <c r="I862" s="745"/>
      <c r="AE862" s="747"/>
      <c r="AF862" s="747"/>
      <c r="AG862" s="747"/>
      <c r="AH862" s="747"/>
      <c r="AI862" s="747"/>
      <c r="AJ862" s="747"/>
      <c r="AK862" s="747"/>
      <c r="AL862" s="747"/>
    </row>
    <row r="865" spans="1:11">
      <c r="A865" s="761"/>
      <c r="B865" s="21"/>
      <c r="C865" s="21"/>
      <c r="D865" s="21"/>
      <c r="E865" s="21"/>
      <c r="F865" s="21"/>
      <c r="G865" s="21"/>
      <c r="H865" s="21"/>
      <c r="I865" s="21"/>
      <c r="J865" s="755"/>
      <c r="K865" s="21"/>
    </row>
    <row r="866" spans="1:11">
      <c r="A866" s="409"/>
      <c r="B866" s="409"/>
      <c r="C866" s="409"/>
      <c r="D866" s="409"/>
      <c r="E866" s="763"/>
      <c r="F866" s="410"/>
      <c r="G866" s="410"/>
      <c r="H866" s="410"/>
      <c r="I866" s="410"/>
      <c r="J866" s="755"/>
      <c r="K866" s="21"/>
    </row>
    <row r="867" spans="1:11">
      <c r="A867" s="761"/>
      <c r="B867" s="21"/>
      <c r="C867" s="21"/>
      <c r="D867" s="21"/>
      <c r="E867" s="21"/>
      <c r="F867" s="21"/>
      <c r="G867" s="21"/>
      <c r="H867" s="21"/>
      <c r="I867" s="21"/>
      <c r="J867" s="755"/>
      <c r="K867" s="21"/>
    </row>
    <row r="868" spans="1:11">
      <c r="A868" s="761"/>
      <c r="B868" s="21"/>
      <c r="C868" s="21"/>
      <c r="D868" s="21"/>
      <c r="E868" s="21"/>
      <c r="F868" s="21"/>
      <c r="G868" s="21"/>
      <c r="H868" s="21"/>
      <c r="I868" s="21"/>
      <c r="J868" s="755"/>
      <c r="K868" s="21"/>
    </row>
    <row r="869" spans="1:11">
      <c r="A869" s="761"/>
      <c r="B869" s="21"/>
      <c r="C869" s="21"/>
      <c r="D869" s="21"/>
      <c r="E869" s="21"/>
      <c r="F869" s="21"/>
      <c r="G869" s="21"/>
      <c r="H869" s="21"/>
      <c r="I869" s="21"/>
      <c r="J869" s="755"/>
      <c r="K869" s="21"/>
    </row>
    <row r="870" spans="1:11">
      <c r="A870" s="761"/>
      <c r="B870" s="21"/>
      <c r="C870" s="21"/>
      <c r="D870" s="21"/>
      <c r="E870" s="21"/>
      <c r="F870" s="21"/>
      <c r="G870" s="21"/>
      <c r="H870" s="21"/>
      <c r="I870" s="21"/>
      <c r="J870" s="755"/>
      <c r="K870" s="21"/>
    </row>
    <row r="871" spans="1:11">
      <c r="A871" s="761"/>
      <c r="B871" s="21"/>
      <c r="C871" s="21"/>
      <c r="D871" s="21"/>
      <c r="E871" s="21"/>
      <c r="F871" s="21"/>
      <c r="G871" s="21"/>
      <c r="H871" s="21"/>
      <c r="I871" s="21"/>
      <c r="J871" s="755"/>
      <c r="K871" s="21"/>
    </row>
  </sheetData>
  <mergeCells count="3556">
    <mergeCell ref="F277:F282"/>
    <mergeCell ref="G277:G282"/>
    <mergeCell ref="F313:F319"/>
    <mergeCell ref="G313:G319"/>
    <mergeCell ref="F324:F337"/>
    <mergeCell ref="G324:G337"/>
    <mergeCell ref="F342:F353"/>
    <mergeCell ref="G342:G353"/>
    <mergeCell ref="XFA855:XFD855"/>
    <mergeCell ref="A856:E856"/>
    <mergeCell ref="A862:F862"/>
    <mergeCell ref="AD807:AD811"/>
    <mergeCell ref="XDH855:XDL855"/>
    <mergeCell ref="XDM855:XDQ855"/>
    <mergeCell ref="XDR855:XDV855"/>
    <mergeCell ref="XDW855:XEA855"/>
    <mergeCell ref="XEB855:XEF855"/>
    <mergeCell ref="XEG855:XEK855"/>
    <mergeCell ref="XEL855:XEP855"/>
    <mergeCell ref="XEQ855:XEU855"/>
    <mergeCell ref="XEV855:XEZ855"/>
    <mergeCell ref="XBO855:XBS855"/>
    <mergeCell ref="XBT855:XBX855"/>
    <mergeCell ref="XBY855:XCC855"/>
    <mergeCell ref="XCD855:XCH855"/>
    <mergeCell ref="XCI855:XCM855"/>
    <mergeCell ref="XCN855:XCR855"/>
    <mergeCell ref="XCS855:XCW855"/>
    <mergeCell ref="XCX855:XDB855"/>
    <mergeCell ref="XDC855:XDG855"/>
    <mergeCell ref="WZV855:WZZ855"/>
    <mergeCell ref="XAA855:XAE855"/>
    <mergeCell ref="XAF855:XAJ855"/>
    <mergeCell ref="XAK855:XAO855"/>
    <mergeCell ref="XAP855:XAT855"/>
    <mergeCell ref="XAU855:XAY855"/>
    <mergeCell ref="XAZ855:XBD855"/>
    <mergeCell ref="XBE855:XBI855"/>
    <mergeCell ref="XBJ855:XBN855"/>
    <mergeCell ref="WYC855:WYG855"/>
    <mergeCell ref="WYH855:WYL855"/>
    <mergeCell ref="WYM855:WYQ855"/>
    <mergeCell ref="WYR855:WYV855"/>
    <mergeCell ref="WYW855:WZA855"/>
    <mergeCell ref="WZB855:WZF855"/>
    <mergeCell ref="WZG855:WZK855"/>
    <mergeCell ref="WZL855:WZP855"/>
    <mergeCell ref="WZQ855:WZU855"/>
    <mergeCell ref="WWJ855:WWN855"/>
    <mergeCell ref="WWO855:WWS855"/>
    <mergeCell ref="WWT855:WWX855"/>
    <mergeCell ref="WWY855:WXC855"/>
    <mergeCell ref="WXD855:WXH855"/>
    <mergeCell ref="WXI855:WXM855"/>
    <mergeCell ref="WXN855:WXR855"/>
    <mergeCell ref="WXS855:WXW855"/>
    <mergeCell ref="WXX855:WYB855"/>
    <mergeCell ref="WUQ855:WUU855"/>
    <mergeCell ref="WUV855:WUZ855"/>
    <mergeCell ref="WVA855:WVE855"/>
    <mergeCell ref="WVF855:WVJ855"/>
    <mergeCell ref="WVK855:WVO855"/>
    <mergeCell ref="WVP855:WVT855"/>
    <mergeCell ref="WVU855:WVY855"/>
    <mergeCell ref="WVZ855:WWD855"/>
    <mergeCell ref="WWE855:WWI855"/>
    <mergeCell ref="WSX855:WTB855"/>
    <mergeCell ref="WTC855:WTG855"/>
    <mergeCell ref="WTH855:WTL855"/>
    <mergeCell ref="WTM855:WTQ855"/>
    <mergeCell ref="WTR855:WTV855"/>
    <mergeCell ref="WTW855:WUA855"/>
    <mergeCell ref="WUB855:WUF855"/>
    <mergeCell ref="WUG855:WUK855"/>
    <mergeCell ref="WUL855:WUP855"/>
    <mergeCell ref="WRE855:WRI855"/>
    <mergeCell ref="WRJ855:WRN855"/>
    <mergeCell ref="WRO855:WRS855"/>
    <mergeCell ref="WRT855:WRX855"/>
    <mergeCell ref="WRY855:WSC855"/>
    <mergeCell ref="WSD855:WSH855"/>
    <mergeCell ref="WSI855:WSM855"/>
    <mergeCell ref="WSN855:WSR855"/>
    <mergeCell ref="WSS855:WSW855"/>
    <mergeCell ref="WPL855:WPP855"/>
    <mergeCell ref="WPQ855:WPU855"/>
    <mergeCell ref="WPV855:WPZ855"/>
    <mergeCell ref="WQA855:WQE855"/>
    <mergeCell ref="WQF855:WQJ855"/>
    <mergeCell ref="WQK855:WQO855"/>
    <mergeCell ref="WQP855:WQT855"/>
    <mergeCell ref="WQU855:WQY855"/>
    <mergeCell ref="WQZ855:WRD855"/>
    <mergeCell ref="WNS855:WNW855"/>
    <mergeCell ref="WNX855:WOB855"/>
    <mergeCell ref="WOC855:WOG855"/>
    <mergeCell ref="WOH855:WOL855"/>
    <mergeCell ref="WOM855:WOQ855"/>
    <mergeCell ref="WOR855:WOV855"/>
    <mergeCell ref="WOW855:WPA855"/>
    <mergeCell ref="WPB855:WPF855"/>
    <mergeCell ref="WPG855:WPK855"/>
    <mergeCell ref="WLZ855:WMD855"/>
    <mergeCell ref="WME855:WMI855"/>
    <mergeCell ref="WMJ855:WMN855"/>
    <mergeCell ref="WMO855:WMS855"/>
    <mergeCell ref="WMT855:WMX855"/>
    <mergeCell ref="WMY855:WNC855"/>
    <mergeCell ref="WND855:WNH855"/>
    <mergeCell ref="WNI855:WNM855"/>
    <mergeCell ref="WNN855:WNR855"/>
    <mergeCell ref="WKG855:WKK855"/>
    <mergeCell ref="WKL855:WKP855"/>
    <mergeCell ref="WKQ855:WKU855"/>
    <mergeCell ref="WKV855:WKZ855"/>
    <mergeCell ref="WLA855:WLE855"/>
    <mergeCell ref="WLF855:WLJ855"/>
    <mergeCell ref="WLK855:WLO855"/>
    <mergeCell ref="WLP855:WLT855"/>
    <mergeCell ref="WLU855:WLY855"/>
    <mergeCell ref="WIN855:WIR855"/>
    <mergeCell ref="WIS855:WIW855"/>
    <mergeCell ref="WIX855:WJB855"/>
    <mergeCell ref="WJC855:WJG855"/>
    <mergeCell ref="WJH855:WJL855"/>
    <mergeCell ref="WJM855:WJQ855"/>
    <mergeCell ref="WJR855:WJV855"/>
    <mergeCell ref="WJW855:WKA855"/>
    <mergeCell ref="WKB855:WKF855"/>
    <mergeCell ref="WGU855:WGY855"/>
    <mergeCell ref="WGZ855:WHD855"/>
    <mergeCell ref="WHE855:WHI855"/>
    <mergeCell ref="WHJ855:WHN855"/>
    <mergeCell ref="WHO855:WHS855"/>
    <mergeCell ref="WHT855:WHX855"/>
    <mergeCell ref="WHY855:WIC855"/>
    <mergeCell ref="WID855:WIH855"/>
    <mergeCell ref="WII855:WIM855"/>
    <mergeCell ref="WFB855:WFF855"/>
    <mergeCell ref="WFG855:WFK855"/>
    <mergeCell ref="WFL855:WFP855"/>
    <mergeCell ref="WFQ855:WFU855"/>
    <mergeCell ref="WFV855:WFZ855"/>
    <mergeCell ref="WGA855:WGE855"/>
    <mergeCell ref="WGF855:WGJ855"/>
    <mergeCell ref="WGK855:WGO855"/>
    <mergeCell ref="WGP855:WGT855"/>
    <mergeCell ref="WDI855:WDM855"/>
    <mergeCell ref="WDN855:WDR855"/>
    <mergeCell ref="WDS855:WDW855"/>
    <mergeCell ref="WDX855:WEB855"/>
    <mergeCell ref="WEC855:WEG855"/>
    <mergeCell ref="WEH855:WEL855"/>
    <mergeCell ref="WEM855:WEQ855"/>
    <mergeCell ref="WER855:WEV855"/>
    <mergeCell ref="WEW855:WFA855"/>
    <mergeCell ref="WBP855:WBT855"/>
    <mergeCell ref="WBU855:WBY855"/>
    <mergeCell ref="WBZ855:WCD855"/>
    <mergeCell ref="WCE855:WCI855"/>
    <mergeCell ref="WCJ855:WCN855"/>
    <mergeCell ref="WCO855:WCS855"/>
    <mergeCell ref="WCT855:WCX855"/>
    <mergeCell ref="WCY855:WDC855"/>
    <mergeCell ref="WDD855:WDH855"/>
    <mergeCell ref="VZW855:WAA855"/>
    <mergeCell ref="WAB855:WAF855"/>
    <mergeCell ref="WAG855:WAK855"/>
    <mergeCell ref="WAL855:WAP855"/>
    <mergeCell ref="WAQ855:WAU855"/>
    <mergeCell ref="WAV855:WAZ855"/>
    <mergeCell ref="WBA855:WBE855"/>
    <mergeCell ref="WBF855:WBJ855"/>
    <mergeCell ref="WBK855:WBO855"/>
    <mergeCell ref="VYD855:VYH855"/>
    <mergeCell ref="VYI855:VYM855"/>
    <mergeCell ref="VYN855:VYR855"/>
    <mergeCell ref="VYS855:VYW855"/>
    <mergeCell ref="VYX855:VZB855"/>
    <mergeCell ref="VZC855:VZG855"/>
    <mergeCell ref="VZH855:VZL855"/>
    <mergeCell ref="VZM855:VZQ855"/>
    <mergeCell ref="VZR855:VZV855"/>
    <mergeCell ref="VWK855:VWO855"/>
    <mergeCell ref="VWP855:VWT855"/>
    <mergeCell ref="VWU855:VWY855"/>
    <mergeCell ref="VWZ855:VXD855"/>
    <mergeCell ref="VXE855:VXI855"/>
    <mergeCell ref="VXJ855:VXN855"/>
    <mergeCell ref="VXO855:VXS855"/>
    <mergeCell ref="VXT855:VXX855"/>
    <mergeCell ref="VXY855:VYC855"/>
    <mergeCell ref="VUR855:VUV855"/>
    <mergeCell ref="VUW855:VVA855"/>
    <mergeCell ref="VVB855:VVF855"/>
    <mergeCell ref="VVG855:VVK855"/>
    <mergeCell ref="VVL855:VVP855"/>
    <mergeCell ref="VVQ855:VVU855"/>
    <mergeCell ref="VVV855:VVZ855"/>
    <mergeCell ref="VWA855:VWE855"/>
    <mergeCell ref="VWF855:VWJ855"/>
    <mergeCell ref="VSY855:VTC855"/>
    <mergeCell ref="VTD855:VTH855"/>
    <mergeCell ref="VTI855:VTM855"/>
    <mergeCell ref="VTN855:VTR855"/>
    <mergeCell ref="VTS855:VTW855"/>
    <mergeCell ref="VTX855:VUB855"/>
    <mergeCell ref="VUC855:VUG855"/>
    <mergeCell ref="VUH855:VUL855"/>
    <mergeCell ref="VUM855:VUQ855"/>
    <mergeCell ref="VRF855:VRJ855"/>
    <mergeCell ref="VRK855:VRO855"/>
    <mergeCell ref="VRP855:VRT855"/>
    <mergeCell ref="VRU855:VRY855"/>
    <mergeCell ref="VRZ855:VSD855"/>
    <mergeCell ref="VSE855:VSI855"/>
    <mergeCell ref="VSJ855:VSN855"/>
    <mergeCell ref="VSO855:VSS855"/>
    <mergeCell ref="VST855:VSX855"/>
    <mergeCell ref="VPM855:VPQ855"/>
    <mergeCell ref="VPR855:VPV855"/>
    <mergeCell ref="VPW855:VQA855"/>
    <mergeCell ref="VQB855:VQF855"/>
    <mergeCell ref="VQG855:VQK855"/>
    <mergeCell ref="VQL855:VQP855"/>
    <mergeCell ref="VQQ855:VQU855"/>
    <mergeCell ref="VQV855:VQZ855"/>
    <mergeCell ref="VRA855:VRE855"/>
    <mergeCell ref="VNT855:VNX855"/>
    <mergeCell ref="VNY855:VOC855"/>
    <mergeCell ref="VOD855:VOH855"/>
    <mergeCell ref="VOI855:VOM855"/>
    <mergeCell ref="VON855:VOR855"/>
    <mergeCell ref="VOS855:VOW855"/>
    <mergeCell ref="VOX855:VPB855"/>
    <mergeCell ref="VPC855:VPG855"/>
    <mergeCell ref="VPH855:VPL855"/>
    <mergeCell ref="VMA855:VME855"/>
    <mergeCell ref="VMF855:VMJ855"/>
    <mergeCell ref="VMK855:VMO855"/>
    <mergeCell ref="VMP855:VMT855"/>
    <mergeCell ref="VMU855:VMY855"/>
    <mergeCell ref="VMZ855:VND855"/>
    <mergeCell ref="VNE855:VNI855"/>
    <mergeCell ref="VNJ855:VNN855"/>
    <mergeCell ref="VNO855:VNS855"/>
    <mergeCell ref="VKH855:VKL855"/>
    <mergeCell ref="VKM855:VKQ855"/>
    <mergeCell ref="VKR855:VKV855"/>
    <mergeCell ref="VKW855:VLA855"/>
    <mergeCell ref="VLB855:VLF855"/>
    <mergeCell ref="VLG855:VLK855"/>
    <mergeCell ref="VLL855:VLP855"/>
    <mergeCell ref="VLQ855:VLU855"/>
    <mergeCell ref="VLV855:VLZ855"/>
    <mergeCell ref="VIO855:VIS855"/>
    <mergeCell ref="VIT855:VIX855"/>
    <mergeCell ref="VIY855:VJC855"/>
    <mergeCell ref="VJD855:VJH855"/>
    <mergeCell ref="VJI855:VJM855"/>
    <mergeCell ref="VJN855:VJR855"/>
    <mergeCell ref="VJS855:VJW855"/>
    <mergeCell ref="VJX855:VKB855"/>
    <mergeCell ref="VKC855:VKG855"/>
    <mergeCell ref="VGV855:VGZ855"/>
    <mergeCell ref="VHA855:VHE855"/>
    <mergeCell ref="VHF855:VHJ855"/>
    <mergeCell ref="VHK855:VHO855"/>
    <mergeCell ref="VHP855:VHT855"/>
    <mergeCell ref="VHU855:VHY855"/>
    <mergeCell ref="VHZ855:VID855"/>
    <mergeCell ref="VIE855:VII855"/>
    <mergeCell ref="VIJ855:VIN855"/>
    <mergeCell ref="VFC855:VFG855"/>
    <mergeCell ref="VFH855:VFL855"/>
    <mergeCell ref="VFM855:VFQ855"/>
    <mergeCell ref="VFR855:VFV855"/>
    <mergeCell ref="VFW855:VGA855"/>
    <mergeCell ref="VGB855:VGF855"/>
    <mergeCell ref="VGG855:VGK855"/>
    <mergeCell ref="VGL855:VGP855"/>
    <mergeCell ref="VGQ855:VGU855"/>
    <mergeCell ref="VDJ855:VDN855"/>
    <mergeCell ref="VDO855:VDS855"/>
    <mergeCell ref="VDT855:VDX855"/>
    <mergeCell ref="VDY855:VEC855"/>
    <mergeCell ref="VED855:VEH855"/>
    <mergeCell ref="VEI855:VEM855"/>
    <mergeCell ref="VEN855:VER855"/>
    <mergeCell ref="VES855:VEW855"/>
    <mergeCell ref="VEX855:VFB855"/>
    <mergeCell ref="VBQ855:VBU855"/>
    <mergeCell ref="VBV855:VBZ855"/>
    <mergeCell ref="VCA855:VCE855"/>
    <mergeCell ref="VCF855:VCJ855"/>
    <mergeCell ref="VCK855:VCO855"/>
    <mergeCell ref="VCP855:VCT855"/>
    <mergeCell ref="VCU855:VCY855"/>
    <mergeCell ref="VCZ855:VDD855"/>
    <mergeCell ref="VDE855:VDI855"/>
    <mergeCell ref="UZX855:VAB855"/>
    <mergeCell ref="VAC855:VAG855"/>
    <mergeCell ref="VAH855:VAL855"/>
    <mergeCell ref="VAM855:VAQ855"/>
    <mergeCell ref="VAR855:VAV855"/>
    <mergeCell ref="VAW855:VBA855"/>
    <mergeCell ref="VBB855:VBF855"/>
    <mergeCell ref="VBG855:VBK855"/>
    <mergeCell ref="VBL855:VBP855"/>
    <mergeCell ref="UYE855:UYI855"/>
    <mergeCell ref="UYJ855:UYN855"/>
    <mergeCell ref="UYO855:UYS855"/>
    <mergeCell ref="UYT855:UYX855"/>
    <mergeCell ref="UYY855:UZC855"/>
    <mergeCell ref="UZD855:UZH855"/>
    <mergeCell ref="UZI855:UZM855"/>
    <mergeCell ref="UZN855:UZR855"/>
    <mergeCell ref="UZS855:UZW855"/>
    <mergeCell ref="UWL855:UWP855"/>
    <mergeCell ref="UWQ855:UWU855"/>
    <mergeCell ref="UWV855:UWZ855"/>
    <mergeCell ref="UXA855:UXE855"/>
    <mergeCell ref="UXF855:UXJ855"/>
    <mergeCell ref="UXK855:UXO855"/>
    <mergeCell ref="UXP855:UXT855"/>
    <mergeCell ref="UXU855:UXY855"/>
    <mergeCell ref="UXZ855:UYD855"/>
    <mergeCell ref="UUS855:UUW855"/>
    <mergeCell ref="UUX855:UVB855"/>
    <mergeCell ref="UVC855:UVG855"/>
    <mergeCell ref="UVH855:UVL855"/>
    <mergeCell ref="UVM855:UVQ855"/>
    <mergeCell ref="UVR855:UVV855"/>
    <mergeCell ref="UVW855:UWA855"/>
    <mergeCell ref="UWB855:UWF855"/>
    <mergeCell ref="UWG855:UWK855"/>
    <mergeCell ref="USZ855:UTD855"/>
    <mergeCell ref="UTE855:UTI855"/>
    <mergeCell ref="UTJ855:UTN855"/>
    <mergeCell ref="UTO855:UTS855"/>
    <mergeCell ref="UTT855:UTX855"/>
    <mergeCell ref="UTY855:UUC855"/>
    <mergeCell ref="UUD855:UUH855"/>
    <mergeCell ref="UUI855:UUM855"/>
    <mergeCell ref="UUN855:UUR855"/>
    <mergeCell ref="URG855:URK855"/>
    <mergeCell ref="URL855:URP855"/>
    <mergeCell ref="URQ855:URU855"/>
    <mergeCell ref="URV855:URZ855"/>
    <mergeCell ref="USA855:USE855"/>
    <mergeCell ref="USF855:USJ855"/>
    <mergeCell ref="USK855:USO855"/>
    <mergeCell ref="USP855:UST855"/>
    <mergeCell ref="USU855:USY855"/>
    <mergeCell ref="UPN855:UPR855"/>
    <mergeCell ref="UPS855:UPW855"/>
    <mergeCell ref="UPX855:UQB855"/>
    <mergeCell ref="UQC855:UQG855"/>
    <mergeCell ref="UQH855:UQL855"/>
    <mergeCell ref="UQM855:UQQ855"/>
    <mergeCell ref="UQR855:UQV855"/>
    <mergeCell ref="UQW855:URA855"/>
    <mergeCell ref="URB855:URF855"/>
    <mergeCell ref="UNU855:UNY855"/>
    <mergeCell ref="UNZ855:UOD855"/>
    <mergeCell ref="UOE855:UOI855"/>
    <mergeCell ref="UOJ855:UON855"/>
    <mergeCell ref="UOO855:UOS855"/>
    <mergeCell ref="UOT855:UOX855"/>
    <mergeCell ref="UOY855:UPC855"/>
    <mergeCell ref="UPD855:UPH855"/>
    <mergeCell ref="UPI855:UPM855"/>
    <mergeCell ref="UMB855:UMF855"/>
    <mergeCell ref="UMG855:UMK855"/>
    <mergeCell ref="UML855:UMP855"/>
    <mergeCell ref="UMQ855:UMU855"/>
    <mergeCell ref="UMV855:UMZ855"/>
    <mergeCell ref="UNA855:UNE855"/>
    <mergeCell ref="UNF855:UNJ855"/>
    <mergeCell ref="UNK855:UNO855"/>
    <mergeCell ref="UNP855:UNT855"/>
    <mergeCell ref="UKI855:UKM855"/>
    <mergeCell ref="UKN855:UKR855"/>
    <mergeCell ref="UKS855:UKW855"/>
    <mergeCell ref="UKX855:ULB855"/>
    <mergeCell ref="ULC855:ULG855"/>
    <mergeCell ref="ULH855:ULL855"/>
    <mergeCell ref="ULM855:ULQ855"/>
    <mergeCell ref="ULR855:ULV855"/>
    <mergeCell ref="ULW855:UMA855"/>
    <mergeCell ref="UIP855:UIT855"/>
    <mergeCell ref="UIU855:UIY855"/>
    <mergeCell ref="UIZ855:UJD855"/>
    <mergeCell ref="UJE855:UJI855"/>
    <mergeCell ref="UJJ855:UJN855"/>
    <mergeCell ref="UJO855:UJS855"/>
    <mergeCell ref="UJT855:UJX855"/>
    <mergeCell ref="UJY855:UKC855"/>
    <mergeCell ref="UKD855:UKH855"/>
    <mergeCell ref="UGW855:UHA855"/>
    <mergeCell ref="UHB855:UHF855"/>
    <mergeCell ref="UHG855:UHK855"/>
    <mergeCell ref="UHL855:UHP855"/>
    <mergeCell ref="UHQ855:UHU855"/>
    <mergeCell ref="UHV855:UHZ855"/>
    <mergeCell ref="UIA855:UIE855"/>
    <mergeCell ref="UIF855:UIJ855"/>
    <mergeCell ref="UIK855:UIO855"/>
    <mergeCell ref="UFD855:UFH855"/>
    <mergeCell ref="UFI855:UFM855"/>
    <mergeCell ref="UFN855:UFR855"/>
    <mergeCell ref="UFS855:UFW855"/>
    <mergeCell ref="UFX855:UGB855"/>
    <mergeCell ref="UGC855:UGG855"/>
    <mergeCell ref="UGH855:UGL855"/>
    <mergeCell ref="UGM855:UGQ855"/>
    <mergeCell ref="UGR855:UGV855"/>
    <mergeCell ref="UDK855:UDO855"/>
    <mergeCell ref="UDP855:UDT855"/>
    <mergeCell ref="UDU855:UDY855"/>
    <mergeCell ref="UDZ855:UED855"/>
    <mergeCell ref="UEE855:UEI855"/>
    <mergeCell ref="UEJ855:UEN855"/>
    <mergeCell ref="UEO855:UES855"/>
    <mergeCell ref="UET855:UEX855"/>
    <mergeCell ref="UEY855:UFC855"/>
    <mergeCell ref="UBR855:UBV855"/>
    <mergeCell ref="UBW855:UCA855"/>
    <mergeCell ref="UCB855:UCF855"/>
    <mergeCell ref="UCG855:UCK855"/>
    <mergeCell ref="UCL855:UCP855"/>
    <mergeCell ref="UCQ855:UCU855"/>
    <mergeCell ref="UCV855:UCZ855"/>
    <mergeCell ref="UDA855:UDE855"/>
    <mergeCell ref="UDF855:UDJ855"/>
    <mergeCell ref="TZY855:UAC855"/>
    <mergeCell ref="UAD855:UAH855"/>
    <mergeCell ref="UAI855:UAM855"/>
    <mergeCell ref="UAN855:UAR855"/>
    <mergeCell ref="UAS855:UAW855"/>
    <mergeCell ref="UAX855:UBB855"/>
    <mergeCell ref="UBC855:UBG855"/>
    <mergeCell ref="UBH855:UBL855"/>
    <mergeCell ref="UBM855:UBQ855"/>
    <mergeCell ref="TYF855:TYJ855"/>
    <mergeCell ref="TYK855:TYO855"/>
    <mergeCell ref="TYP855:TYT855"/>
    <mergeCell ref="TYU855:TYY855"/>
    <mergeCell ref="TYZ855:TZD855"/>
    <mergeCell ref="TZE855:TZI855"/>
    <mergeCell ref="TZJ855:TZN855"/>
    <mergeCell ref="TZO855:TZS855"/>
    <mergeCell ref="TZT855:TZX855"/>
    <mergeCell ref="TWM855:TWQ855"/>
    <mergeCell ref="TWR855:TWV855"/>
    <mergeCell ref="TWW855:TXA855"/>
    <mergeCell ref="TXB855:TXF855"/>
    <mergeCell ref="TXG855:TXK855"/>
    <mergeCell ref="TXL855:TXP855"/>
    <mergeCell ref="TXQ855:TXU855"/>
    <mergeCell ref="TXV855:TXZ855"/>
    <mergeCell ref="TYA855:TYE855"/>
    <mergeCell ref="TUT855:TUX855"/>
    <mergeCell ref="TUY855:TVC855"/>
    <mergeCell ref="TVD855:TVH855"/>
    <mergeCell ref="TVI855:TVM855"/>
    <mergeCell ref="TVN855:TVR855"/>
    <mergeCell ref="TVS855:TVW855"/>
    <mergeCell ref="TVX855:TWB855"/>
    <mergeCell ref="TWC855:TWG855"/>
    <mergeCell ref="TWH855:TWL855"/>
    <mergeCell ref="TTA855:TTE855"/>
    <mergeCell ref="TTF855:TTJ855"/>
    <mergeCell ref="TTK855:TTO855"/>
    <mergeCell ref="TTP855:TTT855"/>
    <mergeCell ref="TTU855:TTY855"/>
    <mergeCell ref="TTZ855:TUD855"/>
    <mergeCell ref="TUE855:TUI855"/>
    <mergeCell ref="TUJ855:TUN855"/>
    <mergeCell ref="TUO855:TUS855"/>
    <mergeCell ref="TRH855:TRL855"/>
    <mergeCell ref="TRM855:TRQ855"/>
    <mergeCell ref="TRR855:TRV855"/>
    <mergeCell ref="TRW855:TSA855"/>
    <mergeCell ref="TSB855:TSF855"/>
    <mergeCell ref="TSG855:TSK855"/>
    <mergeCell ref="TSL855:TSP855"/>
    <mergeCell ref="TSQ855:TSU855"/>
    <mergeCell ref="TSV855:TSZ855"/>
    <mergeCell ref="TPO855:TPS855"/>
    <mergeCell ref="TPT855:TPX855"/>
    <mergeCell ref="TPY855:TQC855"/>
    <mergeCell ref="TQD855:TQH855"/>
    <mergeCell ref="TQI855:TQM855"/>
    <mergeCell ref="TQN855:TQR855"/>
    <mergeCell ref="TQS855:TQW855"/>
    <mergeCell ref="TQX855:TRB855"/>
    <mergeCell ref="TRC855:TRG855"/>
    <mergeCell ref="TNV855:TNZ855"/>
    <mergeCell ref="TOA855:TOE855"/>
    <mergeCell ref="TOF855:TOJ855"/>
    <mergeCell ref="TOK855:TOO855"/>
    <mergeCell ref="TOP855:TOT855"/>
    <mergeCell ref="TOU855:TOY855"/>
    <mergeCell ref="TOZ855:TPD855"/>
    <mergeCell ref="TPE855:TPI855"/>
    <mergeCell ref="TPJ855:TPN855"/>
    <mergeCell ref="TMC855:TMG855"/>
    <mergeCell ref="TMH855:TML855"/>
    <mergeCell ref="TMM855:TMQ855"/>
    <mergeCell ref="TMR855:TMV855"/>
    <mergeCell ref="TMW855:TNA855"/>
    <mergeCell ref="TNB855:TNF855"/>
    <mergeCell ref="TNG855:TNK855"/>
    <mergeCell ref="TNL855:TNP855"/>
    <mergeCell ref="TNQ855:TNU855"/>
    <mergeCell ref="TKJ855:TKN855"/>
    <mergeCell ref="TKO855:TKS855"/>
    <mergeCell ref="TKT855:TKX855"/>
    <mergeCell ref="TKY855:TLC855"/>
    <mergeCell ref="TLD855:TLH855"/>
    <mergeCell ref="TLI855:TLM855"/>
    <mergeCell ref="TLN855:TLR855"/>
    <mergeCell ref="TLS855:TLW855"/>
    <mergeCell ref="TLX855:TMB855"/>
    <mergeCell ref="TIQ855:TIU855"/>
    <mergeCell ref="TIV855:TIZ855"/>
    <mergeCell ref="TJA855:TJE855"/>
    <mergeCell ref="TJF855:TJJ855"/>
    <mergeCell ref="TJK855:TJO855"/>
    <mergeCell ref="TJP855:TJT855"/>
    <mergeCell ref="TJU855:TJY855"/>
    <mergeCell ref="TJZ855:TKD855"/>
    <mergeCell ref="TKE855:TKI855"/>
    <mergeCell ref="TGX855:THB855"/>
    <mergeCell ref="THC855:THG855"/>
    <mergeCell ref="THH855:THL855"/>
    <mergeCell ref="THM855:THQ855"/>
    <mergeCell ref="THR855:THV855"/>
    <mergeCell ref="THW855:TIA855"/>
    <mergeCell ref="TIB855:TIF855"/>
    <mergeCell ref="TIG855:TIK855"/>
    <mergeCell ref="TIL855:TIP855"/>
    <mergeCell ref="TFE855:TFI855"/>
    <mergeCell ref="TFJ855:TFN855"/>
    <mergeCell ref="TFO855:TFS855"/>
    <mergeCell ref="TFT855:TFX855"/>
    <mergeCell ref="TFY855:TGC855"/>
    <mergeCell ref="TGD855:TGH855"/>
    <mergeCell ref="TGI855:TGM855"/>
    <mergeCell ref="TGN855:TGR855"/>
    <mergeCell ref="TGS855:TGW855"/>
    <mergeCell ref="TDL855:TDP855"/>
    <mergeCell ref="TDQ855:TDU855"/>
    <mergeCell ref="TDV855:TDZ855"/>
    <mergeCell ref="TEA855:TEE855"/>
    <mergeCell ref="TEF855:TEJ855"/>
    <mergeCell ref="TEK855:TEO855"/>
    <mergeCell ref="TEP855:TET855"/>
    <mergeCell ref="TEU855:TEY855"/>
    <mergeCell ref="TEZ855:TFD855"/>
    <mergeCell ref="TBS855:TBW855"/>
    <mergeCell ref="TBX855:TCB855"/>
    <mergeCell ref="TCC855:TCG855"/>
    <mergeCell ref="TCH855:TCL855"/>
    <mergeCell ref="TCM855:TCQ855"/>
    <mergeCell ref="TCR855:TCV855"/>
    <mergeCell ref="TCW855:TDA855"/>
    <mergeCell ref="TDB855:TDF855"/>
    <mergeCell ref="TDG855:TDK855"/>
    <mergeCell ref="SZZ855:TAD855"/>
    <mergeCell ref="TAE855:TAI855"/>
    <mergeCell ref="TAJ855:TAN855"/>
    <mergeCell ref="TAO855:TAS855"/>
    <mergeCell ref="TAT855:TAX855"/>
    <mergeCell ref="TAY855:TBC855"/>
    <mergeCell ref="TBD855:TBH855"/>
    <mergeCell ref="TBI855:TBM855"/>
    <mergeCell ref="TBN855:TBR855"/>
    <mergeCell ref="SYG855:SYK855"/>
    <mergeCell ref="SYL855:SYP855"/>
    <mergeCell ref="SYQ855:SYU855"/>
    <mergeCell ref="SYV855:SYZ855"/>
    <mergeCell ref="SZA855:SZE855"/>
    <mergeCell ref="SZF855:SZJ855"/>
    <mergeCell ref="SZK855:SZO855"/>
    <mergeCell ref="SZP855:SZT855"/>
    <mergeCell ref="SZU855:SZY855"/>
    <mergeCell ref="SWN855:SWR855"/>
    <mergeCell ref="SWS855:SWW855"/>
    <mergeCell ref="SWX855:SXB855"/>
    <mergeCell ref="SXC855:SXG855"/>
    <mergeCell ref="SXH855:SXL855"/>
    <mergeCell ref="SXM855:SXQ855"/>
    <mergeCell ref="SXR855:SXV855"/>
    <mergeCell ref="SXW855:SYA855"/>
    <mergeCell ref="SYB855:SYF855"/>
    <mergeCell ref="SUU855:SUY855"/>
    <mergeCell ref="SUZ855:SVD855"/>
    <mergeCell ref="SVE855:SVI855"/>
    <mergeCell ref="SVJ855:SVN855"/>
    <mergeCell ref="SVO855:SVS855"/>
    <mergeCell ref="SVT855:SVX855"/>
    <mergeCell ref="SVY855:SWC855"/>
    <mergeCell ref="SWD855:SWH855"/>
    <mergeCell ref="SWI855:SWM855"/>
    <mergeCell ref="STB855:STF855"/>
    <mergeCell ref="STG855:STK855"/>
    <mergeCell ref="STL855:STP855"/>
    <mergeCell ref="STQ855:STU855"/>
    <mergeCell ref="STV855:STZ855"/>
    <mergeCell ref="SUA855:SUE855"/>
    <mergeCell ref="SUF855:SUJ855"/>
    <mergeCell ref="SUK855:SUO855"/>
    <mergeCell ref="SUP855:SUT855"/>
    <mergeCell ref="SRI855:SRM855"/>
    <mergeCell ref="SRN855:SRR855"/>
    <mergeCell ref="SRS855:SRW855"/>
    <mergeCell ref="SRX855:SSB855"/>
    <mergeCell ref="SSC855:SSG855"/>
    <mergeCell ref="SSH855:SSL855"/>
    <mergeCell ref="SSM855:SSQ855"/>
    <mergeCell ref="SSR855:SSV855"/>
    <mergeCell ref="SSW855:STA855"/>
    <mergeCell ref="SPP855:SPT855"/>
    <mergeCell ref="SPU855:SPY855"/>
    <mergeCell ref="SPZ855:SQD855"/>
    <mergeCell ref="SQE855:SQI855"/>
    <mergeCell ref="SQJ855:SQN855"/>
    <mergeCell ref="SQO855:SQS855"/>
    <mergeCell ref="SQT855:SQX855"/>
    <mergeCell ref="SQY855:SRC855"/>
    <mergeCell ref="SRD855:SRH855"/>
    <mergeCell ref="SNW855:SOA855"/>
    <mergeCell ref="SOB855:SOF855"/>
    <mergeCell ref="SOG855:SOK855"/>
    <mergeCell ref="SOL855:SOP855"/>
    <mergeCell ref="SOQ855:SOU855"/>
    <mergeCell ref="SOV855:SOZ855"/>
    <mergeCell ref="SPA855:SPE855"/>
    <mergeCell ref="SPF855:SPJ855"/>
    <mergeCell ref="SPK855:SPO855"/>
    <mergeCell ref="SMD855:SMH855"/>
    <mergeCell ref="SMI855:SMM855"/>
    <mergeCell ref="SMN855:SMR855"/>
    <mergeCell ref="SMS855:SMW855"/>
    <mergeCell ref="SMX855:SNB855"/>
    <mergeCell ref="SNC855:SNG855"/>
    <mergeCell ref="SNH855:SNL855"/>
    <mergeCell ref="SNM855:SNQ855"/>
    <mergeCell ref="SNR855:SNV855"/>
    <mergeCell ref="SKK855:SKO855"/>
    <mergeCell ref="SKP855:SKT855"/>
    <mergeCell ref="SKU855:SKY855"/>
    <mergeCell ref="SKZ855:SLD855"/>
    <mergeCell ref="SLE855:SLI855"/>
    <mergeCell ref="SLJ855:SLN855"/>
    <mergeCell ref="SLO855:SLS855"/>
    <mergeCell ref="SLT855:SLX855"/>
    <mergeCell ref="SLY855:SMC855"/>
    <mergeCell ref="SIR855:SIV855"/>
    <mergeCell ref="SIW855:SJA855"/>
    <mergeCell ref="SJB855:SJF855"/>
    <mergeCell ref="SJG855:SJK855"/>
    <mergeCell ref="SJL855:SJP855"/>
    <mergeCell ref="SJQ855:SJU855"/>
    <mergeCell ref="SJV855:SJZ855"/>
    <mergeCell ref="SKA855:SKE855"/>
    <mergeCell ref="SKF855:SKJ855"/>
    <mergeCell ref="SGY855:SHC855"/>
    <mergeCell ref="SHD855:SHH855"/>
    <mergeCell ref="SHI855:SHM855"/>
    <mergeCell ref="SHN855:SHR855"/>
    <mergeCell ref="SHS855:SHW855"/>
    <mergeCell ref="SHX855:SIB855"/>
    <mergeCell ref="SIC855:SIG855"/>
    <mergeCell ref="SIH855:SIL855"/>
    <mergeCell ref="SIM855:SIQ855"/>
    <mergeCell ref="SFF855:SFJ855"/>
    <mergeCell ref="SFK855:SFO855"/>
    <mergeCell ref="SFP855:SFT855"/>
    <mergeCell ref="SFU855:SFY855"/>
    <mergeCell ref="SFZ855:SGD855"/>
    <mergeCell ref="SGE855:SGI855"/>
    <mergeCell ref="SGJ855:SGN855"/>
    <mergeCell ref="SGO855:SGS855"/>
    <mergeCell ref="SGT855:SGX855"/>
    <mergeCell ref="SDM855:SDQ855"/>
    <mergeCell ref="SDR855:SDV855"/>
    <mergeCell ref="SDW855:SEA855"/>
    <mergeCell ref="SEB855:SEF855"/>
    <mergeCell ref="SEG855:SEK855"/>
    <mergeCell ref="SEL855:SEP855"/>
    <mergeCell ref="SEQ855:SEU855"/>
    <mergeCell ref="SEV855:SEZ855"/>
    <mergeCell ref="SFA855:SFE855"/>
    <mergeCell ref="SBT855:SBX855"/>
    <mergeCell ref="SBY855:SCC855"/>
    <mergeCell ref="SCD855:SCH855"/>
    <mergeCell ref="SCI855:SCM855"/>
    <mergeCell ref="SCN855:SCR855"/>
    <mergeCell ref="SCS855:SCW855"/>
    <mergeCell ref="SCX855:SDB855"/>
    <mergeCell ref="SDC855:SDG855"/>
    <mergeCell ref="SDH855:SDL855"/>
    <mergeCell ref="SAA855:SAE855"/>
    <mergeCell ref="SAF855:SAJ855"/>
    <mergeCell ref="SAK855:SAO855"/>
    <mergeCell ref="SAP855:SAT855"/>
    <mergeCell ref="SAU855:SAY855"/>
    <mergeCell ref="SAZ855:SBD855"/>
    <mergeCell ref="SBE855:SBI855"/>
    <mergeCell ref="SBJ855:SBN855"/>
    <mergeCell ref="SBO855:SBS855"/>
    <mergeCell ref="RYH855:RYL855"/>
    <mergeCell ref="RYM855:RYQ855"/>
    <mergeCell ref="RYR855:RYV855"/>
    <mergeCell ref="RYW855:RZA855"/>
    <mergeCell ref="RZB855:RZF855"/>
    <mergeCell ref="RZG855:RZK855"/>
    <mergeCell ref="RZL855:RZP855"/>
    <mergeCell ref="RZQ855:RZU855"/>
    <mergeCell ref="RZV855:RZZ855"/>
    <mergeCell ref="RWO855:RWS855"/>
    <mergeCell ref="RWT855:RWX855"/>
    <mergeCell ref="RWY855:RXC855"/>
    <mergeCell ref="RXD855:RXH855"/>
    <mergeCell ref="RXI855:RXM855"/>
    <mergeCell ref="RXN855:RXR855"/>
    <mergeCell ref="RXS855:RXW855"/>
    <mergeCell ref="RXX855:RYB855"/>
    <mergeCell ref="RYC855:RYG855"/>
    <mergeCell ref="RUV855:RUZ855"/>
    <mergeCell ref="RVA855:RVE855"/>
    <mergeCell ref="RVF855:RVJ855"/>
    <mergeCell ref="RVK855:RVO855"/>
    <mergeCell ref="RVP855:RVT855"/>
    <mergeCell ref="RVU855:RVY855"/>
    <mergeCell ref="RVZ855:RWD855"/>
    <mergeCell ref="RWE855:RWI855"/>
    <mergeCell ref="RWJ855:RWN855"/>
    <mergeCell ref="RTC855:RTG855"/>
    <mergeCell ref="RTH855:RTL855"/>
    <mergeCell ref="RTM855:RTQ855"/>
    <mergeCell ref="RTR855:RTV855"/>
    <mergeCell ref="RTW855:RUA855"/>
    <mergeCell ref="RUB855:RUF855"/>
    <mergeCell ref="RUG855:RUK855"/>
    <mergeCell ref="RUL855:RUP855"/>
    <mergeCell ref="RUQ855:RUU855"/>
    <mergeCell ref="RRJ855:RRN855"/>
    <mergeCell ref="RRO855:RRS855"/>
    <mergeCell ref="RRT855:RRX855"/>
    <mergeCell ref="RRY855:RSC855"/>
    <mergeCell ref="RSD855:RSH855"/>
    <mergeCell ref="RSI855:RSM855"/>
    <mergeCell ref="RSN855:RSR855"/>
    <mergeCell ref="RSS855:RSW855"/>
    <mergeCell ref="RSX855:RTB855"/>
    <mergeCell ref="RPQ855:RPU855"/>
    <mergeCell ref="RPV855:RPZ855"/>
    <mergeCell ref="RQA855:RQE855"/>
    <mergeCell ref="RQF855:RQJ855"/>
    <mergeCell ref="RQK855:RQO855"/>
    <mergeCell ref="RQP855:RQT855"/>
    <mergeCell ref="RQU855:RQY855"/>
    <mergeCell ref="RQZ855:RRD855"/>
    <mergeCell ref="RRE855:RRI855"/>
    <mergeCell ref="RNX855:ROB855"/>
    <mergeCell ref="ROC855:ROG855"/>
    <mergeCell ref="ROH855:ROL855"/>
    <mergeCell ref="ROM855:ROQ855"/>
    <mergeCell ref="ROR855:ROV855"/>
    <mergeCell ref="ROW855:RPA855"/>
    <mergeCell ref="RPB855:RPF855"/>
    <mergeCell ref="RPG855:RPK855"/>
    <mergeCell ref="RPL855:RPP855"/>
    <mergeCell ref="RME855:RMI855"/>
    <mergeCell ref="RMJ855:RMN855"/>
    <mergeCell ref="RMO855:RMS855"/>
    <mergeCell ref="RMT855:RMX855"/>
    <mergeCell ref="RMY855:RNC855"/>
    <mergeCell ref="RND855:RNH855"/>
    <mergeCell ref="RNI855:RNM855"/>
    <mergeCell ref="RNN855:RNR855"/>
    <mergeCell ref="RNS855:RNW855"/>
    <mergeCell ref="RKL855:RKP855"/>
    <mergeCell ref="RKQ855:RKU855"/>
    <mergeCell ref="RKV855:RKZ855"/>
    <mergeCell ref="RLA855:RLE855"/>
    <mergeCell ref="RLF855:RLJ855"/>
    <mergeCell ref="RLK855:RLO855"/>
    <mergeCell ref="RLP855:RLT855"/>
    <mergeCell ref="RLU855:RLY855"/>
    <mergeCell ref="RLZ855:RMD855"/>
    <mergeCell ref="RIS855:RIW855"/>
    <mergeCell ref="RIX855:RJB855"/>
    <mergeCell ref="RJC855:RJG855"/>
    <mergeCell ref="RJH855:RJL855"/>
    <mergeCell ref="RJM855:RJQ855"/>
    <mergeCell ref="RJR855:RJV855"/>
    <mergeCell ref="RJW855:RKA855"/>
    <mergeCell ref="RKB855:RKF855"/>
    <mergeCell ref="RKG855:RKK855"/>
    <mergeCell ref="RGZ855:RHD855"/>
    <mergeCell ref="RHE855:RHI855"/>
    <mergeCell ref="RHJ855:RHN855"/>
    <mergeCell ref="RHO855:RHS855"/>
    <mergeCell ref="RHT855:RHX855"/>
    <mergeCell ref="RHY855:RIC855"/>
    <mergeCell ref="RID855:RIH855"/>
    <mergeCell ref="RII855:RIM855"/>
    <mergeCell ref="RIN855:RIR855"/>
    <mergeCell ref="RFG855:RFK855"/>
    <mergeCell ref="RFL855:RFP855"/>
    <mergeCell ref="RFQ855:RFU855"/>
    <mergeCell ref="RFV855:RFZ855"/>
    <mergeCell ref="RGA855:RGE855"/>
    <mergeCell ref="RGF855:RGJ855"/>
    <mergeCell ref="RGK855:RGO855"/>
    <mergeCell ref="RGP855:RGT855"/>
    <mergeCell ref="RGU855:RGY855"/>
    <mergeCell ref="RDN855:RDR855"/>
    <mergeCell ref="RDS855:RDW855"/>
    <mergeCell ref="RDX855:REB855"/>
    <mergeCell ref="REC855:REG855"/>
    <mergeCell ref="REH855:REL855"/>
    <mergeCell ref="REM855:REQ855"/>
    <mergeCell ref="RER855:REV855"/>
    <mergeCell ref="REW855:RFA855"/>
    <mergeCell ref="RFB855:RFF855"/>
    <mergeCell ref="RBU855:RBY855"/>
    <mergeCell ref="RBZ855:RCD855"/>
    <mergeCell ref="RCE855:RCI855"/>
    <mergeCell ref="RCJ855:RCN855"/>
    <mergeCell ref="RCO855:RCS855"/>
    <mergeCell ref="RCT855:RCX855"/>
    <mergeCell ref="RCY855:RDC855"/>
    <mergeCell ref="RDD855:RDH855"/>
    <mergeCell ref="RDI855:RDM855"/>
    <mergeCell ref="RAB855:RAF855"/>
    <mergeCell ref="RAG855:RAK855"/>
    <mergeCell ref="RAL855:RAP855"/>
    <mergeCell ref="RAQ855:RAU855"/>
    <mergeCell ref="RAV855:RAZ855"/>
    <mergeCell ref="RBA855:RBE855"/>
    <mergeCell ref="RBF855:RBJ855"/>
    <mergeCell ref="RBK855:RBO855"/>
    <mergeCell ref="RBP855:RBT855"/>
    <mergeCell ref="QYI855:QYM855"/>
    <mergeCell ref="QYN855:QYR855"/>
    <mergeCell ref="QYS855:QYW855"/>
    <mergeCell ref="QYX855:QZB855"/>
    <mergeCell ref="QZC855:QZG855"/>
    <mergeCell ref="QZH855:QZL855"/>
    <mergeCell ref="QZM855:QZQ855"/>
    <mergeCell ref="QZR855:QZV855"/>
    <mergeCell ref="QZW855:RAA855"/>
    <mergeCell ref="QWP855:QWT855"/>
    <mergeCell ref="QWU855:QWY855"/>
    <mergeCell ref="QWZ855:QXD855"/>
    <mergeCell ref="QXE855:QXI855"/>
    <mergeCell ref="QXJ855:QXN855"/>
    <mergeCell ref="QXO855:QXS855"/>
    <mergeCell ref="QXT855:QXX855"/>
    <mergeCell ref="QXY855:QYC855"/>
    <mergeCell ref="QYD855:QYH855"/>
    <mergeCell ref="QUW855:QVA855"/>
    <mergeCell ref="QVB855:QVF855"/>
    <mergeCell ref="QVG855:QVK855"/>
    <mergeCell ref="QVL855:QVP855"/>
    <mergeCell ref="QVQ855:QVU855"/>
    <mergeCell ref="QVV855:QVZ855"/>
    <mergeCell ref="QWA855:QWE855"/>
    <mergeCell ref="QWF855:QWJ855"/>
    <mergeCell ref="QWK855:QWO855"/>
    <mergeCell ref="QTD855:QTH855"/>
    <mergeCell ref="QTI855:QTM855"/>
    <mergeCell ref="QTN855:QTR855"/>
    <mergeCell ref="QTS855:QTW855"/>
    <mergeCell ref="QTX855:QUB855"/>
    <mergeCell ref="QUC855:QUG855"/>
    <mergeCell ref="QUH855:QUL855"/>
    <mergeCell ref="QUM855:QUQ855"/>
    <mergeCell ref="QUR855:QUV855"/>
    <mergeCell ref="QRK855:QRO855"/>
    <mergeCell ref="QRP855:QRT855"/>
    <mergeCell ref="QRU855:QRY855"/>
    <mergeCell ref="QRZ855:QSD855"/>
    <mergeCell ref="QSE855:QSI855"/>
    <mergeCell ref="QSJ855:QSN855"/>
    <mergeCell ref="QSO855:QSS855"/>
    <mergeCell ref="QST855:QSX855"/>
    <mergeCell ref="QSY855:QTC855"/>
    <mergeCell ref="QPR855:QPV855"/>
    <mergeCell ref="QPW855:QQA855"/>
    <mergeCell ref="QQB855:QQF855"/>
    <mergeCell ref="QQG855:QQK855"/>
    <mergeCell ref="QQL855:QQP855"/>
    <mergeCell ref="QQQ855:QQU855"/>
    <mergeCell ref="QQV855:QQZ855"/>
    <mergeCell ref="QRA855:QRE855"/>
    <mergeCell ref="QRF855:QRJ855"/>
    <mergeCell ref="QNY855:QOC855"/>
    <mergeCell ref="QOD855:QOH855"/>
    <mergeCell ref="QOI855:QOM855"/>
    <mergeCell ref="QON855:QOR855"/>
    <mergeCell ref="QOS855:QOW855"/>
    <mergeCell ref="QOX855:QPB855"/>
    <mergeCell ref="QPC855:QPG855"/>
    <mergeCell ref="QPH855:QPL855"/>
    <mergeCell ref="QPM855:QPQ855"/>
    <mergeCell ref="QMF855:QMJ855"/>
    <mergeCell ref="QMK855:QMO855"/>
    <mergeCell ref="QMP855:QMT855"/>
    <mergeCell ref="QMU855:QMY855"/>
    <mergeCell ref="QMZ855:QND855"/>
    <mergeCell ref="QNE855:QNI855"/>
    <mergeCell ref="QNJ855:QNN855"/>
    <mergeCell ref="QNO855:QNS855"/>
    <mergeCell ref="QNT855:QNX855"/>
    <mergeCell ref="QKM855:QKQ855"/>
    <mergeCell ref="QKR855:QKV855"/>
    <mergeCell ref="QKW855:QLA855"/>
    <mergeCell ref="QLB855:QLF855"/>
    <mergeCell ref="QLG855:QLK855"/>
    <mergeCell ref="QLL855:QLP855"/>
    <mergeCell ref="QLQ855:QLU855"/>
    <mergeCell ref="QLV855:QLZ855"/>
    <mergeCell ref="QMA855:QME855"/>
    <mergeCell ref="QIT855:QIX855"/>
    <mergeCell ref="QIY855:QJC855"/>
    <mergeCell ref="QJD855:QJH855"/>
    <mergeCell ref="QJI855:QJM855"/>
    <mergeCell ref="QJN855:QJR855"/>
    <mergeCell ref="QJS855:QJW855"/>
    <mergeCell ref="QJX855:QKB855"/>
    <mergeCell ref="QKC855:QKG855"/>
    <mergeCell ref="QKH855:QKL855"/>
    <mergeCell ref="QHA855:QHE855"/>
    <mergeCell ref="QHF855:QHJ855"/>
    <mergeCell ref="QHK855:QHO855"/>
    <mergeCell ref="QHP855:QHT855"/>
    <mergeCell ref="QHU855:QHY855"/>
    <mergeCell ref="QHZ855:QID855"/>
    <mergeCell ref="QIE855:QII855"/>
    <mergeCell ref="QIJ855:QIN855"/>
    <mergeCell ref="QIO855:QIS855"/>
    <mergeCell ref="QFH855:QFL855"/>
    <mergeCell ref="QFM855:QFQ855"/>
    <mergeCell ref="QFR855:QFV855"/>
    <mergeCell ref="QFW855:QGA855"/>
    <mergeCell ref="QGB855:QGF855"/>
    <mergeCell ref="QGG855:QGK855"/>
    <mergeCell ref="QGL855:QGP855"/>
    <mergeCell ref="QGQ855:QGU855"/>
    <mergeCell ref="QGV855:QGZ855"/>
    <mergeCell ref="QDO855:QDS855"/>
    <mergeCell ref="QDT855:QDX855"/>
    <mergeCell ref="QDY855:QEC855"/>
    <mergeCell ref="QED855:QEH855"/>
    <mergeCell ref="QEI855:QEM855"/>
    <mergeCell ref="QEN855:QER855"/>
    <mergeCell ref="QES855:QEW855"/>
    <mergeCell ref="QEX855:QFB855"/>
    <mergeCell ref="QFC855:QFG855"/>
    <mergeCell ref="QBV855:QBZ855"/>
    <mergeCell ref="QCA855:QCE855"/>
    <mergeCell ref="QCF855:QCJ855"/>
    <mergeCell ref="QCK855:QCO855"/>
    <mergeCell ref="QCP855:QCT855"/>
    <mergeCell ref="QCU855:QCY855"/>
    <mergeCell ref="QCZ855:QDD855"/>
    <mergeCell ref="QDE855:QDI855"/>
    <mergeCell ref="QDJ855:QDN855"/>
    <mergeCell ref="QAC855:QAG855"/>
    <mergeCell ref="QAH855:QAL855"/>
    <mergeCell ref="QAM855:QAQ855"/>
    <mergeCell ref="QAR855:QAV855"/>
    <mergeCell ref="QAW855:QBA855"/>
    <mergeCell ref="QBB855:QBF855"/>
    <mergeCell ref="QBG855:QBK855"/>
    <mergeCell ref="QBL855:QBP855"/>
    <mergeCell ref="QBQ855:QBU855"/>
    <mergeCell ref="PYJ855:PYN855"/>
    <mergeCell ref="PYO855:PYS855"/>
    <mergeCell ref="PYT855:PYX855"/>
    <mergeCell ref="PYY855:PZC855"/>
    <mergeCell ref="PZD855:PZH855"/>
    <mergeCell ref="PZI855:PZM855"/>
    <mergeCell ref="PZN855:PZR855"/>
    <mergeCell ref="PZS855:PZW855"/>
    <mergeCell ref="PZX855:QAB855"/>
    <mergeCell ref="PWQ855:PWU855"/>
    <mergeCell ref="PWV855:PWZ855"/>
    <mergeCell ref="PXA855:PXE855"/>
    <mergeCell ref="PXF855:PXJ855"/>
    <mergeCell ref="PXK855:PXO855"/>
    <mergeCell ref="PXP855:PXT855"/>
    <mergeCell ref="PXU855:PXY855"/>
    <mergeCell ref="PXZ855:PYD855"/>
    <mergeCell ref="PYE855:PYI855"/>
    <mergeCell ref="PUX855:PVB855"/>
    <mergeCell ref="PVC855:PVG855"/>
    <mergeCell ref="PVH855:PVL855"/>
    <mergeCell ref="PVM855:PVQ855"/>
    <mergeCell ref="PVR855:PVV855"/>
    <mergeCell ref="PVW855:PWA855"/>
    <mergeCell ref="PWB855:PWF855"/>
    <mergeCell ref="PWG855:PWK855"/>
    <mergeCell ref="PWL855:PWP855"/>
    <mergeCell ref="PTE855:PTI855"/>
    <mergeCell ref="PTJ855:PTN855"/>
    <mergeCell ref="PTO855:PTS855"/>
    <mergeCell ref="PTT855:PTX855"/>
    <mergeCell ref="PTY855:PUC855"/>
    <mergeCell ref="PUD855:PUH855"/>
    <mergeCell ref="PUI855:PUM855"/>
    <mergeCell ref="PUN855:PUR855"/>
    <mergeCell ref="PUS855:PUW855"/>
    <mergeCell ref="PRL855:PRP855"/>
    <mergeCell ref="PRQ855:PRU855"/>
    <mergeCell ref="PRV855:PRZ855"/>
    <mergeCell ref="PSA855:PSE855"/>
    <mergeCell ref="PSF855:PSJ855"/>
    <mergeCell ref="PSK855:PSO855"/>
    <mergeCell ref="PSP855:PST855"/>
    <mergeCell ref="PSU855:PSY855"/>
    <mergeCell ref="PSZ855:PTD855"/>
    <mergeCell ref="PPS855:PPW855"/>
    <mergeCell ref="PPX855:PQB855"/>
    <mergeCell ref="PQC855:PQG855"/>
    <mergeCell ref="PQH855:PQL855"/>
    <mergeCell ref="PQM855:PQQ855"/>
    <mergeCell ref="PQR855:PQV855"/>
    <mergeCell ref="PQW855:PRA855"/>
    <mergeCell ref="PRB855:PRF855"/>
    <mergeCell ref="PRG855:PRK855"/>
    <mergeCell ref="PNZ855:POD855"/>
    <mergeCell ref="POE855:POI855"/>
    <mergeCell ref="POJ855:PON855"/>
    <mergeCell ref="POO855:POS855"/>
    <mergeCell ref="POT855:POX855"/>
    <mergeCell ref="POY855:PPC855"/>
    <mergeCell ref="PPD855:PPH855"/>
    <mergeCell ref="PPI855:PPM855"/>
    <mergeCell ref="PPN855:PPR855"/>
    <mergeCell ref="PMG855:PMK855"/>
    <mergeCell ref="PML855:PMP855"/>
    <mergeCell ref="PMQ855:PMU855"/>
    <mergeCell ref="PMV855:PMZ855"/>
    <mergeCell ref="PNA855:PNE855"/>
    <mergeCell ref="PNF855:PNJ855"/>
    <mergeCell ref="PNK855:PNO855"/>
    <mergeCell ref="PNP855:PNT855"/>
    <mergeCell ref="PNU855:PNY855"/>
    <mergeCell ref="PKN855:PKR855"/>
    <mergeCell ref="PKS855:PKW855"/>
    <mergeCell ref="PKX855:PLB855"/>
    <mergeCell ref="PLC855:PLG855"/>
    <mergeCell ref="PLH855:PLL855"/>
    <mergeCell ref="PLM855:PLQ855"/>
    <mergeCell ref="PLR855:PLV855"/>
    <mergeCell ref="PLW855:PMA855"/>
    <mergeCell ref="PMB855:PMF855"/>
    <mergeCell ref="PIU855:PIY855"/>
    <mergeCell ref="PIZ855:PJD855"/>
    <mergeCell ref="PJE855:PJI855"/>
    <mergeCell ref="PJJ855:PJN855"/>
    <mergeCell ref="PJO855:PJS855"/>
    <mergeCell ref="PJT855:PJX855"/>
    <mergeCell ref="PJY855:PKC855"/>
    <mergeCell ref="PKD855:PKH855"/>
    <mergeCell ref="PKI855:PKM855"/>
    <mergeCell ref="PHB855:PHF855"/>
    <mergeCell ref="PHG855:PHK855"/>
    <mergeCell ref="PHL855:PHP855"/>
    <mergeCell ref="PHQ855:PHU855"/>
    <mergeCell ref="PHV855:PHZ855"/>
    <mergeCell ref="PIA855:PIE855"/>
    <mergeCell ref="PIF855:PIJ855"/>
    <mergeCell ref="PIK855:PIO855"/>
    <mergeCell ref="PIP855:PIT855"/>
    <mergeCell ref="PFI855:PFM855"/>
    <mergeCell ref="PFN855:PFR855"/>
    <mergeCell ref="PFS855:PFW855"/>
    <mergeCell ref="PFX855:PGB855"/>
    <mergeCell ref="PGC855:PGG855"/>
    <mergeCell ref="PGH855:PGL855"/>
    <mergeCell ref="PGM855:PGQ855"/>
    <mergeCell ref="PGR855:PGV855"/>
    <mergeCell ref="PGW855:PHA855"/>
    <mergeCell ref="PDP855:PDT855"/>
    <mergeCell ref="PDU855:PDY855"/>
    <mergeCell ref="PDZ855:PED855"/>
    <mergeCell ref="PEE855:PEI855"/>
    <mergeCell ref="PEJ855:PEN855"/>
    <mergeCell ref="PEO855:PES855"/>
    <mergeCell ref="PET855:PEX855"/>
    <mergeCell ref="PEY855:PFC855"/>
    <mergeCell ref="PFD855:PFH855"/>
    <mergeCell ref="PBW855:PCA855"/>
    <mergeCell ref="PCB855:PCF855"/>
    <mergeCell ref="PCG855:PCK855"/>
    <mergeCell ref="PCL855:PCP855"/>
    <mergeCell ref="PCQ855:PCU855"/>
    <mergeCell ref="PCV855:PCZ855"/>
    <mergeCell ref="PDA855:PDE855"/>
    <mergeCell ref="PDF855:PDJ855"/>
    <mergeCell ref="PDK855:PDO855"/>
    <mergeCell ref="PAD855:PAH855"/>
    <mergeCell ref="PAI855:PAM855"/>
    <mergeCell ref="PAN855:PAR855"/>
    <mergeCell ref="PAS855:PAW855"/>
    <mergeCell ref="PAX855:PBB855"/>
    <mergeCell ref="PBC855:PBG855"/>
    <mergeCell ref="PBH855:PBL855"/>
    <mergeCell ref="PBM855:PBQ855"/>
    <mergeCell ref="PBR855:PBV855"/>
    <mergeCell ref="OYK855:OYO855"/>
    <mergeCell ref="OYP855:OYT855"/>
    <mergeCell ref="OYU855:OYY855"/>
    <mergeCell ref="OYZ855:OZD855"/>
    <mergeCell ref="OZE855:OZI855"/>
    <mergeCell ref="OZJ855:OZN855"/>
    <mergeCell ref="OZO855:OZS855"/>
    <mergeCell ref="OZT855:OZX855"/>
    <mergeCell ref="OZY855:PAC855"/>
    <mergeCell ref="OWR855:OWV855"/>
    <mergeCell ref="OWW855:OXA855"/>
    <mergeCell ref="OXB855:OXF855"/>
    <mergeCell ref="OXG855:OXK855"/>
    <mergeCell ref="OXL855:OXP855"/>
    <mergeCell ref="OXQ855:OXU855"/>
    <mergeCell ref="OXV855:OXZ855"/>
    <mergeCell ref="OYA855:OYE855"/>
    <mergeCell ref="OYF855:OYJ855"/>
    <mergeCell ref="OUY855:OVC855"/>
    <mergeCell ref="OVD855:OVH855"/>
    <mergeCell ref="OVI855:OVM855"/>
    <mergeCell ref="OVN855:OVR855"/>
    <mergeCell ref="OVS855:OVW855"/>
    <mergeCell ref="OVX855:OWB855"/>
    <mergeCell ref="OWC855:OWG855"/>
    <mergeCell ref="OWH855:OWL855"/>
    <mergeCell ref="OWM855:OWQ855"/>
    <mergeCell ref="OTF855:OTJ855"/>
    <mergeCell ref="OTK855:OTO855"/>
    <mergeCell ref="OTP855:OTT855"/>
    <mergeCell ref="OTU855:OTY855"/>
    <mergeCell ref="OTZ855:OUD855"/>
    <mergeCell ref="OUE855:OUI855"/>
    <mergeCell ref="OUJ855:OUN855"/>
    <mergeCell ref="OUO855:OUS855"/>
    <mergeCell ref="OUT855:OUX855"/>
    <mergeCell ref="ORM855:ORQ855"/>
    <mergeCell ref="ORR855:ORV855"/>
    <mergeCell ref="ORW855:OSA855"/>
    <mergeCell ref="OSB855:OSF855"/>
    <mergeCell ref="OSG855:OSK855"/>
    <mergeCell ref="OSL855:OSP855"/>
    <mergeCell ref="OSQ855:OSU855"/>
    <mergeCell ref="OSV855:OSZ855"/>
    <mergeCell ref="OTA855:OTE855"/>
    <mergeCell ref="OPT855:OPX855"/>
    <mergeCell ref="OPY855:OQC855"/>
    <mergeCell ref="OQD855:OQH855"/>
    <mergeCell ref="OQI855:OQM855"/>
    <mergeCell ref="OQN855:OQR855"/>
    <mergeCell ref="OQS855:OQW855"/>
    <mergeCell ref="OQX855:ORB855"/>
    <mergeCell ref="ORC855:ORG855"/>
    <mergeCell ref="ORH855:ORL855"/>
    <mergeCell ref="OOA855:OOE855"/>
    <mergeCell ref="OOF855:OOJ855"/>
    <mergeCell ref="OOK855:OOO855"/>
    <mergeCell ref="OOP855:OOT855"/>
    <mergeCell ref="OOU855:OOY855"/>
    <mergeCell ref="OOZ855:OPD855"/>
    <mergeCell ref="OPE855:OPI855"/>
    <mergeCell ref="OPJ855:OPN855"/>
    <mergeCell ref="OPO855:OPS855"/>
    <mergeCell ref="OMH855:OML855"/>
    <mergeCell ref="OMM855:OMQ855"/>
    <mergeCell ref="OMR855:OMV855"/>
    <mergeCell ref="OMW855:ONA855"/>
    <mergeCell ref="ONB855:ONF855"/>
    <mergeCell ref="ONG855:ONK855"/>
    <mergeCell ref="ONL855:ONP855"/>
    <mergeCell ref="ONQ855:ONU855"/>
    <mergeCell ref="ONV855:ONZ855"/>
    <mergeCell ref="OKO855:OKS855"/>
    <mergeCell ref="OKT855:OKX855"/>
    <mergeCell ref="OKY855:OLC855"/>
    <mergeCell ref="OLD855:OLH855"/>
    <mergeCell ref="OLI855:OLM855"/>
    <mergeCell ref="OLN855:OLR855"/>
    <mergeCell ref="OLS855:OLW855"/>
    <mergeCell ref="OLX855:OMB855"/>
    <mergeCell ref="OMC855:OMG855"/>
    <mergeCell ref="OIV855:OIZ855"/>
    <mergeCell ref="OJA855:OJE855"/>
    <mergeCell ref="OJF855:OJJ855"/>
    <mergeCell ref="OJK855:OJO855"/>
    <mergeCell ref="OJP855:OJT855"/>
    <mergeCell ref="OJU855:OJY855"/>
    <mergeCell ref="OJZ855:OKD855"/>
    <mergeCell ref="OKE855:OKI855"/>
    <mergeCell ref="OKJ855:OKN855"/>
    <mergeCell ref="OHC855:OHG855"/>
    <mergeCell ref="OHH855:OHL855"/>
    <mergeCell ref="OHM855:OHQ855"/>
    <mergeCell ref="OHR855:OHV855"/>
    <mergeCell ref="OHW855:OIA855"/>
    <mergeCell ref="OIB855:OIF855"/>
    <mergeCell ref="OIG855:OIK855"/>
    <mergeCell ref="OIL855:OIP855"/>
    <mergeCell ref="OIQ855:OIU855"/>
    <mergeCell ref="OFJ855:OFN855"/>
    <mergeCell ref="OFO855:OFS855"/>
    <mergeCell ref="OFT855:OFX855"/>
    <mergeCell ref="OFY855:OGC855"/>
    <mergeCell ref="OGD855:OGH855"/>
    <mergeCell ref="OGI855:OGM855"/>
    <mergeCell ref="OGN855:OGR855"/>
    <mergeCell ref="OGS855:OGW855"/>
    <mergeCell ref="OGX855:OHB855"/>
    <mergeCell ref="ODQ855:ODU855"/>
    <mergeCell ref="ODV855:ODZ855"/>
    <mergeCell ref="OEA855:OEE855"/>
    <mergeCell ref="OEF855:OEJ855"/>
    <mergeCell ref="OEK855:OEO855"/>
    <mergeCell ref="OEP855:OET855"/>
    <mergeCell ref="OEU855:OEY855"/>
    <mergeCell ref="OEZ855:OFD855"/>
    <mergeCell ref="OFE855:OFI855"/>
    <mergeCell ref="OBX855:OCB855"/>
    <mergeCell ref="OCC855:OCG855"/>
    <mergeCell ref="OCH855:OCL855"/>
    <mergeCell ref="OCM855:OCQ855"/>
    <mergeCell ref="OCR855:OCV855"/>
    <mergeCell ref="OCW855:ODA855"/>
    <mergeCell ref="ODB855:ODF855"/>
    <mergeCell ref="ODG855:ODK855"/>
    <mergeCell ref="ODL855:ODP855"/>
    <mergeCell ref="OAE855:OAI855"/>
    <mergeCell ref="OAJ855:OAN855"/>
    <mergeCell ref="OAO855:OAS855"/>
    <mergeCell ref="OAT855:OAX855"/>
    <mergeCell ref="OAY855:OBC855"/>
    <mergeCell ref="OBD855:OBH855"/>
    <mergeCell ref="OBI855:OBM855"/>
    <mergeCell ref="OBN855:OBR855"/>
    <mergeCell ref="OBS855:OBW855"/>
    <mergeCell ref="NYL855:NYP855"/>
    <mergeCell ref="NYQ855:NYU855"/>
    <mergeCell ref="NYV855:NYZ855"/>
    <mergeCell ref="NZA855:NZE855"/>
    <mergeCell ref="NZF855:NZJ855"/>
    <mergeCell ref="NZK855:NZO855"/>
    <mergeCell ref="NZP855:NZT855"/>
    <mergeCell ref="NZU855:NZY855"/>
    <mergeCell ref="NZZ855:OAD855"/>
    <mergeCell ref="NWS855:NWW855"/>
    <mergeCell ref="NWX855:NXB855"/>
    <mergeCell ref="NXC855:NXG855"/>
    <mergeCell ref="NXH855:NXL855"/>
    <mergeCell ref="NXM855:NXQ855"/>
    <mergeCell ref="NXR855:NXV855"/>
    <mergeCell ref="NXW855:NYA855"/>
    <mergeCell ref="NYB855:NYF855"/>
    <mergeCell ref="NYG855:NYK855"/>
    <mergeCell ref="NUZ855:NVD855"/>
    <mergeCell ref="NVE855:NVI855"/>
    <mergeCell ref="NVJ855:NVN855"/>
    <mergeCell ref="NVO855:NVS855"/>
    <mergeCell ref="NVT855:NVX855"/>
    <mergeCell ref="NVY855:NWC855"/>
    <mergeCell ref="NWD855:NWH855"/>
    <mergeCell ref="NWI855:NWM855"/>
    <mergeCell ref="NWN855:NWR855"/>
    <mergeCell ref="NTG855:NTK855"/>
    <mergeCell ref="NTL855:NTP855"/>
    <mergeCell ref="NTQ855:NTU855"/>
    <mergeCell ref="NTV855:NTZ855"/>
    <mergeCell ref="NUA855:NUE855"/>
    <mergeCell ref="NUF855:NUJ855"/>
    <mergeCell ref="NUK855:NUO855"/>
    <mergeCell ref="NUP855:NUT855"/>
    <mergeCell ref="NUU855:NUY855"/>
    <mergeCell ref="NRN855:NRR855"/>
    <mergeCell ref="NRS855:NRW855"/>
    <mergeCell ref="NRX855:NSB855"/>
    <mergeCell ref="NSC855:NSG855"/>
    <mergeCell ref="NSH855:NSL855"/>
    <mergeCell ref="NSM855:NSQ855"/>
    <mergeCell ref="NSR855:NSV855"/>
    <mergeCell ref="NSW855:NTA855"/>
    <mergeCell ref="NTB855:NTF855"/>
    <mergeCell ref="NPU855:NPY855"/>
    <mergeCell ref="NPZ855:NQD855"/>
    <mergeCell ref="NQE855:NQI855"/>
    <mergeCell ref="NQJ855:NQN855"/>
    <mergeCell ref="NQO855:NQS855"/>
    <mergeCell ref="NQT855:NQX855"/>
    <mergeCell ref="NQY855:NRC855"/>
    <mergeCell ref="NRD855:NRH855"/>
    <mergeCell ref="NRI855:NRM855"/>
    <mergeCell ref="NOB855:NOF855"/>
    <mergeCell ref="NOG855:NOK855"/>
    <mergeCell ref="NOL855:NOP855"/>
    <mergeCell ref="NOQ855:NOU855"/>
    <mergeCell ref="NOV855:NOZ855"/>
    <mergeCell ref="NPA855:NPE855"/>
    <mergeCell ref="NPF855:NPJ855"/>
    <mergeCell ref="NPK855:NPO855"/>
    <mergeCell ref="NPP855:NPT855"/>
    <mergeCell ref="NMI855:NMM855"/>
    <mergeCell ref="NMN855:NMR855"/>
    <mergeCell ref="NMS855:NMW855"/>
    <mergeCell ref="NMX855:NNB855"/>
    <mergeCell ref="NNC855:NNG855"/>
    <mergeCell ref="NNH855:NNL855"/>
    <mergeCell ref="NNM855:NNQ855"/>
    <mergeCell ref="NNR855:NNV855"/>
    <mergeCell ref="NNW855:NOA855"/>
    <mergeCell ref="NKP855:NKT855"/>
    <mergeCell ref="NKU855:NKY855"/>
    <mergeCell ref="NKZ855:NLD855"/>
    <mergeCell ref="NLE855:NLI855"/>
    <mergeCell ref="NLJ855:NLN855"/>
    <mergeCell ref="NLO855:NLS855"/>
    <mergeCell ref="NLT855:NLX855"/>
    <mergeCell ref="NLY855:NMC855"/>
    <mergeCell ref="NMD855:NMH855"/>
    <mergeCell ref="NIW855:NJA855"/>
    <mergeCell ref="NJB855:NJF855"/>
    <mergeCell ref="NJG855:NJK855"/>
    <mergeCell ref="NJL855:NJP855"/>
    <mergeCell ref="NJQ855:NJU855"/>
    <mergeCell ref="NJV855:NJZ855"/>
    <mergeCell ref="NKA855:NKE855"/>
    <mergeCell ref="NKF855:NKJ855"/>
    <mergeCell ref="NKK855:NKO855"/>
    <mergeCell ref="NHD855:NHH855"/>
    <mergeCell ref="NHI855:NHM855"/>
    <mergeCell ref="NHN855:NHR855"/>
    <mergeCell ref="NHS855:NHW855"/>
    <mergeCell ref="NHX855:NIB855"/>
    <mergeCell ref="NIC855:NIG855"/>
    <mergeCell ref="NIH855:NIL855"/>
    <mergeCell ref="NIM855:NIQ855"/>
    <mergeCell ref="NIR855:NIV855"/>
    <mergeCell ref="NFK855:NFO855"/>
    <mergeCell ref="NFP855:NFT855"/>
    <mergeCell ref="NFU855:NFY855"/>
    <mergeCell ref="NFZ855:NGD855"/>
    <mergeCell ref="NGE855:NGI855"/>
    <mergeCell ref="NGJ855:NGN855"/>
    <mergeCell ref="NGO855:NGS855"/>
    <mergeCell ref="NGT855:NGX855"/>
    <mergeCell ref="NGY855:NHC855"/>
    <mergeCell ref="NDR855:NDV855"/>
    <mergeCell ref="NDW855:NEA855"/>
    <mergeCell ref="NEB855:NEF855"/>
    <mergeCell ref="NEG855:NEK855"/>
    <mergeCell ref="NEL855:NEP855"/>
    <mergeCell ref="NEQ855:NEU855"/>
    <mergeCell ref="NEV855:NEZ855"/>
    <mergeCell ref="NFA855:NFE855"/>
    <mergeCell ref="NFF855:NFJ855"/>
    <mergeCell ref="NBY855:NCC855"/>
    <mergeCell ref="NCD855:NCH855"/>
    <mergeCell ref="NCI855:NCM855"/>
    <mergeCell ref="NCN855:NCR855"/>
    <mergeCell ref="NCS855:NCW855"/>
    <mergeCell ref="NCX855:NDB855"/>
    <mergeCell ref="NDC855:NDG855"/>
    <mergeCell ref="NDH855:NDL855"/>
    <mergeCell ref="NDM855:NDQ855"/>
    <mergeCell ref="NAF855:NAJ855"/>
    <mergeCell ref="NAK855:NAO855"/>
    <mergeCell ref="NAP855:NAT855"/>
    <mergeCell ref="NAU855:NAY855"/>
    <mergeCell ref="NAZ855:NBD855"/>
    <mergeCell ref="NBE855:NBI855"/>
    <mergeCell ref="NBJ855:NBN855"/>
    <mergeCell ref="NBO855:NBS855"/>
    <mergeCell ref="NBT855:NBX855"/>
    <mergeCell ref="MYM855:MYQ855"/>
    <mergeCell ref="MYR855:MYV855"/>
    <mergeCell ref="MYW855:MZA855"/>
    <mergeCell ref="MZB855:MZF855"/>
    <mergeCell ref="MZG855:MZK855"/>
    <mergeCell ref="MZL855:MZP855"/>
    <mergeCell ref="MZQ855:MZU855"/>
    <mergeCell ref="MZV855:MZZ855"/>
    <mergeCell ref="NAA855:NAE855"/>
    <mergeCell ref="MWT855:MWX855"/>
    <mergeCell ref="MWY855:MXC855"/>
    <mergeCell ref="MXD855:MXH855"/>
    <mergeCell ref="MXI855:MXM855"/>
    <mergeCell ref="MXN855:MXR855"/>
    <mergeCell ref="MXS855:MXW855"/>
    <mergeCell ref="MXX855:MYB855"/>
    <mergeCell ref="MYC855:MYG855"/>
    <mergeCell ref="MYH855:MYL855"/>
    <mergeCell ref="MVA855:MVE855"/>
    <mergeCell ref="MVF855:MVJ855"/>
    <mergeCell ref="MVK855:MVO855"/>
    <mergeCell ref="MVP855:MVT855"/>
    <mergeCell ref="MVU855:MVY855"/>
    <mergeCell ref="MVZ855:MWD855"/>
    <mergeCell ref="MWE855:MWI855"/>
    <mergeCell ref="MWJ855:MWN855"/>
    <mergeCell ref="MWO855:MWS855"/>
    <mergeCell ref="MTH855:MTL855"/>
    <mergeCell ref="MTM855:MTQ855"/>
    <mergeCell ref="MTR855:MTV855"/>
    <mergeCell ref="MTW855:MUA855"/>
    <mergeCell ref="MUB855:MUF855"/>
    <mergeCell ref="MUG855:MUK855"/>
    <mergeCell ref="MUL855:MUP855"/>
    <mergeCell ref="MUQ855:MUU855"/>
    <mergeCell ref="MUV855:MUZ855"/>
    <mergeCell ref="MRO855:MRS855"/>
    <mergeCell ref="MRT855:MRX855"/>
    <mergeCell ref="MRY855:MSC855"/>
    <mergeCell ref="MSD855:MSH855"/>
    <mergeCell ref="MSI855:MSM855"/>
    <mergeCell ref="MSN855:MSR855"/>
    <mergeCell ref="MSS855:MSW855"/>
    <mergeCell ref="MSX855:MTB855"/>
    <mergeCell ref="MTC855:MTG855"/>
    <mergeCell ref="MPV855:MPZ855"/>
    <mergeCell ref="MQA855:MQE855"/>
    <mergeCell ref="MQF855:MQJ855"/>
    <mergeCell ref="MQK855:MQO855"/>
    <mergeCell ref="MQP855:MQT855"/>
    <mergeCell ref="MQU855:MQY855"/>
    <mergeCell ref="MQZ855:MRD855"/>
    <mergeCell ref="MRE855:MRI855"/>
    <mergeCell ref="MRJ855:MRN855"/>
    <mergeCell ref="MOC855:MOG855"/>
    <mergeCell ref="MOH855:MOL855"/>
    <mergeCell ref="MOM855:MOQ855"/>
    <mergeCell ref="MOR855:MOV855"/>
    <mergeCell ref="MOW855:MPA855"/>
    <mergeCell ref="MPB855:MPF855"/>
    <mergeCell ref="MPG855:MPK855"/>
    <mergeCell ref="MPL855:MPP855"/>
    <mergeCell ref="MPQ855:MPU855"/>
    <mergeCell ref="MMJ855:MMN855"/>
    <mergeCell ref="MMO855:MMS855"/>
    <mergeCell ref="MMT855:MMX855"/>
    <mergeCell ref="MMY855:MNC855"/>
    <mergeCell ref="MND855:MNH855"/>
    <mergeCell ref="MNI855:MNM855"/>
    <mergeCell ref="MNN855:MNR855"/>
    <mergeCell ref="MNS855:MNW855"/>
    <mergeCell ref="MNX855:MOB855"/>
    <mergeCell ref="MKQ855:MKU855"/>
    <mergeCell ref="MKV855:MKZ855"/>
    <mergeCell ref="MLA855:MLE855"/>
    <mergeCell ref="MLF855:MLJ855"/>
    <mergeCell ref="MLK855:MLO855"/>
    <mergeCell ref="MLP855:MLT855"/>
    <mergeCell ref="MLU855:MLY855"/>
    <mergeCell ref="MLZ855:MMD855"/>
    <mergeCell ref="MME855:MMI855"/>
    <mergeCell ref="MIX855:MJB855"/>
    <mergeCell ref="MJC855:MJG855"/>
    <mergeCell ref="MJH855:MJL855"/>
    <mergeCell ref="MJM855:MJQ855"/>
    <mergeCell ref="MJR855:MJV855"/>
    <mergeCell ref="MJW855:MKA855"/>
    <mergeCell ref="MKB855:MKF855"/>
    <mergeCell ref="MKG855:MKK855"/>
    <mergeCell ref="MKL855:MKP855"/>
    <mergeCell ref="MHE855:MHI855"/>
    <mergeCell ref="MHJ855:MHN855"/>
    <mergeCell ref="MHO855:MHS855"/>
    <mergeCell ref="MHT855:MHX855"/>
    <mergeCell ref="MHY855:MIC855"/>
    <mergeCell ref="MID855:MIH855"/>
    <mergeCell ref="MII855:MIM855"/>
    <mergeCell ref="MIN855:MIR855"/>
    <mergeCell ref="MIS855:MIW855"/>
    <mergeCell ref="MFL855:MFP855"/>
    <mergeCell ref="MFQ855:MFU855"/>
    <mergeCell ref="MFV855:MFZ855"/>
    <mergeCell ref="MGA855:MGE855"/>
    <mergeCell ref="MGF855:MGJ855"/>
    <mergeCell ref="MGK855:MGO855"/>
    <mergeCell ref="MGP855:MGT855"/>
    <mergeCell ref="MGU855:MGY855"/>
    <mergeCell ref="MGZ855:MHD855"/>
    <mergeCell ref="MDS855:MDW855"/>
    <mergeCell ref="MDX855:MEB855"/>
    <mergeCell ref="MEC855:MEG855"/>
    <mergeCell ref="MEH855:MEL855"/>
    <mergeCell ref="MEM855:MEQ855"/>
    <mergeCell ref="MER855:MEV855"/>
    <mergeCell ref="MEW855:MFA855"/>
    <mergeCell ref="MFB855:MFF855"/>
    <mergeCell ref="MFG855:MFK855"/>
    <mergeCell ref="MBZ855:MCD855"/>
    <mergeCell ref="MCE855:MCI855"/>
    <mergeCell ref="MCJ855:MCN855"/>
    <mergeCell ref="MCO855:MCS855"/>
    <mergeCell ref="MCT855:MCX855"/>
    <mergeCell ref="MCY855:MDC855"/>
    <mergeCell ref="MDD855:MDH855"/>
    <mergeCell ref="MDI855:MDM855"/>
    <mergeCell ref="MDN855:MDR855"/>
    <mergeCell ref="MAG855:MAK855"/>
    <mergeCell ref="MAL855:MAP855"/>
    <mergeCell ref="MAQ855:MAU855"/>
    <mergeCell ref="MAV855:MAZ855"/>
    <mergeCell ref="MBA855:MBE855"/>
    <mergeCell ref="MBF855:MBJ855"/>
    <mergeCell ref="MBK855:MBO855"/>
    <mergeCell ref="MBP855:MBT855"/>
    <mergeCell ref="MBU855:MBY855"/>
    <mergeCell ref="LYN855:LYR855"/>
    <mergeCell ref="LYS855:LYW855"/>
    <mergeCell ref="LYX855:LZB855"/>
    <mergeCell ref="LZC855:LZG855"/>
    <mergeCell ref="LZH855:LZL855"/>
    <mergeCell ref="LZM855:LZQ855"/>
    <mergeCell ref="LZR855:LZV855"/>
    <mergeCell ref="LZW855:MAA855"/>
    <mergeCell ref="MAB855:MAF855"/>
    <mergeCell ref="LWU855:LWY855"/>
    <mergeCell ref="LWZ855:LXD855"/>
    <mergeCell ref="LXE855:LXI855"/>
    <mergeCell ref="LXJ855:LXN855"/>
    <mergeCell ref="LXO855:LXS855"/>
    <mergeCell ref="LXT855:LXX855"/>
    <mergeCell ref="LXY855:LYC855"/>
    <mergeCell ref="LYD855:LYH855"/>
    <mergeCell ref="LYI855:LYM855"/>
    <mergeCell ref="LVB855:LVF855"/>
    <mergeCell ref="LVG855:LVK855"/>
    <mergeCell ref="LVL855:LVP855"/>
    <mergeCell ref="LVQ855:LVU855"/>
    <mergeCell ref="LVV855:LVZ855"/>
    <mergeCell ref="LWA855:LWE855"/>
    <mergeCell ref="LWF855:LWJ855"/>
    <mergeCell ref="LWK855:LWO855"/>
    <mergeCell ref="LWP855:LWT855"/>
    <mergeCell ref="LTI855:LTM855"/>
    <mergeCell ref="LTN855:LTR855"/>
    <mergeCell ref="LTS855:LTW855"/>
    <mergeCell ref="LTX855:LUB855"/>
    <mergeCell ref="LUC855:LUG855"/>
    <mergeCell ref="LUH855:LUL855"/>
    <mergeCell ref="LUM855:LUQ855"/>
    <mergeCell ref="LUR855:LUV855"/>
    <mergeCell ref="LUW855:LVA855"/>
    <mergeCell ref="LRP855:LRT855"/>
    <mergeCell ref="LRU855:LRY855"/>
    <mergeCell ref="LRZ855:LSD855"/>
    <mergeCell ref="LSE855:LSI855"/>
    <mergeCell ref="LSJ855:LSN855"/>
    <mergeCell ref="LSO855:LSS855"/>
    <mergeCell ref="LST855:LSX855"/>
    <mergeCell ref="LSY855:LTC855"/>
    <mergeCell ref="LTD855:LTH855"/>
    <mergeCell ref="LPW855:LQA855"/>
    <mergeCell ref="LQB855:LQF855"/>
    <mergeCell ref="LQG855:LQK855"/>
    <mergeCell ref="LQL855:LQP855"/>
    <mergeCell ref="LQQ855:LQU855"/>
    <mergeCell ref="LQV855:LQZ855"/>
    <mergeCell ref="LRA855:LRE855"/>
    <mergeCell ref="LRF855:LRJ855"/>
    <mergeCell ref="LRK855:LRO855"/>
    <mergeCell ref="LOD855:LOH855"/>
    <mergeCell ref="LOI855:LOM855"/>
    <mergeCell ref="LON855:LOR855"/>
    <mergeCell ref="LOS855:LOW855"/>
    <mergeCell ref="LOX855:LPB855"/>
    <mergeCell ref="LPC855:LPG855"/>
    <mergeCell ref="LPH855:LPL855"/>
    <mergeCell ref="LPM855:LPQ855"/>
    <mergeCell ref="LPR855:LPV855"/>
    <mergeCell ref="LMK855:LMO855"/>
    <mergeCell ref="LMP855:LMT855"/>
    <mergeCell ref="LMU855:LMY855"/>
    <mergeCell ref="LMZ855:LND855"/>
    <mergeCell ref="LNE855:LNI855"/>
    <mergeCell ref="LNJ855:LNN855"/>
    <mergeCell ref="LNO855:LNS855"/>
    <mergeCell ref="LNT855:LNX855"/>
    <mergeCell ref="LNY855:LOC855"/>
    <mergeCell ref="LKR855:LKV855"/>
    <mergeCell ref="LKW855:LLA855"/>
    <mergeCell ref="LLB855:LLF855"/>
    <mergeCell ref="LLG855:LLK855"/>
    <mergeCell ref="LLL855:LLP855"/>
    <mergeCell ref="LLQ855:LLU855"/>
    <mergeCell ref="LLV855:LLZ855"/>
    <mergeCell ref="LMA855:LME855"/>
    <mergeCell ref="LMF855:LMJ855"/>
    <mergeCell ref="LIY855:LJC855"/>
    <mergeCell ref="LJD855:LJH855"/>
    <mergeCell ref="LJI855:LJM855"/>
    <mergeCell ref="LJN855:LJR855"/>
    <mergeCell ref="LJS855:LJW855"/>
    <mergeCell ref="LJX855:LKB855"/>
    <mergeCell ref="LKC855:LKG855"/>
    <mergeCell ref="LKH855:LKL855"/>
    <mergeCell ref="LKM855:LKQ855"/>
    <mergeCell ref="LHF855:LHJ855"/>
    <mergeCell ref="LHK855:LHO855"/>
    <mergeCell ref="LHP855:LHT855"/>
    <mergeCell ref="LHU855:LHY855"/>
    <mergeCell ref="LHZ855:LID855"/>
    <mergeCell ref="LIE855:LII855"/>
    <mergeCell ref="LIJ855:LIN855"/>
    <mergeCell ref="LIO855:LIS855"/>
    <mergeCell ref="LIT855:LIX855"/>
    <mergeCell ref="LFM855:LFQ855"/>
    <mergeCell ref="LFR855:LFV855"/>
    <mergeCell ref="LFW855:LGA855"/>
    <mergeCell ref="LGB855:LGF855"/>
    <mergeCell ref="LGG855:LGK855"/>
    <mergeCell ref="LGL855:LGP855"/>
    <mergeCell ref="LGQ855:LGU855"/>
    <mergeCell ref="LGV855:LGZ855"/>
    <mergeCell ref="LHA855:LHE855"/>
    <mergeCell ref="LDT855:LDX855"/>
    <mergeCell ref="LDY855:LEC855"/>
    <mergeCell ref="LED855:LEH855"/>
    <mergeCell ref="LEI855:LEM855"/>
    <mergeCell ref="LEN855:LER855"/>
    <mergeCell ref="LES855:LEW855"/>
    <mergeCell ref="LEX855:LFB855"/>
    <mergeCell ref="LFC855:LFG855"/>
    <mergeCell ref="LFH855:LFL855"/>
    <mergeCell ref="LCA855:LCE855"/>
    <mergeCell ref="LCF855:LCJ855"/>
    <mergeCell ref="LCK855:LCO855"/>
    <mergeCell ref="LCP855:LCT855"/>
    <mergeCell ref="LCU855:LCY855"/>
    <mergeCell ref="LCZ855:LDD855"/>
    <mergeCell ref="LDE855:LDI855"/>
    <mergeCell ref="LDJ855:LDN855"/>
    <mergeCell ref="LDO855:LDS855"/>
    <mergeCell ref="LAH855:LAL855"/>
    <mergeCell ref="LAM855:LAQ855"/>
    <mergeCell ref="LAR855:LAV855"/>
    <mergeCell ref="LAW855:LBA855"/>
    <mergeCell ref="LBB855:LBF855"/>
    <mergeCell ref="LBG855:LBK855"/>
    <mergeCell ref="LBL855:LBP855"/>
    <mergeCell ref="LBQ855:LBU855"/>
    <mergeCell ref="LBV855:LBZ855"/>
    <mergeCell ref="KYO855:KYS855"/>
    <mergeCell ref="KYT855:KYX855"/>
    <mergeCell ref="KYY855:KZC855"/>
    <mergeCell ref="KZD855:KZH855"/>
    <mergeCell ref="KZI855:KZM855"/>
    <mergeCell ref="KZN855:KZR855"/>
    <mergeCell ref="KZS855:KZW855"/>
    <mergeCell ref="KZX855:LAB855"/>
    <mergeCell ref="LAC855:LAG855"/>
    <mergeCell ref="KWV855:KWZ855"/>
    <mergeCell ref="KXA855:KXE855"/>
    <mergeCell ref="KXF855:KXJ855"/>
    <mergeCell ref="KXK855:KXO855"/>
    <mergeCell ref="KXP855:KXT855"/>
    <mergeCell ref="KXU855:KXY855"/>
    <mergeCell ref="KXZ855:KYD855"/>
    <mergeCell ref="KYE855:KYI855"/>
    <mergeCell ref="KYJ855:KYN855"/>
    <mergeCell ref="KVC855:KVG855"/>
    <mergeCell ref="KVH855:KVL855"/>
    <mergeCell ref="KVM855:KVQ855"/>
    <mergeCell ref="KVR855:KVV855"/>
    <mergeCell ref="KVW855:KWA855"/>
    <mergeCell ref="KWB855:KWF855"/>
    <mergeCell ref="KWG855:KWK855"/>
    <mergeCell ref="KWL855:KWP855"/>
    <mergeCell ref="KWQ855:KWU855"/>
    <mergeCell ref="KTJ855:KTN855"/>
    <mergeCell ref="KTO855:KTS855"/>
    <mergeCell ref="KTT855:KTX855"/>
    <mergeCell ref="KTY855:KUC855"/>
    <mergeCell ref="KUD855:KUH855"/>
    <mergeCell ref="KUI855:KUM855"/>
    <mergeCell ref="KUN855:KUR855"/>
    <mergeCell ref="KUS855:KUW855"/>
    <mergeCell ref="KUX855:KVB855"/>
    <mergeCell ref="KRQ855:KRU855"/>
    <mergeCell ref="KRV855:KRZ855"/>
    <mergeCell ref="KSA855:KSE855"/>
    <mergeCell ref="KSF855:KSJ855"/>
    <mergeCell ref="KSK855:KSO855"/>
    <mergeCell ref="KSP855:KST855"/>
    <mergeCell ref="KSU855:KSY855"/>
    <mergeCell ref="KSZ855:KTD855"/>
    <mergeCell ref="KTE855:KTI855"/>
    <mergeCell ref="KPX855:KQB855"/>
    <mergeCell ref="KQC855:KQG855"/>
    <mergeCell ref="KQH855:KQL855"/>
    <mergeCell ref="KQM855:KQQ855"/>
    <mergeCell ref="KQR855:KQV855"/>
    <mergeCell ref="KQW855:KRA855"/>
    <mergeCell ref="KRB855:KRF855"/>
    <mergeCell ref="KRG855:KRK855"/>
    <mergeCell ref="KRL855:KRP855"/>
    <mergeCell ref="KOE855:KOI855"/>
    <mergeCell ref="KOJ855:KON855"/>
    <mergeCell ref="KOO855:KOS855"/>
    <mergeCell ref="KOT855:KOX855"/>
    <mergeCell ref="KOY855:KPC855"/>
    <mergeCell ref="KPD855:KPH855"/>
    <mergeCell ref="KPI855:KPM855"/>
    <mergeCell ref="KPN855:KPR855"/>
    <mergeCell ref="KPS855:KPW855"/>
    <mergeCell ref="KML855:KMP855"/>
    <mergeCell ref="KMQ855:KMU855"/>
    <mergeCell ref="KMV855:KMZ855"/>
    <mergeCell ref="KNA855:KNE855"/>
    <mergeCell ref="KNF855:KNJ855"/>
    <mergeCell ref="KNK855:KNO855"/>
    <mergeCell ref="KNP855:KNT855"/>
    <mergeCell ref="KNU855:KNY855"/>
    <mergeCell ref="KNZ855:KOD855"/>
    <mergeCell ref="KKS855:KKW855"/>
    <mergeCell ref="KKX855:KLB855"/>
    <mergeCell ref="KLC855:KLG855"/>
    <mergeCell ref="KLH855:KLL855"/>
    <mergeCell ref="KLM855:KLQ855"/>
    <mergeCell ref="KLR855:KLV855"/>
    <mergeCell ref="KLW855:KMA855"/>
    <mergeCell ref="KMB855:KMF855"/>
    <mergeCell ref="KMG855:KMK855"/>
    <mergeCell ref="KIZ855:KJD855"/>
    <mergeCell ref="KJE855:KJI855"/>
    <mergeCell ref="KJJ855:KJN855"/>
    <mergeCell ref="KJO855:KJS855"/>
    <mergeCell ref="KJT855:KJX855"/>
    <mergeCell ref="KJY855:KKC855"/>
    <mergeCell ref="KKD855:KKH855"/>
    <mergeCell ref="KKI855:KKM855"/>
    <mergeCell ref="KKN855:KKR855"/>
    <mergeCell ref="KHG855:KHK855"/>
    <mergeCell ref="KHL855:KHP855"/>
    <mergeCell ref="KHQ855:KHU855"/>
    <mergeCell ref="KHV855:KHZ855"/>
    <mergeCell ref="KIA855:KIE855"/>
    <mergeCell ref="KIF855:KIJ855"/>
    <mergeCell ref="KIK855:KIO855"/>
    <mergeCell ref="KIP855:KIT855"/>
    <mergeCell ref="KIU855:KIY855"/>
    <mergeCell ref="KFN855:KFR855"/>
    <mergeCell ref="KFS855:KFW855"/>
    <mergeCell ref="KFX855:KGB855"/>
    <mergeCell ref="KGC855:KGG855"/>
    <mergeCell ref="KGH855:KGL855"/>
    <mergeCell ref="KGM855:KGQ855"/>
    <mergeCell ref="KGR855:KGV855"/>
    <mergeCell ref="KGW855:KHA855"/>
    <mergeCell ref="KHB855:KHF855"/>
    <mergeCell ref="KDU855:KDY855"/>
    <mergeCell ref="KDZ855:KED855"/>
    <mergeCell ref="KEE855:KEI855"/>
    <mergeCell ref="KEJ855:KEN855"/>
    <mergeCell ref="KEO855:KES855"/>
    <mergeCell ref="KET855:KEX855"/>
    <mergeCell ref="KEY855:KFC855"/>
    <mergeCell ref="KFD855:KFH855"/>
    <mergeCell ref="KFI855:KFM855"/>
    <mergeCell ref="KCB855:KCF855"/>
    <mergeCell ref="KCG855:KCK855"/>
    <mergeCell ref="KCL855:KCP855"/>
    <mergeCell ref="KCQ855:KCU855"/>
    <mergeCell ref="KCV855:KCZ855"/>
    <mergeCell ref="KDA855:KDE855"/>
    <mergeCell ref="KDF855:KDJ855"/>
    <mergeCell ref="KDK855:KDO855"/>
    <mergeCell ref="KDP855:KDT855"/>
    <mergeCell ref="KAI855:KAM855"/>
    <mergeCell ref="KAN855:KAR855"/>
    <mergeCell ref="KAS855:KAW855"/>
    <mergeCell ref="KAX855:KBB855"/>
    <mergeCell ref="KBC855:KBG855"/>
    <mergeCell ref="KBH855:KBL855"/>
    <mergeCell ref="KBM855:KBQ855"/>
    <mergeCell ref="KBR855:KBV855"/>
    <mergeCell ref="KBW855:KCA855"/>
    <mergeCell ref="JYP855:JYT855"/>
    <mergeCell ref="JYU855:JYY855"/>
    <mergeCell ref="JYZ855:JZD855"/>
    <mergeCell ref="JZE855:JZI855"/>
    <mergeCell ref="JZJ855:JZN855"/>
    <mergeCell ref="JZO855:JZS855"/>
    <mergeCell ref="JZT855:JZX855"/>
    <mergeCell ref="JZY855:KAC855"/>
    <mergeCell ref="KAD855:KAH855"/>
    <mergeCell ref="JWW855:JXA855"/>
    <mergeCell ref="JXB855:JXF855"/>
    <mergeCell ref="JXG855:JXK855"/>
    <mergeCell ref="JXL855:JXP855"/>
    <mergeCell ref="JXQ855:JXU855"/>
    <mergeCell ref="JXV855:JXZ855"/>
    <mergeCell ref="JYA855:JYE855"/>
    <mergeCell ref="JYF855:JYJ855"/>
    <mergeCell ref="JYK855:JYO855"/>
    <mergeCell ref="JVD855:JVH855"/>
    <mergeCell ref="JVI855:JVM855"/>
    <mergeCell ref="JVN855:JVR855"/>
    <mergeCell ref="JVS855:JVW855"/>
    <mergeCell ref="JVX855:JWB855"/>
    <mergeCell ref="JWC855:JWG855"/>
    <mergeCell ref="JWH855:JWL855"/>
    <mergeCell ref="JWM855:JWQ855"/>
    <mergeCell ref="JWR855:JWV855"/>
    <mergeCell ref="JTK855:JTO855"/>
    <mergeCell ref="JTP855:JTT855"/>
    <mergeCell ref="JTU855:JTY855"/>
    <mergeCell ref="JTZ855:JUD855"/>
    <mergeCell ref="JUE855:JUI855"/>
    <mergeCell ref="JUJ855:JUN855"/>
    <mergeCell ref="JUO855:JUS855"/>
    <mergeCell ref="JUT855:JUX855"/>
    <mergeCell ref="JUY855:JVC855"/>
    <mergeCell ref="JRR855:JRV855"/>
    <mergeCell ref="JRW855:JSA855"/>
    <mergeCell ref="JSB855:JSF855"/>
    <mergeCell ref="JSG855:JSK855"/>
    <mergeCell ref="JSL855:JSP855"/>
    <mergeCell ref="JSQ855:JSU855"/>
    <mergeCell ref="JSV855:JSZ855"/>
    <mergeCell ref="JTA855:JTE855"/>
    <mergeCell ref="JTF855:JTJ855"/>
    <mergeCell ref="JPY855:JQC855"/>
    <mergeCell ref="JQD855:JQH855"/>
    <mergeCell ref="JQI855:JQM855"/>
    <mergeCell ref="JQN855:JQR855"/>
    <mergeCell ref="JQS855:JQW855"/>
    <mergeCell ref="JQX855:JRB855"/>
    <mergeCell ref="JRC855:JRG855"/>
    <mergeCell ref="JRH855:JRL855"/>
    <mergeCell ref="JRM855:JRQ855"/>
    <mergeCell ref="JOF855:JOJ855"/>
    <mergeCell ref="JOK855:JOO855"/>
    <mergeCell ref="JOP855:JOT855"/>
    <mergeCell ref="JOU855:JOY855"/>
    <mergeCell ref="JOZ855:JPD855"/>
    <mergeCell ref="JPE855:JPI855"/>
    <mergeCell ref="JPJ855:JPN855"/>
    <mergeCell ref="JPO855:JPS855"/>
    <mergeCell ref="JPT855:JPX855"/>
    <mergeCell ref="JMM855:JMQ855"/>
    <mergeCell ref="JMR855:JMV855"/>
    <mergeCell ref="JMW855:JNA855"/>
    <mergeCell ref="JNB855:JNF855"/>
    <mergeCell ref="JNG855:JNK855"/>
    <mergeCell ref="JNL855:JNP855"/>
    <mergeCell ref="JNQ855:JNU855"/>
    <mergeCell ref="JNV855:JNZ855"/>
    <mergeCell ref="JOA855:JOE855"/>
    <mergeCell ref="JKT855:JKX855"/>
    <mergeCell ref="JKY855:JLC855"/>
    <mergeCell ref="JLD855:JLH855"/>
    <mergeCell ref="JLI855:JLM855"/>
    <mergeCell ref="JLN855:JLR855"/>
    <mergeCell ref="JLS855:JLW855"/>
    <mergeCell ref="JLX855:JMB855"/>
    <mergeCell ref="JMC855:JMG855"/>
    <mergeCell ref="JMH855:JML855"/>
    <mergeCell ref="JJA855:JJE855"/>
    <mergeCell ref="JJF855:JJJ855"/>
    <mergeCell ref="JJK855:JJO855"/>
    <mergeCell ref="JJP855:JJT855"/>
    <mergeCell ref="JJU855:JJY855"/>
    <mergeCell ref="JJZ855:JKD855"/>
    <mergeCell ref="JKE855:JKI855"/>
    <mergeCell ref="JKJ855:JKN855"/>
    <mergeCell ref="JKO855:JKS855"/>
    <mergeCell ref="JHH855:JHL855"/>
    <mergeCell ref="JHM855:JHQ855"/>
    <mergeCell ref="JHR855:JHV855"/>
    <mergeCell ref="JHW855:JIA855"/>
    <mergeCell ref="JIB855:JIF855"/>
    <mergeCell ref="JIG855:JIK855"/>
    <mergeCell ref="JIL855:JIP855"/>
    <mergeCell ref="JIQ855:JIU855"/>
    <mergeCell ref="JIV855:JIZ855"/>
    <mergeCell ref="JFO855:JFS855"/>
    <mergeCell ref="JFT855:JFX855"/>
    <mergeCell ref="JFY855:JGC855"/>
    <mergeCell ref="JGD855:JGH855"/>
    <mergeCell ref="JGI855:JGM855"/>
    <mergeCell ref="JGN855:JGR855"/>
    <mergeCell ref="JGS855:JGW855"/>
    <mergeCell ref="JGX855:JHB855"/>
    <mergeCell ref="JHC855:JHG855"/>
    <mergeCell ref="JDV855:JDZ855"/>
    <mergeCell ref="JEA855:JEE855"/>
    <mergeCell ref="JEF855:JEJ855"/>
    <mergeCell ref="JEK855:JEO855"/>
    <mergeCell ref="JEP855:JET855"/>
    <mergeCell ref="JEU855:JEY855"/>
    <mergeCell ref="JEZ855:JFD855"/>
    <mergeCell ref="JFE855:JFI855"/>
    <mergeCell ref="JFJ855:JFN855"/>
    <mergeCell ref="JCC855:JCG855"/>
    <mergeCell ref="JCH855:JCL855"/>
    <mergeCell ref="JCM855:JCQ855"/>
    <mergeCell ref="JCR855:JCV855"/>
    <mergeCell ref="JCW855:JDA855"/>
    <mergeCell ref="JDB855:JDF855"/>
    <mergeCell ref="JDG855:JDK855"/>
    <mergeCell ref="JDL855:JDP855"/>
    <mergeCell ref="JDQ855:JDU855"/>
    <mergeCell ref="JAJ855:JAN855"/>
    <mergeCell ref="JAO855:JAS855"/>
    <mergeCell ref="JAT855:JAX855"/>
    <mergeCell ref="JAY855:JBC855"/>
    <mergeCell ref="JBD855:JBH855"/>
    <mergeCell ref="JBI855:JBM855"/>
    <mergeCell ref="JBN855:JBR855"/>
    <mergeCell ref="JBS855:JBW855"/>
    <mergeCell ref="JBX855:JCB855"/>
    <mergeCell ref="IYQ855:IYU855"/>
    <mergeCell ref="IYV855:IYZ855"/>
    <mergeCell ref="IZA855:IZE855"/>
    <mergeCell ref="IZF855:IZJ855"/>
    <mergeCell ref="IZK855:IZO855"/>
    <mergeCell ref="IZP855:IZT855"/>
    <mergeCell ref="IZU855:IZY855"/>
    <mergeCell ref="IZZ855:JAD855"/>
    <mergeCell ref="JAE855:JAI855"/>
    <mergeCell ref="IWX855:IXB855"/>
    <mergeCell ref="IXC855:IXG855"/>
    <mergeCell ref="IXH855:IXL855"/>
    <mergeCell ref="IXM855:IXQ855"/>
    <mergeCell ref="IXR855:IXV855"/>
    <mergeCell ref="IXW855:IYA855"/>
    <mergeCell ref="IYB855:IYF855"/>
    <mergeCell ref="IYG855:IYK855"/>
    <mergeCell ref="IYL855:IYP855"/>
    <mergeCell ref="IVE855:IVI855"/>
    <mergeCell ref="IVJ855:IVN855"/>
    <mergeCell ref="IVO855:IVS855"/>
    <mergeCell ref="IVT855:IVX855"/>
    <mergeCell ref="IVY855:IWC855"/>
    <mergeCell ref="IWD855:IWH855"/>
    <mergeCell ref="IWI855:IWM855"/>
    <mergeCell ref="IWN855:IWR855"/>
    <mergeCell ref="IWS855:IWW855"/>
    <mergeCell ref="ITL855:ITP855"/>
    <mergeCell ref="ITQ855:ITU855"/>
    <mergeCell ref="ITV855:ITZ855"/>
    <mergeCell ref="IUA855:IUE855"/>
    <mergeCell ref="IUF855:IUJ855"/>
    <mergeCell ref="IUK855:IUO855"/>
    <mergeCell ref="IUP855:IUT855"/>
    <mergeCell ref="IUU855:IUY855"/>
    <mergeCell ref="IUZ855:IVD855"/>
    <mergeCell ref="IRS855:IRW855"/>
    <mergeCell ref="IRX855:ISB855"/>
    <mergeCell ref="ISC855:ISG855"/>
    <mergeCell ref="ISH855:ISL855"/>
    <mergeCell ref="ISM855:ISQ855"/>
    <mergeCell ref="ISR855:ISV855"/>
    <mergeCell ref="ISW855:ITA855"/>
    <mergeCell ref="ITB855:ITF855"/>
    <mergeCell ref="ITG855:ITK855"/>
    <mergeCell ref="IPZ855:IQD855"/>
    <mergeCell ref="IQE855:IQI855"/>
    <mergeCell ref="IQJ855:IQN855"/>
    <mergeCell ref="IQO855:IQS855"/>
    <mergeCell ref="IQT855:IQX855"/>
    <mergeCell ref="IQY855:IRC855"/>
    <mergeCell ref="IRD855:IRH855"/>
    <mergeCell ref="IRI855:IRM855"/>
    <mergeCell ref="IRN855:IRR855"/>
    <mergeCell ref="IOG855:IOK855"/>
    <mergeCell ref="IOL855:IOP855"/>
    <mergeCell ref="IOQ855:IOU855"/>
    <mergeCell ref="IOV855:IOZ855"/>
    <mergeCell ref="IPA855:IPE855"/>
    <mergeCell ref="IPF855:IPJ855"/>
    <mergeCell ref="IPK855:IPO855"/>
    <mergeCell ref="IPP855:IPT855"/>
    <mergeCell ref="IPU855:IPY855"/>
    <mergeCell ref="IMN855:IMR855"/>
    <mergeCell ref="IMS855:IMW855"/>
    <mergeCell ref="IMX855:INB855"/>
    <mergeCell ref="INC855:ING855"/>
    <mergeCell ref="INH855:INL855"/>
    <mergeCell ref="INM855:INQ855"/>
    <mergeCell ref="INR855:INV855"/>
    <mergeCell ref="INW855:IOA855"/>
    <mergeCell ref="IOB855:IOF855"/>
    <mergeCell ref="IKU855:IKY855"/>
    <mergeCell ref="IKZ855:ILD855"/>
    <mergeCell ref="ILE855:ILI855"/>
    <mergeCell ref="ILJ855:ILN855"/>
    <mergeCell ref="ILO855:ILS855"/>
    <mergeCell ref="ILT855:ILX855"/>
    <mergeCell ref="ILY855:IMC855"/>
    <mergeCell ref="IMD855:IMH855"/>
    <mergeCell ref="IMI855:IMM855"/>
    <mergeCell ref="IJB855:IJF855"/>
    <mergeCell ref="IJG855:IJK855"/>
    <mergeCell ref="IJL855:IJP855"/>
    <mergeCell ref="IJQ855:IJU855"/>
    <mergeCell ref="IJV855:IJZ855"/>
    <mergeCell ref="IKA855:IKE855"/>
    <mergeCell ref="IKF855:IKJ855"/>
    <mergeCell ref="IKK855:IKO855"/>
    <mergeCell ref="IKP855:IKT855"/>
    <mergeCell ref="IHI855:IHM855"/>
    <mergeCell ref="IHN855:IHR855"/>
    <mergeCell ref="IHS855:IHW855"/>
    <mergeCell ref="IHX855:IIB855"/>
    <mergeCell ref="IIC855:IIG855"/>
    <mergeCell ref="IIH855:IIL855"/>
    <mergeCell ref="IIM855:IIQ855"/>
    <mergeCell ref="IIR855:IIV855"/>
    <mergeCell ref="IIW855:IJA855"/>
    <mergeCell ref="IFP855:IFT855"/>
    <mergeCell ref="IFU855:IFY855"/>
    <mergeCell ref="IFZ855:IGD855"/>
    <mergeCell ref="IGE855:IGI855"/>
    <mergeCell ref="IGJ855:IGN855"/>
    <mergeCell ref="IGO855:IGS855"/>
    <mergeCell ref="IGT855:IGX855"/>
    <mergeCell ref="IGY855:IHC855"/>
    <mergeCell ref="IHD855:IHH855"/>
    <mergeCell ref="IDW855:IEA855"/>
    <mergeCell ref="IEB855:IEF855"/>
    <mergeCell ref="IEG855:IEK855"/>
    <mergeCell ref="IEL855:IEP855"/>
    <mergeCell ref="IEQ855:IEU855"/>
    <mergeCell ref="IEV855:IEZ855"/>
    <mergeCell ref="IFA855:IFE855"/>
    <mergeCell ref="IFF855:IFJ855"/>
    <mergeCell ref="IFK855:IFO855"/>
    <mergeCell ref="ICD855:ICH855"/>
    <mergeCell ref="ICI855:ICM855"/>
    <mergeCell ref="ICN855:ICR855"/>
    <mergeCell ref="ICS855:ICW855"/>
    <mergeCell ref="ICX855:IDB855"/>
    <mergeCell ref="IDC855:IDG855"/>
    <mergeCell ref="IDH855:IDL855"/>
    <mergeCell ref="IDM855:IDQ855"/>
    <mergeCell ref="IDR855:IDV855"/>
    <mergeCell ref="IAK855:IAO855"/>
    <mergeCell ref="IAP855:IAT855"/>
    <mergeCell ref="IAU855:IAY855"/>
    <mergeCell ref="IAZ855:IBD855"/>
    <mergeCell ref="IBE855:IBI855"/>
    <mergeCell ref="IBJ855:IBN855"/>
    <mergeCell ref="IBO855:IBS855"/>
    <mergeCell ref="IBT855:IBX855"/>
    <mergeCell ref="IBY855:ICC855"/>
    <mergeCell ref="HYR855:HYV855"/>
    <mergeCell ref="HYW855:HZA855"/>
    <mergeCell ref="HZB855:HZF855"/>
    <mergeCell ref="HZG855:HZK855"/>
    <mergeCell ref="HZL855:HZP855"/>
    <mergeCell ref="HZQ855:HZU855"/>
    <mergeCell ref="HZV855:HZZ855"/>
    <mergeCell ref="IAA855:IAE855"/>
    <mergeCell ref="IAF855:IAJ855"/>
    <mergeCell ref="HWY855:HXC855"/>
    <mergeCell ref="HXD855:HXH855"/>
    <mergeCell ref="HXI855:HXM855"/>
    <mergeCell ref="HXN855:HXR855"/>
    <mergeCell ref="HXS855:HXW855"/>
    <mergeCell ref="HXX855:HYB855"/>
    <mergeCell ref="HYC855:HYG855"/>
    <mergeCell ref="HYH855:HYL855"/>
    <mergeCell ref="HYM855:HYQ855"/>
    <mergeCell ref="HVF855:HVJ855"/>
    <mergeCell ref="HVK855:HVO855"/>
    <mergeCell ref="HVP855:HVT855"/>
    <mergeCell ref="HVU855:HVY855"/>
    <mergeCell ref="HVZ855:HWD855"/>
    <mergeCell ref="HWE855:HWI855"/>
    <mergeCell ref="HWJ855:HWN855"/>
    <mergeCell ref="HWO855:HWS855"/>
    <mergeCell ref="HWT855:HWX855"/>
    <mergeCell ref="HTM855:HTQ855"/>
    <mergeCell ref="HTR855:HTV855"/>
    <mergeCell ref="HTW855:HUA855"/>
    <mergeCell ref="HUB855:HUF855"/>
    <mergeCell ref="HUG855:HUK855"/>
    <mergeCell ref="HUL855:HUP855"/>
    <mergeCell ref="HUQ855:HUU855"/>
    <mergeCell ref="HUV855:HUZ855"/>
    <mergeCell ref="HVA855:HVE855"/>
    <mergeCell ref="HRT855:HRX855"/>
    <mergeCell ref="HRY855:HSC855"/>
    <mergeCell ref="HSD855:HSH855"/>
    <mergeCell ref="HSI855:HSM855"/>
    <mergeCell ref="HSN855:HSR855"/>
    <mergeCell ref="HSS855:HSW855"/>
    <mergeCell ref="HSX855:HTB855"/>
    <mergeCell ref="HTC855:HTG855"/>
    <mergeCell ref="HTH855:HTL855"/>
    <mergeCell ref="HQA855:HQE855"/>
    <mergeCell ref="HQF855:HQJ855"/>
    <mergeCell ref="HQK855:HQO855"/>
    <mergeCell ref="HQP855:HQT855"/>
    <mergeCell ref="HQU855:HQY855"/>
    <mergeCell ref="HQZ855:HRD855"/>
    <mergeCell ref="HRE855:HRI855"/>
    <mergeCell ref="HRJ855:HRN855"/>
    <mergeCell ref="HRO855:HRS855"/>
    <mergeCell ref="HOH855:HOL855"/>
    <mergeCell ref="HOM855:HOQ855"/>
    <mergeCell ref="HOR855:HOV855"/>
    <mergeCell ref="HOW855:HPA855"/>
    <mergeCell ref="HPB855:HPF855"/>
    <mergeCell ref="HPG855:HPK855"/>
    <mergeCell ref="HPL855:HPP855"/>
    <mergeCell ref="HPQ855:HPU855"/>
    <mergeCell ref="HPV855:HPZ855"/>
    <mergeCell ref="HMO855:HMS855"/>
    <mergeCell ref="HMT855:HMX855"/>
    <mergeCell ref="HMY855:HNC855"/>
    <mergeCell ref="HND855:HNH855"/>
    <mergeCell ref="HNI855:HNM855"/>
    <mergeCell ref="HNN855:HNR855"/>
    <mergeCell ref="HNS855:HNW855"/>
    <mergeCell ref="HNX855:HOB855"/>
    <mergeCell ref="HOC855:HOG855"/>
    <mergeCell ref="HKV855:HKZ855"/>
    <mergeCell ref="HLA855:HLE855"/>
    <mergeCell ref="HLF855:HLJ855"/>
    <mergeCell ref="HLK855:HLO855"/>
    <mergeCell ref="HLP855:HLT855"/>
    <mergeCell ref="HLU855:HLY855"/>
    <mergeCell ref="HLZ855:HMD855"/>
    <mergeCell ref="HME855:HMI855"/>
    <mergeCell ref="HMJ855:HMN855"/>
    <mergeCell ref="HJC855:HJG855"/>
    <mergeCell ref="HJH855:HJL855"/>
    <mergeCell ref="HJM855:HJQ855"/>
    <mergeCell ref="HJR855:HJV855"/>
    <mergeCell ref="HJW855:HKA855"/>
    <mergeCell ref="HKB855:HKF855"/>
    <mergeCell ref="HKG855:HKK855"/>
    <mergeCell ref="HKL855:HKP855"/>
    <mergeCell ref="HKQ855:HKU855"/>
    <mergeCell ref="HHJ855:HHN855"/>
    <mergeCell ref="HHO855:HHS855"/>
    <mergeCell ref="HHT855:HHX855"/>
    <mergeCell ref="HHY855:HIC855"/>
    <mergeCell ref="HID855:HIH855"/>
    <mergeCell ref="HII855:HIM855"/>
    <mergeCell ref="HIN855:HIR855"/>
    <mergeCell ref="HIS855:HIW855"/>
    <mergeCell ref="HIX855:HJB855"/>
    <mergeCell ref="HFQ855:HFU855"/>
    <mergeCell ref="HFV855:HFZ855"/>
    <mergeCell ref="HGA855:HGE855"/>
    <mergeCell ref="HGF855:HGJ855"/>
    <mergeCell ref="HGK855:HGO855"/>
    <mergeCell ref="HGP855:HGT855"/>
    <mergeCell ref="HGU855:HGY855"/>
    <mergeCell ref="HGZ855:HHD855"/>
    <mergeCell ref="HHE855:HHI855"/>
    <mergeCell ref="HDX855:HEB855"/>
    <mergeCell ref="HEC855:HEG855"/>
    <mergeCell ref="HEH855:HEL855"/>
    <mergeCell ref="HEM855:HEQ855"/>
    <mergeCell ref="HER855:HEV855"/>
    <mergeCell ref="HEW855:HFA855"/>
    <mergeCell ref="HFB855:HFF855"/>
    <mergeCell ref="HFG855:HFK855"/>
    <mergeCell ref="HFL855:HFP855"/>
    <mergeCell ref="HCE855:HCI855"/>
    <mergeCell ref="HCJ855:HCN855"/>
    <mergeCell ref="HCO855:HCS855"/>
    <mergeCell ref="HCT855:HCX855"/>
    <mergeCell ref="HCY855:HDC855"/>
    <mergeCell ref="HDD855:HDH855"/>
    <mergeCell ref="HDI855:HDM855"/>
    <mergeCell ref="HDN855:HDR855"/>
    <mergeCell ref="HDS855:HDW855"/>
    <mergeCell ref="HAL855:HAP855"/>
    <mergeCell ref="HAQ855:HAU855"/>
    <mergeCell ref="HAV855:HAZ855"/>
    <mergeCell ref="HBA855:HBE855"/>
    <mergeCell ref="HBF855:HBJ855"/>
    <mergeCell ref="HBK855:HBO855"/>
    <mergeCell ref="HBP855:HBT855"/>
    <mergeCell ref="HBU855:HBY855"/>
    <mergeCell ref="HBZ855:HCD855"/>
    <mergeCell ref="GYS855:GYW855"/>
    <mergeCell ref="GYX855:GZB855"/>
    <mergeCell ref="GZC855:GZG855"/>
    <mergeCell ref="GZH855:GZL855"/>
    <mergeCell ref="GZM855:GZQ855"/>
    <mergeCell ref="GZR855:GZV855"/>
    <mergeCell ref="GZW855:HAA855"/>
    <mergeCell ref="HAB855:HAF855"/>
    <mergeCell ref="HAG855:HAK855"/>
    <mergeCell ref="GWZ855:GXD855"/>
    <mergeCell ref="GXE855:GXI855"/>
    <mergeCell ref="GXJ855:GXN855"/>
    <mergeCell ref="GXO855:GXS855"/>
    <mergeCell ref="GXT855:GXX855"/>
    <mergeCell ref="GXY855:GYC855"/>
    <mergeCell ref="GYD855:GYH855"/>
    <mergeCell ref="GYI855:GYM855"/>
    <mergeCell ref="GYN855:GYR855"/>
    <mergeCell ref="GVG855:GVK855"/>
    <mergeCell ref="GVL855:GVP855"/>
    <mergeCell ref="GVQ855:GVU855"/>
    <mergeCell ref="GVV855:GVZ855"/>
    <mergeCell ref="GWA855:GWE855"/>
    <mergeCell ref="GWF855:GWJ855"/>
    <mergeCell ref="GWK855:GWO855"/>
    <mergeCell ref="GWP855:GWT855"/>
    <mergeCell ref="GWU855:GWY855"/>
    <mergeCell ref="GTN855:GTR855"/>
    <mergeCell ref="GTS855:GTW855"/>
    <mergeCell ref="GTX855:GUB855"/>
    <mergeCell ref="GUC855:GUG855"/>
    <mergeCell ref="GUH855:GUL855"/>
    <mergeCell ref="GUM855:GUQ855"/>
    <mergeCell ref="GUR855:GUV855"/>
    <mergeCell ref="GUW855:GVA855"/>
    <mergeCell ref="GVB855:GVF855"/>
    <mergeCell ref="GRU855:GRY855"/>
    <mergeCell ref="GRZ855:GSD855"/>
    <mergeCell ref="GSE855:GSI855"/>
    <mergeCell ref="GSJ855:GSN855"/>
    <mergeCell ref="GSO855:GSS855"/>
    <mergeCell ref="GST855:GSX855"/>
    <mergeCell ref="GSY855:GTC855"/>
    <mergeCell ref="GTD855:GTH855"/>
    <mergeCell ref="GTI855:GTM855"/>
    <mergeCell ref="GQB855:GQF855"/>
    <mergeCell ref="GQG855:GQK855"/>
    <mergeCell ref="GQL855:GQP855"/>
    <mergeCell ref="GQQ855:GQU855"/>
    <mergeCell ref="GQV855:GQZ855"/>
    <mergeCell ref="GRA855:GRE855"/>
    <mergeCell ref="GRF855:GRJ855"/>
    <mergeCell ref="GRK855:GRO855"/>
    <mergeCell ref="GRP855:GRT855"/>
    <mergeCell ref="GOI855:GOM855"/>
    <mergeCell ref="GON855:GOR855"/>
    <mergeCell ref="GOS855:GOW855"/>
    <mergeCell ref="GOX855:GPB855"/>
    <mergeCell ref="GPC855:GPG855"/>
    <mergeCell ref="GPH855:GPL855"/>
    <mergeCell ref="GPM855:GPQ855"/>
    <mergeCell ref="GPR855:GPV855"/>
    <mergeCell ref="GPW855:GQA855"/>
    <mergeCell ref="GMP855:GMT855"/>
    <mergeCell ref="GMU855:GMY855"/>
    <mergeCell ref="GMZ855:GND855"/>
    <mergeCell ref="GNE855:GNI855"/>
    <mergeCell ref="GNJ855:GNN855"/>
    <mergeCell ref="GNO855:GNS855"/>
    <mergeCell ref="GNT855:GNX855"/>
    <mergeCell ref="GNY855:GOC855"/>
    <mergeCell ref="GOD855:GOH855"/>
    <mergeCell ref="GKW855:GLA855"/>
    <mergeCell ref="GLB855:GLF855"/>
    <mergeCell ref="GLG855:GLK855"/>
    <mergeCell ref="GLL855:GLP855"/>
    <mergeCell ref="GLQ855:GLU855"/>
    <mergeCell ref="GLV855:GLZ855"/>
    <mergeCell ref="GMA855:GME855"/>
    <mergeCell ref="GMF855:GMJ855"/>
    <mergeCell ref="GMK855:GMO855"/>
    <mergeCell ref="GJD855:GJH855"/>
    <mergeCell ref="GJI855:GJM855"/>
    <mergeCell ref="GJN855:GJR855"/>
    <mergeCell ref="GJS855:GJW855"/>
    <mergeCell ref="GJX855:GKB855"/>
    <mergeCell ref="GKC855:GKG855"/>
    <mergeCell ref="GKH855:GKL855"/>
    <mergeCell ref="GKM855:GKQ855"/>
    <mergeCell ref="GKR855:GKV855"/>
    <mergeCell ref="GHK855:GHO855"/>
    <mergeCell ref="GHP855:GHT855"/>
    <mergeCell ref="GHU855:GHY855"/>
    <mergeCell ref="GHZ855:GID855"/>
    <mergeCell ref="GIE855:GII855"/>
    <mergeCell ref="GIJ855:GIN855"/>
    <mergeCell ref="GIO855:GIS855"/>
    <mergeCell ref="GIT855:GIX855"/>
    <mergeCell ref="GIY855:GJC855"/>
    <mergeCell ref="GFR855:GFV855"/>
    <mergeCell ref="GFW855:GGA855"/>
    <mergeCell ref="GGB855:GGF855"/>
    <mergeCell ref="GGG855:GGK855"/>
    <mergeCell ref="GGL855:GGP855"/>
    <mergeCell ref="GGQ855:GGU855"/>
    <mergeCell ref="GGV855:GGZ855"/>
    <mergeCell ref="GHA855:GHE855"/>
    <mergeCell ref="GHF855:GHJ855"/>
    <mergeCell ref="GDY855:GEC855"/>
    <mergeCell ref="GED855:GEH855"/>
    <mergeCell ref="GEI855:GEM855"/>
    <mergeCell ref="GEN855:GER855"/>
    <mergeCell ref="GES855:GEW855"/>
    <mergeCell ref="GEX855:GFB855"/>
    <mergeCell ref="GFC855:GFG855"/>
    <mergeCell ref="GFH855:GFL855"/>
    <mergeCell ref="GFM855:GFQ855"/>
    <mergeCell ref="GCF855:GCJ855"/>
    <mergeCell ref="GCK855:GCO855"/>
    <mergeCell ref="GCP855:GCT855"/>
    <mergeCell ref="GCU855:GCY855"/>
    <mergeCell ref="GCZ855:GDD855"/>
    <mergeCell ref="GDE855:GDI855"/>
    <mergeCell ref="GDJ855:GDN855"/>
    <mergeCell ref="GDO855:GDS855"/>
    <mergeCell ref="GDT855:GDX855"/>
    <mergeCell ref="GAM855:GAQ855"/>
    <mergeCell ref="GAR855:GAV855"/>
    <mergeCell ref="GAW855:GBA855"/>
    <mergeCell ref="GBB855:GBF855"/>
    <mergeCell ref="GBG855:GBK855"/>
    <mergeCell ref="GBL855:GBP855"/>
    <mergeCell ref="GBQ855:GBU855"/>
    <mergeCell ref="GBV855:GBZ855"/>
    <mergeCell ref="GCA855:GCE855"/>
    <mergeCell ref="FYT855:FYX855"/>
    <mergeCell ref="FYY855:FZC855"/>
    <mergeCell ref="FZD855:FZH855"/>
    <mergeCell ref="FZI855:FZM855"/>
    <mergeCell ref="FZN855:FZR855"/>
    <mergeCell ref="FZS855:FZW855"/>
    <mergeCell ref="FZX855:GAB855"/>
    <mergeCell ref="GAC855:GAG855"/>
    <mergeCell ref="GAH855:GAL855"/>
    <mergeCell ref="FXA855:FXE855"/>
    <mergeCell ref="FXF855:FXJ855"/>
    <mergeCell ref="FXK855:FXO855"/>
    <mergeCell ref="FXP855:FXT855"/>
    <mergeCell ref="FXU855:FXY855"/>
    <mergeCell ref="FXZ855:FYD855"/>
    <mergeCell ref="FYE855:FYI855"/>
    <mergeCell ref="FYJ855:FYN855"/>
    <mergeCell ref="FYO855:FYS855"/>
    <mergeCell ref="FVH855:FVL855"/>
    <mergeCell ref="FVM855:FVQ855"/>
    <mergeCell ref="FVR855:FVV855"/>
    <mergeCell ref="FVW855:FWA855"/>
    <mergeCell ref="FWB855:FWF855"/>
    <mergeCell ref="FWG855:FWK855"/>
    <mergeCell ref="FWL855:FWP855"/>
    <mergeCell ref="FWQ855:FWU855"/>
    <mergeCell ref="FWV855:FWZ855"/>
    <mergeCell ref="FTO855:FTS855"/>
    <mergeCell ref="FTT855:FTX855"/>
    <mergeCell ref="FTY855:FUC855"/>
    <mergeCell ref="FUD855:FUH855"/>
    <mergeCell ref="FUI855:FUM855"/>
    <mergeCell ref="FUN855:FUR855"/>
    <mergeCell ref="FUS855:FUW855"/>
    <mergeCell ref="FUX855:FVB855"/>
    <mergeCell ref="FVC855:FVG855"/>
    <mergeCell ref="FRV855:FRZ855"/>
    <mergeCell ref="FSA855:FSE855"/>
    <mergeCell ref="FSF855:FSJ855"/>
    <mergeCell ref="FSK855:FSO855"/>
    <mergeCell ref="FSP855:FST855"/>
    <mergeCell ref="FSU855:FSY855"/>
    <mergeCell ref="FSZ855:FTD855"/>
    <mergeCell ref="FTE855:FTI855"/>
    <mergeCell ref="FTJ855:FTN855"/>
    <mergeCell ref="FQC855:FQG855"/>
    <mergeCell ref="FQH855:FQL855"/>
    <mergeCell ref="FQM855:FQQ855"/>
    <mergeCell ref="FQR855:FQV855"/>
    <mergeCell ref="FQW855:FRA855"/>
    <mergeCell ref="FRB855:FRF855"/>
    <mergeCell ref="FRG855:FRK855"/>
    <mergeCell ref="FRL855:FRP855"/>
    <mergeCell ref="FRQ855:FRU855"/>
    <mergeCell ref="FOJ855:FON855"/>
    <mergeCell ref="FOO855:FOS855"/>
    <mergeCell ref="FOT855:FOX855"/>
    <mergeCell ref="FOY855:FPC855"/>
    <mergeCell ref="FPD855:FPH855"/>
    <mergeCell ref="FPI855:FPM855"/>
    <mergeCell ref="FPN855:FPR855"/>
    <mergeCell ref="FPS855:FPW855"/>
    <mergeCell ref="FPX855:FQB855"/>
    <mergeCell ref="FMQ855:FMU855"/>
    <mergeCell ref="FMV855:FMZ855"/>
    <mergeCell ref="FNA855:FNE855"/>
    <mergeCell ref="FNF855:FNJ855"/>
    <mergeCell ref="FNK855:FNO855"/>
    <mergeCell ref="FNP855:FNT855"/>
    <mergeCell ref="FNU855:FNY855"/>
    <mergeCell ref="FNZ855:FOD855"/>
    <mergeCell ref="FOE855:FOI855"/>
    <mergeCell ref="FKX855:FLB855"/>
    <mergeCell ref="FLC855:FLG855"/>
    <mergeCell ref="FLH855:FLL855"/>
    <mergeCell ref="FLM855:FLQ855"/>
    <mergeCell ref="FLR855:FLV855"/>
    <mergeCell ref="FLW855:FMA855"/>
    <mergeCell ref="FMB855:FMF855"/>
    <mergeCell ref="FMG855:FMK855"/>
    <mergeCell ref="FML855:FMP855"/>
    <mergeCell ref="FJE855:FJI855"/>
    <mergeCell ref="FJJ855:FJN855"/>
    <mergeCell ref="FJO855:FJS855"/>
    <mergeCell ref="FJT855:FJX855"/>
    <mergeCell ref="FJY855:FKC855"/>
    <mergeCell ref="FKD855:FKH855"/>
    <mergeCell ref="FKI855:FKM855"/>
    <mergeCell ref="FKN855:FKR855"/>
    <mergeCell ref="FKS855:FKW855"/>
    <mergeCell ref="FHL855:FHP855"/>
    <mergeCell ref="FHQ855:FHU855"/>
    <mergeCell ref="FHV855:FHZ855"/>
    <mergeCell ref="FIA855:FIE855"/>
    <mergeCell ref="FIF855:FIJ855"/>
    <mergeCell ref="FIK855:FIO855"/>
    <mergeCell ref="FIP855:FIT855"/>
    <mergeCell ref="FIU855:FIY855"/>
    <mergeCell ref="FIZ855:FJD855"/>
    <mergeCell ref="FFS855:FFW855"/>
    <mergeCell ref="FFX855:FGB855"/>
    <mergeCell ref="FGC855:FGG855"/>
    <mergeCell ref="FGH855:FGL855"/>
    <mergeCell ref="FGM855:FGQ855"/>
    <mergeCell ref="FGR855:FGV855"/>
    <mergeCell ref="FGW855:FHA855"/>
    <mergeCell ref="FHB855:FHF855"/>
    <mergeCell ref="FHG855:FHK855"/>
    <mergeCell ref="FDZ855:FED855"/>
    <mergeCell ref="FEE855:FEI855"/>
    <mergeCell ref="FEJ855:FEN855"/>
    <mergeCell ref="FEO855:FES855"/>
    <mergeCell ref="FET855:FEX855"/>
    <mergeCell ref="FEY855:FFC855"/>
    <mergeCell ref="FFD855:FFH855"/>
    <mergeCell ref="FFI855:FFM855"/>
    <mergeCell ref="FFN855:FFR855"/>
    <mergeCell ref="FCG855:FCK855"/>
    <mergeCell ref="FCL855:FCP855"/>
    <mergeCell ref="FCQ855:FCU855"/>
    <mergeCell ref="FCV855:FCZ855"/>
    <mergeCell ref="FDA855:FDE855"/>
    <mergeCell ref="FDF855:FDJ855"/>
    <mergeCell ref="FDK855:FDO855"/>
    <mergeCell ref="FDP855:FDT855"/>
    <mergeCell ref="FDU855:FDY855"/>
    <mergeCell ref="FAN855:FAR855"/>
    <mergeCell ref="FAS855:FAW855"/>
    <mergeCell ref="FAX855:FBB855"/>
    <mergeCell ref="FBC855:FBG855"/>
    <mergeCell ref="FBH855:FBL855"/>
    <mergeCell ref="FBM855:FBQ855"/>
    <mergeCell ref="FBR855:FBV855"/>
    <mergeCell ref="FBW855:FCA855"/>
    <mergeCell ref="FCB855:FCF855"/>
    <mergeCell ref="EYU855:EYY855"/>
    <mergeCell ref="EYZ855:EZD855"/>
    <mergeCell ref="EZE855:EZI855"/>
    <mergeCell ref="EZJ855:EZN855"/>
    <mergeCell ref="EZO855:EZS855"/>
    <mergeCell ref="EZT855:EZX855"/>
    <mergeCell ref="EZY855:FAC855"/>
    <mergeCell ref="FAD855:FAH855"/>
    <mergeCell ref="FAI855:FAM855"/>
    <mergeCell ref="EXB855:EXF855"/>
    <mergeCell ref="EXG855:EXK855"/>
    <mergeCell ref="EXL855:EXP855"/>
    <mergeCell ref="EXQ855:EXU855"/>
    <mergeCell ref="EXV855:EXZ855"/>
    <mergeCell ref="EYA855:EYE855"/>
    <mergeCell ref="EYF855:EYJ855"/>
    <mergeCell ref="EYK855:EYO855"/>
    <mergeCell ref="EYP855:EYT855"/>
    <mergeCell ref="EVI855:EVM855"/>
    <mergeCell ref="EVN855:EVR855"/>
    <mergeCell ref="EVS855:EVW855"/>
    <mergeCell ref="EVX855:EWB855"/>
    <mergeCell ref="EWC855:EWG855"/>
    <mergeCell ref="EWH855:EWL855"/>
    <mergeCell ref="EWM855:EWQ855"/>
    <mergeCell ref="EWR855:EWV855"/>
    <mergeCell ref="EWW855:EXA855"/>
    <mergeCell ref="ETP855:ETT855"/>
    <mergeCell ref="ETU855:ETY855"/>
    <mergeCell ref="ETZ855:EUD855"/>
    <mergeCell ref="EUE855:EUI855"/>
    <mergeCell ref="EUJ855:EUN855"/>
    <mergeCell ref="EUO855:EUS855"/>
    <mergeCell ref="EUT855:EUX855"/>
    <mergeCell ref="EUY855:EVC855"/>
    <mergeCell ref="EVD855:EVH855"/>
    <mergeCell ref="ERW855:ESA855"/>
    <mergeCell ref="ESB855:ESF855"/>
    <mergeCell ref="ESG855:ESK855"/>
    <mergeCell ref="ESL855:ESP855"/>
    <mergeCell ref="ESQ855:ESU855"/>
    <mergeCell ref="ESV855:ESZ855"/>
    <mergeCell ref="ETA855:ETE855"/>
    <mergeCell ref="ETF855:ETJ855"/>
    <mergeCell ref="ETK855:ETO855"/>
    <mergeCell ref="EQD855:EQH855"/>
    <mergeCell ref="EQI855:EQM855"/>
    <mergeCell ref="EQN855:EQR855"/>
    <mergeCell ref="EQS855:EQW855"/>
    <mergeCell ref="EQX855:ERB855"/>
    <mergeCell ref="ERC855:ERG855"/>
    <mergeCell ref="ERH855:ERL855"/>
    <mergeCell ref="ERM855:ERQ855"/>
    <mergeCell ref="ERR855:ERV855"/>
    <mergeCell ref="EOK855:EOO855"/>
    <mergeCell ref="EOP855:EOT855"/>
    <mergeCell ref="EOU855:EOY855"/>
    <mergeCell ref="EOZ855:EPD855"/>
    <mergeCell ref="EPE855:EPI855"/>
    <mergeCell ref="EPJ855:EPN855"/>
    <mergeCell ref="EPO855:EPS855"/>
    <mergeCell ref="EPT855:EPX855"/>
    <mergeCell ref="EPY855:EQC855"/>
    <mergeCell ref="EMR855:EMV855"/>
    <mergeCell ref="EMW855:ENA855"/>
    <mergeCell ref="ENB855:ENF855"/>
    <mergeCell ref="ENG855:ENK855"/>
    <mergeCell ref="ENL855:ENP855"/>
    <mergeCell ref="ENQ855:ENU855"/>
    <mergeCell ref="ENV855:ENZ855"/>
    <mergeCell ref="EOA855:EOE855"/>
    <mergeCell ref="EOF855:EOJ855"/>
    <mergeCell ref="EKY855:ELC855"/>
    <mergeCell ref="ELD855:ELH855"/>
    <mergeCell ref="ELI855:ELM855"/>
    <mergeCell ref="ELN855:ELR855"/>
    <mergeCell ref="ELS855:ELW855"/>
    <mergeCell ref="ELX855:EMB855"/>
    <mergeCell ref="EMC855:EMG855"/>
    <mergeCell ref="EMH855:EML855"/>
    <mergeCell ref="EMM855:EMQ855"/>
    <mergeCell ref="EJF855:EJJ855"/>
    <mergeCell ref="EJK855:EJO855"/>
    <mergeCell ref="EJP855:EJT855"/>
    <mergeCell ref="EJU855:EJY855"/>
    <mergeCell ref="EJZ855:EKD855"/>
    <mergeCell ref="EKE855:EKI855"/>
    <mergeCell ref="EKJ855:EKN855"/>
    <mergeCell ref="EKO855:EKS855"/>
    <mergeCell ref="EKT855:EKX855"/>
    <mergeCell ref="EHM855:EHQ855"/>
    <mergeCell ref="EHR855:EHV855"/>
    <mergeCell ref="EHW855:EIA855"/>
    <mergeCell ref="EIB855:EIF855"/>
    <mergeCell ref="EIG855:EIK855"/>
    <mergeCell ref="EIL855:EIP855"/>
    <mergeCell ref="EIQ855:EIU855"/>
    <mergeCell ref="EIV855:EIZ855"/>
    <mergeCell ref="EJA855:EJE855"/>
    <mergeCell ref="EFT855:EFX855"/>
    <mergeCell ref="EFY855:EGC855"/>
    <mergeCell ref="EGD855:EGH855"/>
    <mergeCell ref="EGI855:EGM855"/>
    <mergeCell ref="EGN855:EGR855"/>
    <mergeCell ref="EGS855:EGW855"/>
    <mergeCell ref="EGX855:EHB855"/>
    <mergeCell ref="EHC855:EHG855"/>
    <mergeCell ref="EHH855:EHL855"/>
    <mergeCell ref="EEA855:EEE855"/>
    <mergeCell ref="EEF855:EEJ855"/>
    <mergeCell ref="EEK855:EEO855"/>
    <mergeCell ref="EEP855:EET855"/>
    <mergeCell ref="EEU855:EEY855"/>
    <mergeCell ref="EEZ855:EFD855"/>
    <mergeCell ref="EFE855:EFI855"/>
    <mergeCell ref="EFJ855:EFN855"/>
    <mergeCell ref="EFO855:EFS855"/>
    <mergeCell ref="ECH855:ECL855"/>
    <mergeCell ref="ECM855:ECQ855"/>
    <mergeCell ref="ECR855:ECV855"/>
    <mergeCell ref="ECW855:EDA855"/>
    <mergeCell ref="EDB855:EDF855"/>
    <mergeCell ref="EDG855:EDK855"/>
    <mergeCell ref="EDL855:EDP855"/>
    <mergeCell ref="EDQ855:EDU855"/>
    <mergeCell ref="EDV855:EDZ855"/>
    <mergeCell ref="EAO855:EAS855"/>
    <mergeCell ref="EAT855:EAX855"/>
    <mergeCell ref="EAY855:EBC855"/>
    <mergeCell ref="EBD855:EBH855"/>
    <mergeCell ref="EBI855:EBM855"/>
    <mergeCell ref="EBN855:EBR855"/>
    <mergeCell ref="EBS855:EBW855"/>
    <mergeCell ref="EBX855:ECB855"/>
    <mergeCell ref="ECC855:ECG855"/>
    <mergeCell ref="DYV855:DYZ855"/>
    <mergeCell ref="DZA855:DZE855"/>
    <mergeCell ref="DZF855:DZJ855"/>
    <mergeCell ref="DZK855:DZO855"/>
    <mergeCell ref="DZP855:DZT855"/>
    <mergeCell ref="DZU855:DZY855"/>
    <mergeCell ref="DZZ855:EAD855"/>
    <mergeCell ref="EAE855:EAI855"/>
    <mergeCell ref="EAJ855:EAN855"/>
    <mergeCell ref="DXC855:DXG855"/>
    <mergeCell ref="DXH855:DXL855"/>
    <mergeCell ref="DXM855:DXQ855"/>
    <mergeCell ref="DXR855:DXV855"/>
    <mergeCell ref="DXW855:DYA855"/>
    <mergeCell ref="DYB855:DYF855"/>
    <mergeCell ref="DYG855:DYK855"/>
    <mergeCell ref="DYL855:DYP855"/>
    <mergeCell ref="DYQ855:DYU855"/>
    <mergeCell ref="DVJ855:DVN855"/>
    <mergeCell ref="DVO855:DVS855"/>
    <mergeCell ref="DVT855:DVX855"/>
    <mergeCell ref="DVY855:DWC855"/>
    <mergeCell ref="DWD855:DWH855"/>
    <mergeCell ref="DWI855:DWM855"/>
    <mergeCell ref="DWN855:DWR855"/>
    <mergeCell ref="DWS855:DWW855"/>
    <mergeCell ref="DWX855:DXB855"/>
    <mergeCell ref="DTQ855:DTU855"/>
    <mergeCell ref="DTV855:DTZ855"/>
    <mergeCell ref="DUA855:DUE855"/>
    <mergeCell ref="DUF855:DUJ855"/>
    <mergeCell ref="DUK855:DUO855"/>
    <mergeCell ref="DUP855:DUT855"/>
    <mergeCell ref="DUU855:DUY855"/>
    <mergeCell ref="DUZ855:DVD855"/>
    <mergeCell ref="DVE855:DVI855"/>
    <mergeCell ref="DRX855:DSB855"/>
    <mergeCell ref="DSC855:DSG855"/>
    <mergeCell ref="DSH855:DSL855"/>
    <mergeCell ref="DSM855:DSQ855"/>
    <mergeCell ref="DSR855:DSV855"/>
    <mergeCell ref="DSW855:DTA855"/>
    <mergeCell ref="DTB855:DTF855"/>
    <mergeCell ref="DTG855:DTK855"/>
    <mergeCell ref="DTL855:DTP855"/>
    <mergeCell ref="DQE855:DQI855"/>
    <mergeCell ref="DQJ855:DQN855"/>
    <mergeCell ref="DQO855:DQS855"/>
    <mergeCell ref="DQT855:DQX855"/>
    <mergeCell ref="DQY855:DRC855"/>
    <mergeCell ref="DRD855:DRH855"/>
    <mergeCell ref="DRI855:DRM855"/>
    <mergeCell ref="DRN855:DRR855"/>
    <mergeCell ref="DRS855:DRW855"/>
    <mergeCell ref="DOL855:DOP855"/>
    <mergeCell ref="DOQ855:DOU855"/>
    <mergeCell ref="DOV855:DOZ855"/>
    <mergeCell ref="DPA855:DPE855"/>
    <mergeCell ref="DPF855:DPJ855"/>
    <mergeCell ref="DPK855:DPO855"/>
    <mergeCell ref="DPP855:DPT855"/>
    <mergeCell ref="DPU855:DPY855"/>
    <mergeCell ref="DPZ855:DQD855"/>
    <mergeCell ref="DMS855:DMW855"/>
    <mergeCell ref="DMX855:DNB855"/>
    <mergeCell ref="DNC855:DNG855"/>
    <mergeCell ref="DNH855:DNL855"/>
    <mergeCell ref="DNM855:DNQ855"/>
    <mergeCell ref="DNR855:DNV855"/>
    <mergeCell ref="DNW855:DOA855"/>
    <mergeCell ref="DOB855:DOF855"/>
    <mergeCell ref="DOG855:DOK855"/>
    <mergeCell ref="DKZ855:DLD855"/>
    <mergeCell ref="DLE855:DLI855"/>
    <mergeCell ref="DLJ855:DLN855"/>
    <mergeCell ref="DLO855:DLS855"/>
    <mergeCell ref="DLT855:DLX855"/>
    <mergeCell ref="DLY855:DMC855"/>
    <mergeCell ref="DMD855:DMH855"/>
    <mergeCell ref="DMI855:DMM855"/>
    <mergeCell ref="DMN855:DMR855"/>
    <mergeCell ref="DJG855:DJK855"/>
    <mergeCell ref="DJL855:DJP855"/>
    <mergeCell ref="DJQ855:DJU855"/>
    <mergeCell ref="DJV855:DJZ855"/>
    <mergeCell ref="DKA855:DKE855"/>
    <mergeCell ref="DKF855:DKJ855"/>
    <mergeCell ref="DKK855:DKO855"/>
    <mergeCell ref="DKP855:DKT855"/>
    <mergeCell ref="DKU855:DKY855"/>
    <mergeCell ref="DHN855:DHR855"/>
    <mergeCell ref="DHS855:DHW855"/>
    <mergeCell ref="DHX855:DIB855"/>
    <mergeCell ref="DIC855:DIG855"/>
    <mergeCell ref="DIH855:DIL855"/>
    <mergeCell ref="DIM855:DIQ855"/>
    <mergeCell ref="DIR855:DIV855"/>
    <mergeCell ref="DIW855:DJA855"/>
    <mergeCell ref="DJB855:DJF855"/>
    <mergeCell ref="DFU855:DFY855"/>
    <mergeCell ref="DFZ855:DGD855"/>
    <mergeCell ref="DGE855:DGI855"/>
    <mergeCell ref="DGJ855:DGN855"/>
    <mergeCell ref="DGO855:DGS855"/>
    <mergeCell ref="DGT855:DGX855"/>
    <mergeCell ref="DGY855:DHC855"/>
    <mergeCell ref="DHD855:DHH855"/>
    <mergeCell ref="DHI855:DHM855"/>
    <mergeCell ref="DEB855:DEF855"/>
    <mergeCell ref="DEG855:DEK855"/>
    <mergeCell ref="DEL855:DEP855"/>
    <mergeCell ref="DEQ855:DEU855"/>
    <mergeCell ref="DEV855:DEZ855"/>
    <mergeCell ref="DFA855:DFE855"/>
    <mergeCell ref="DFF855:DFJ855"/>
    <mergeCell ref="DFK855:DFO855"/>
    <mergeCell ref="DFP855:DFT855"/>
    <mergeCell ref="DCI855:DCM855"/>
    <mergeCell ref="DCN855:DCR855"/>
    <mergeCell ref="DCS855:DCW855"/>
    <mergeCell ref="DCX855:DDB855"/>
    <mergeCell ref="DDC855:DDG855"/>
    <mergeCell ref="DDH855:DDL855"/>
    <mergeCell ref="DDM855:DDQ855"/>
    <mergeCell ref="DDR855:DDV855"/>
    <mergeCell ref="DDW855:DEA855"/>
    <mergeCell ref="DAP855:DAT855"/>
    <mergeCell ref="DAU855:DAY855"/>
    <mergeCell ref="DAZ855:DBD855"/>
    <mergeCell ref="DBE855:DBI855"/>
    <mergeCell ref="DBJ855:DBN855"/>
    <mergeCell ref="DBO855:DBS855"/>
    <mergeCell ref="DBT855:DBX855"/>
    <mergeCell ref="DBY855:DCC855"/>
    <mergeCell ref="DCD855:DCH855"/>
    <mergeCell ref="CYW855:CZA855"/>
    <mergeCell ref="CZB855:CZF855"/>
    <mergeCell ref="CZG855:CZK855"/>
    <mergeCell ref="CZL855:CZP855"/>
    <mergeCell ref="CZQ855:CZU855"/>
    <mergeCell ref="CZV855:CZZ855"/>
    <mergeCell ref="DAA855:DAE855"/>
    <mergeCell ref="DAF855:DAJ855"/>
    <mergeCell ref="DAK855:DAO855"/>
    <mergeCell ref="CXD855:CXH855"/>
    <mergeCell ref="CXI855:CXM855"/>
    <mergeCell ref="CXN855:CXR855"/>
    <mergeCell ref="CXS855:CXW855"/>
    <mergeCell ref="CXX855:CYB855"/>
    <mergeCell ref="CYC855:CYG855"/>
    <mergeCell ref="CYH855:CYL855"/>
    <mergeCell ref="CYM855:CYQ855"/>
    <mergeCell ref="CYR855:CYV855"/>
    <mergeCell ref="CVK855:CVO855"/>
    <mergeCell ref="CVP855:CVT855"/>
    <mergeCell ref="CVU855:CVY855"/>
    <mergeCell ref="CVZ855:CWD855"/>
    <mergeCell ref="CWE855:CWI855"/>
    <mergeCell ref="CWJ855:CWN855"/>
    <mergeCell ref="CWO855:CWS855"/>
    <mergeCell ref="CWT855:CWX855"/>
    <mergeCell ref="CWY855:CXC855"/>
    <mergeCell ref="CTR855:CTV855"/>
    <mergeCell ref="CTW855:CUA855"/>
    <mergeCell ref="CUB855:CUF855"/>
    <mergeCell ref="CUG855:CUK855"/>
    <mergeCell ref="CUL855:CUP855"/>
    <mergeCell ref="CUQ855:CUU855"/>
    <mergeCell ref="CUV855:CUZ855"/>
    <mergeCell ref="CVA855:CVE855"/>
    <mergeCell ref="CVF855:CVJ855"/>
    <mergeCell ref="CRY855:CSC855"/>
    <mergeCell ref="CSD855:CSH855"/>
    <mergeCell ref="CSI855:CSM855"/>
    <mergeCell ref="CSN855:CSR855"/>
    <mergeCell ref="CSS855:CSW855"/>
    <mergeCell ref="CSX855:CTB855"/>
    <mergeCell ref="CTC855:CTG855"/>
    <mergeCell ref="CTH855:CTL855"/>
    <mergeCell ref="CTM855:CTQ855"/>
    <mergeCell ref="CQF855:CQJ855"/>
    <mergeCell ref="CQK855:CQO855"/>
    <mergeCell ref="CQP855:CQT855"/>
    <mergeCell ref="CQU855:CQY855"/>
    <mergeCell ref="CQZ855:CRD855"/>
    <mergeCell ref="CRE855:CRI855"/>
    <mergeCell ref="CRJ855:CRN855"/>
    <mergeCell ref="CRO855:CRS855"/>
    <mergeCell ref="CRT855:CRX855"/>
    <mergeCell ref="COM855:COQ855"/>
    <mergeCell ref="COR855:COV855"/>
    <mergeCell ref="COW855:CPA855"/>
    <mergeCell ref="CPB855:CPF855"/>
    <mergeCell ref="CPG855:CPK855"/>
    <mergeCell ref="CPL855:CPP855"/>
    <mergeCell ref="CPQ855:CPU855"/>
    <mergeCell ref="CPV855:CPZ855"/>
    <mergeCell ref="CQA855:CQE855"/>
    <mergeCell ref="CMT855:CMX855"/>
    <mergeCell ref="CMY855:CNC855"/>
    <mergeCell ref="CND855:CNH855"/>
    <mergeCell ref="CNI855:CNM855"/>
    <mergeCell ref="CNN855:CNR855"/>
    <mergeCell ref="CNS855:CNW855"/>
    <mergeCell ref="CNX855:COB855"/>
    <mergeCell ref="COC855:COG855"/>
    <mergeCell ref="COH855:COL855"/>
    <mergeCell ref="CLA855:CLE855"/>
    <mergeCell ref="CLF855:CLJ855"/>
    <mergeCell ref="CLK855:CLO855"/>
    <mergeCell ref="CLP855:CLT855"/>
    <mergeCell ref="CLU855:CLY855"/>
    <mergeCell ref="CLZ855:CMD855"/>
    <mergeCell ref="CME855:CMI855"/>
    <mergeCell ref="CMJ855:CMN855"/>
    <mergeCell ref="CMO855:CMS855"/>
    <mergeCell ref="CJH855:CJL855"/>
    <mergeCell ref="CJM855:CJQ855"/>
    <mergeCell ref="CJR855:CJV855"/>
    <mergeCell ref="CJW855:CKA855"/>
    <mergeCell ref="CKB855:CKF855"/>
    <mergeCell ref="CKG855:CKK855"/>
    <mergeCell ref="CKL855:CKP855"/>
    <mergeCell ref="CKQ855:CKU855"/>
    <mergeCell ref="CKV855:CKZ855"/>
    <mergeCell ref="CHO855:CHS855"/>
    <mergeCell ref="CHT855:CHX855"/>
    <mergeCell ref="CHY855:CIC855"/>
    <mergeCell ref="CID855:CIH855"/>
    <mergeCell ref="CII855:CIM855"/>
    <mergeCell ref="CIN855:CIR855"/>
    <mergeCell ref="CIS855:CIW855"/>
    <mergeCell ref="CIX855:CJB855"/>
    <mergeCell ref="CJC855:CJG855"/>
    <mergeCell ref="CFV855:CFZ855"/>
    <mergeCell ref="CGA855:CGE855"/>
    <mergeCell ref="CGF855:CGJ855"/>
    <mergeCell ref="CGK855:CGO855"/>
    <mergeCell ref="CGP855:CGT855"/>
    <mergeCell ref="CGU855:CGY855"/>
    <mergeCell ref="CGZ855:CHD855"/>
    <mergeCell ref="CHE855:CHI855"/>
    <mergeCell ref="CHJ855:CHN855"/>
    <mergeCell ref="CEC855:CEG855"/>
    <mergeCell ref="CEH855:CEL855"/>
    <mergeCell ref="CEM855:CEQ855"/>
    <mergeCell ref="CER855:CEV855"/>
    <mergeCell ref="CEW855:CFA855"/>
    <mergeCell ref="CFB855:CFF855"/>
    <mergeCell ref="CFG855:CFK855"/>
    <mergeCell ref="CFL855:CFP855"/>
    <mergeCell ref="CFQ855:CFU855"/>
    <mergeCell ref="CCJ855:CCN855"/>
    <mergeCell ref="CCO855:CCS855"/>
    <mergeCell ref="CCT855:CCX855"/>
    <mergeCell ref="CCY855:CDC855"/>
    <mergeCell ref="CDD855:CDH855"/>
    <mergeCell ref="CDI855:CDM855"/>
    <mergeCell ref="CDN855:CDR855"/>
    <mergeCell ref="CDS855:CDW855"/>
    <mergeCell ref="CDX855:CEB855"/>
    <mergeCell ref="CAQ855:CAU855"/>
    <mergeCell ref="CAV855:CAZ855"/>
    <mergeCell ref="CBA855:CBE855"/>
    <mergeCell ref="CBF855:CBJ855"/>
    <mergeCell ref="CBK855:CBO855"/>
    <mergeCell ref="CBP855:CBT855"/>
    <mergeCell ref="CBU855:CBY855"/>
    <mergeCell ref="CBZ855:CCD855"/>
    <mergeCell ref="CCE855:CCI855"/>
    <mergeCell ref="BYX855:BZB855"/>
    <mergeCell ref="BZC855:BZG855"/>
    <mergeCell ref="BZH855:BZL855"/>
    <mergeCell ref="BZM855:BZQ855"/>
    <mergeCell ref="BZR855:BZV855"/>
    <mergeCell ref="BZW855:CAA855"/>
    <mergeCell ref="CAB855:CAF855"/>
    <mergeCell ref="CAG855:CAK855"/>
    <mergeCell ref="CAL855:CAP855"/>
    <mergeCell ref="BXE855:BXI855"/>
    <mergeCell ref="BXJ855:BXN855"/>
    <mergeCell ref="BXO855:BXS855"/>
    <mergeCell ref="BXT855:BXX855"/>
    <mergeCell ref="BXY855:BYC855"/>
    <mergeCell ref="BYD855:BYH855"/>
    <mergeCell ref="BYI855:BYM855"/>
    <mergeCell ref="BYN855:BYR855"/>
    <mergeCell ref="BYS855:BYW855"/>
    <mergeCell ref="BVL855:BVP855"/>
    <mergeCell ref="BVQ855:BVU855"/>
    <mergeCell ref="BVV855:BVZ855"/>
    <mergeCell ref="BWA855:BWE855"/>
    <mergeCell ref="BWF855:BWJ855"/>
    <mergeCell ref="BWK855:BWO855"/>
    <mergeCell ref="BWP855:BWT855"/>
    <mergeCell ref="BWU855:BWY855"/>
    <mergeCell ref="BWZ855:BXD855"/>
    <mergeCell ref="BTS855:BTW855"/>
    <mergeCell ref="BTX855:BUB855"/>
    <mergeCell ref="BUC855:BUG855"/>
    <mergeCell ref="BUH855:BUL855"/>
    <mergeCell ref="BUM855:BUQ855"/>
    <mergeCell ref="BUR855:BUV855"/>
    <mergeCell ref="BUW855:BVA855"/>
    <mergeCell ref="BVB855:BVF855"/>
    <mergeCell ref="BVG855:BVK855"/>
    <mergeCell ref="BRZ855:BSD855"/>
    <mergeCell ref="BSE855:BSI855"/>
    <mergeCell ref="BSJ855:BSN855"/>
    <mergeCell ref="BSO855:BSS855"/>
    <mergeCell ref="BST855:BSX855"/>
    <mergeCell ref="BSY855:BTC855"/>
    <mergeCell ref="BTD855:BTH855"/>
    <mergeCell ref="BTI855:BTM855"/>
    <mergeCell ref="BTN855:BTR855"/>
    <mergeCell ref="BQG855:BQK855"/>
    <mergeCell ref="BQL855:BQP855"/>
    <mergeCell ref="BQQ855:BQU855"/>
    <mergeCell ref="BQV855:BQZ855"/>
    <mergeCell ref="BRA855:BRE855"/>
    <mergeCell ref="BRF855:BRJ855"/>
    <mergeCell ref="BRK855:BRO855"/>
    <mergeCell ref="BRP855:BRT855"/>
    <mergeCell ref="BRU855:BRY855"/>
    <mergeCell ref="BON855:BOR855"/>
    <mergeCell ref="BOS855:BOW855"/>
    <mergeCell ref="BOX855:BPB855"/>
    <mergeCell ref="BPC855:BPG855"/>
    <mergeCell ref="BPH855:BPL855"/>
    <mergeCell ref="BPM855:BPQ855"/>
    <mergeCell ref="BPR855:BPV855"/>
    <mergeCell ref="BPW855:BQA855"/>
    <mergeCell ref="BQB855:BQF855"/>
    <mergeCell ref="BMU855:BMY855"/>
    <mergeCell ref="BMZ855:BND855"/>
    <mergeCell ref="BNE855:BNI855"/>
    <mergeCell ref="BNJ855:BNN855"/>
    <mergeCell ref="BNO855:BNS855"/>
    <mergeCell ref="BNT855:BNX855"/>
    <mergeCell ref="BNY855:BOC855"/>
    <mergeCell ref="BOD855:BOH855"/>
    <mergeCell ref="BOI855:BOM855"/>
    <mergeCell ref="BLB855:BLF855"/>
    <mergeCell ref="BLG855:BLK855"/>
    <mergeCell ref="BLL855:BLP855"/>
    <mergeCell ref="BLQ855:BLU855"/>
    <mergeCell ref="BLV855:BLZ855"/>
    <mergeCell ref="BMA855:BME855"/>
    <mergeCell ref="BMF855:BMJ855"/>
    <mergeCell ref="BMK855:BMO855"/>
    <mergeCell ref="BMP855:BMT855"/>
    <mergeCell ref="BJI855:BJM855"/>
    <mergeCell ref="BJN855:BJR855"/>
    <mergeCell ref="BJS855:BJW855"/>
    <mergeCell ref="BJX855:BKB855"/>
    <mergeCell ref="BKC855:BKG855"/>
    <mergeCell ref="BKH855:BKL855"/>
    <mergeCell ref="BKM855:BKQ855"/>
    <mergeCell ref="BKR855:BKV855"/>
    <mergeCell ref="BKW855:BLA855"/>
    <mergeCell ref="BHP855:BHT855"/>
    <mergeCell ref="BHU855:BHY855"/>
    <mergeCell ref="BHZ855:BID855"/>
    <mergeCell ref="BIE855:BII855"/>
    <mergeCell ref="BIJ855:BIN855"/>
    <mergeCell ref="BIO855:BIS855"/>
    <mergeCell ref="BIT855:BIX855"/>
    <mergeCell ref="BIY855:BJC855"/>
    <mergeCell ref="BJD855:BJH855"/>
    <mergeCell ref="BFW855:BGA855"/>
    <mergeCell ref="BGB855:BGF855"/>
    <mergeCell ref="BGG855:BGK855"/>
    <mergeCell ref="BGL855:BGP855"/>
    <mergeCell ref="BGQ855:BGU855"/>
    <mergeCell ref="BGV855:BGZ855"/>
    <mergeCell ref="BHA855:BHE855"/>
    <mergeCell ref="BHF855:BHJ855"/>
    <mergeCell ref="BHK855:BHO855"/>
    <mergeCell ref="BED855:BEH855"/>
    <mergeCell ref="BEI855:BEM855"/>
    <mergeCell ref="BEN855:BER855"/>
    <mergeCell ref="BES855:BEW855"/>
    <mergeCell ref="BEX855:BFB855"/>
    <mergeCell ref="BFC855:BFG855"/>
    <mergeCell ref="BFH855:BFL855"/>
    <mergeCell ref="BFM855:BFQ855"/>
    <mergeCell ref="BFR855:BFV855"/>
    <mergeCell ref="BCK855:BCO855"/>
    <mergeCell ref="BCP855:BCT855"/>
    <mergeCell ref="BCU855:BCY855"/>
    <mergeCell ref="BCZ855:BDD855"/>
    <mergeCell ref="BDE855:BDI855"/>
    <mergeCell ref="BDJ855:BDN855"/>
    <mergeCell ref="BDO855:BDS855"/>
    <mergeCell ref="BDT855:BDX855"/>
    <mergeCell ref="BDY855:BEC855"/>
    <mergeCell ref="BAR855:BAV855"/>
    <mergeCell ref="BAW855:BBA855"/>
    <mergeCell ref="BBB855:BBF855"/>
    <mergeCell ref="BBG855:BBK855"/>
    <mergeCell ref="BBL855:BBP855"/>
    <mergeCell ref="BBQ855:BBU855"/>
    <mergeCell ref="BBV855:BBZ855"/>
    <mergeCell ref="BCA855:BCE855"/>
    <mergeCell ref="BCF855:BCJ855"/>
    <mergeCell ref="AYY855:AZC855"/>
    <mergeCell ref="AZD855:AZH855"/>
    <mergeCell ref="AZI855:AZM855"/>
    <mergeCell ref="AZN855:AZR855"/>
    <mergeCell ref="AZS855:AZW855"/>
    <mergeCell ref="AZX855:BAB855"/>
    <mergeCell ref="BAC855:BAG855"/>
    <mergeCell ref="BAH855:BAL855"/>
    <mergeCell ref="BAM855:BAQ855"/>
    <mergeCell ref="AXF855:AXJ855"/>
    <mergeCell ref="AXK855:AXO855"/>
    <mergeCell ref="AXP855:AXT855"/>
    <mergeCell ref="AXU855:AXY855"/>
    <mergeCell ref="AXZ855:AYD855"/>
    <mergeCell ref="AYE855:AYI855"/>
    <mergeCell ref="AYJ855:AYN855"/>
    <mergeCell ref="AYO855:AYS855"/>
    <mergeCell ref="AYT855:AYX855"/>
    <mergeCell ref="AVM855:AVQ855"/>
    <mergeCell ref="AVR855:AVV855"/>
    <mergeCell ref="AVW855:AWA855"/>
    <mergeCell ref="AWB855:AWF855"/>
    <mergeCell ref="AWG855:AWK855"/>
    <mergeCell ref="AWL855:AWP855"/>
    <mergeCell ref="AWQ855:AWU855"/>
    <mergeCell ref="AWV855:AWZ855"/>
    <mergeCell ref="AXA855:AXE855"/>
    <mergeCell ref="ATT855:ATX855"/>
    <mergeCell ref="ATY855:AUC855"/>
    <mergeCell ref="AUD855:AUH855"/>
    <mergeCell ref="AUI855:AUM855"/>
    <mergeCell ref="AUN855:AUR855"/>
    <mergeCell ref="AUS855:AUW855"/>
    <mergeCell ref="AUX855:AVB855"/>
    <mergeCell ref="AVC855:AVG855"/>
    <mergeCell ref="AVH855:AVL855"/>
    <mergeCell ref="ASA855:ASE855"/>
    <mergeCell ref="ASF855:ASJ855"/>
    <mergeCell ref="ASK855:ASO855"/>
    <mergeCell ref="ASP855:AST855"/>
    <mergeCell ref="ASU855:ASY855"/>
    <mergeCell ref="ASZ855:ATD855"/>
    <mergeCell ref="ATE855:ATI855"/>
    <mergeCell ref="ATJ855:ATN855"/>
    <mergeCell ref="ATO855:ATS855"/>
    <mergeCell ref="AQH855:AQL855"/>
    <mergeCell ref="AQM855:AQQ855"/>
    <mergeCell ref="AQR855:AQV855"/>
    <mergeCell ref="AQW855:ARA855"/>
    <mergeCell ref="ARB855:ARF855"/>
    <mergeCell ref="ARG855:ARK855"/>
    <mergeCell ref="ARL855:ARP855"/>
    <mergeCell ref="ARQ855:ARU855"/>
    <mergeCell ref="ARV855:ARZ855"/>
    <mergeCell ref="AOO855:AOS855"/>
    <mergeCell ref="AOT855:AOX855"/>
    <mergeCell ref="AOY855:APC855"/>
    <mergeCell ref="APD855:APH855"/>
    <mergeCell ref="API855:APM855"/>
    <mergeCell ref="APN855:APR855"/>
    <mergeCell ref="APS855:APW855"/>
    <mergeCell ref="APX855:AQB855"/>
    <mergeCell ref="AQC855:AQG855"/>
    <mergeCell ref="AMV855:AMZ855"/>
    <mergeCell ref="ANA855:ANE855"/>
    <mergeCell ref="ANF855:ANJ855"/>
    <mergeCell ref="ANK855:ANO855"/>
    <mergeCell ref="ANP855:ANT855"/>
    <mergeCell ref="ANU855:ANY855"/>
    <mergeCell ref="ANZ855:AOD855"/>
    <mergeCell ref="AOE855:AOI855"/>
    <mergeCell ref="AOJ855:AON855"/>
    <mergeCell ref="ALC855:ALG855"/>
    <mergeCell ref="ALH855:ALL855"/>
    <mergeCell ref="ALM855:ALQ855"/>
    <mergeCell ref="ALR855:ALV855"/>
    <mergeCell ref="ALW855:AMA855"/>
    <mergeCell ref="AMB855:AMF855"/>
    <mergeCell ref="AMG855:AMK855"/>
    <mergeCell ref="AML855:AMP855"/>
    <mergeCell ref="AMQ855:AMU855"/>
    <mergeCell ref="AJJ855:AJN855"/>
    <mergeCell ref="AJO855:AJS855"/>
    <mergeCell ref="AJT855:AJX855"/>
    <mergeCell ref="AJY855:AKC855"/>
    <mergeCell ref="AKD855:AKH855"/>
    <mergeCell ref="AKI855:AKM855"/>
    <mergeCell ref="AKN855:AKR855"/>
    <mergeCell ref="AKS855:AKW855"/>
    <mergeCell ref="AKX855:ALB855"/>
    <mergeCell ref="AHQ855:AHU855"/>
    <mergeCell ref="AHV855:AHZ855"/>
    <mergeCell ref="AIA855:AIE855"/>
    <mergeCell ref="AIF855:AIJ855"/>
    <mergeCell ref="AIK855:AIO855"/>
    <mergeCell ref="AIP855:AIT855"/>
    <mergeCell ref="AIU855:AIY855"/>
    <mergeCell ref="AIZ855:AJD855"/>
    <mergeCell ref="AJE855:AJI855"/>
    <mergeCell ref="AFX855:AGB855"/>
    <mergeCell ref="AGC855:AGG855"/>
    <mergeCell ref="AGH855:AGL855"/>
    <mergeCell ref="AGM855:AGQ855"/>
    <mergeCell ref="AGR855:AGV855"/>
    <mergeCell ref="AGW855:AHA855"/>
    <mergeCell ref="AHB855:AHF855"/>
    <mergeCell ref="AHG855:AHK855"/>
    <mergeCell ref="AHL855:AHP855"/>
    <mergeCell ref="AEE855:AEI855"/>
    <mergeCell ref="AEJ855:AEN855"/>
    <mergeCell ref="AEO855:AES855"/>
    <mergeCell ref="AET855:AEX855"/>
    <mergeCell ref="AEY855:AFC855"/>
    <mergeCell ref="AFD855:AFH855"/>
    <mergeCell ref="AFI855:AFM855"/>
    <mergeCell ref="AFN855:AFR855"/>
    <mergeCell ref="AFS855:AFW855"/>
    <mergeCell ref="ACL855:ACP855"/>
    <mergeCell ref="ACQ855:ACU855"/>
    <mergeCell ref="ACV855:ACZ855"/>
    <mergeCell ref="ADA855:ADE855"/>
    <mergeCell ref="ADF855:ADJ855"/>
    <mergeCell ref="ADK855:ADO855"/>
    <mergeCell ref="ADP855:ADT855"/>
    <mergeCell ref="ADU855:ADY855"/>
    <mergeCell ref="ADZ855:AED855"/>
    <mergeCell ref="AAS855:AAW855"/>
    <mergeCell ref="AAX855:ABB855"/>
    <mergeCell ref="ABC855:ABG855"/>
    <mergeCell ref="ABH855:ABL855"/>
    <mergeCell ref="ABM855:ABQ855"/>
    <mergeCell ref="ABR855:ABV855"/>
    <mergeCell ref="ABW855:ACA855"/>
    <mergeCell ref="ACB855:ACF855"/>
    <mergeCell ref="ACG855:ACK855"/>
    <mergeCell ref="YZ855:ZD855"/>
    <mergeCell ref="ZE855:ZI855"/>
    <mergeCell ref="ZJ855:ZN855"/>
    <mergeCell ref="ZO855:ZS855"/>
    <mergeCell ref="ZT855:ZX855"/>
    <mergeCell ref="ZY855:AAC855"/>
    <mergeCell ref="AAD855:AAH855"/>
    <mergeCell ref="AAI855:AAM855"/>
    <mergeCell ref="AAN855:AAR855"/>
    <mergeCell ref="XG855:XK855"/>
    <mergeCell ref="XL855:XP855"/>
    <mergeCell ref="XQ855:XU855"/>
    <mergeCell ref="XV855:XZ855"/>
    <mergeCell ref="YA855:YE855"/>
    <mergeCell ref="YF855:YJ855"/>
    <mergeCell ref="YK855:YO855"/>
    <mergeCell ref="YP855:YT855"/>
    <mergeCell ref="YU855:YY855"/>
    <mergeCell ref="VN855:VR855"/>
    <mergeCell ref="VS855:VW855"/>
    <mergeCell ref="VX855:WB855"/>
    <mergeCell ref="WC855:WG855"/>
    <mergeCell ref="WH855:WL855"/>
    <mergeCell ref="WM855:WQ855"/>
    <mergeCell ref="WR855:WV855"/>
    <mergeCell ref="WW855:XA855"/>
    <mergeCell ref="XB855:XF855"/>
    <mergeCell ref="TU855:TY855"/>
    <mergeCell ref="TZ855:UD855"/>
    <mergeCell ref="UE855:UI855"/>
    <mergeCell ref="UJ855:UN855"/>
    <mergeCell ref="UO855:US855"/>
    <mergeCell ref="UT855:UX855"/>
    <mergeCell ref="UY855:VC855"/>
    <mergeCell ref="VD855:VH855"/>
    <mergeCell ref="VI855:VM855"/>
    <mergeCell ref="SB855:SF855"/>
    <mergeCell ref="SG855:SK855"/>
    <mergeCell ref="SL855:SP855"/>
    <mergeCell ref="SQ855:SU855"/>
    <mergeCell ref="SV855:SZ855"/>
    <mergeCell ref="TA855:TE855"/>
    <mergeCell ref="TF855:TJ855"/>
    <mergeCell ref="TK855:TO855"/>
    <mergeCell ref="TP855:TT855"/>
    <mergeCell ref="QI855:QM855"/>
    <mergeCell ref="QN855:QR855"/>
    <mergeCell ref="QS855:QW855"/>
    <mergeCell ref="QX855:RB855"/>
    <mergeCell ref="RC855:RG855"/>
    <mergeCell ref="RH855:RL855"/>
    <mergeCell ref="RM855:RQ855"/>
    <mergeCell ref="RR855:RV855"/>
    <mergeCell ref="RW855:SA855"/>
    <mergeCell ref="OP855:OT855"/>
    <mergeCell ref="OU855:OY855"/>
    <mergeCell ref="OZ855:PD855"/>
    <mergeCell ref="PE855:PI855"/>
    <mergeCell ref="PJ855:PN855"/>
    <mergeCell ref="PO855:PS855"/>
    <mergeCell ref="PT855:PX855"/>
    <mergeCell ref="PY855:QC855"/>
    <mergeCell ref="QD855:QH855"/>
    <mergeCell ref="MW855:NA855"/>
    <mergeCell ref="NB855:NF855"/>
    <mergeCell ref="NG855:NK855"/>
    <mergeCell ref="NL855:NP855"/>
    <mergeCell ref="NQ855:NU855"/>
    <mergeCell ref="NV855:NZ855"/>
    <mergeCell ref="OA855:OE855"/>
    <mergeCell ref="OF855:OJ855"/>
    <mergeCell ref="OK855:OO855"/>
    <mergeCell ref="LD855:LH855"/>
    <mergeCell ref="LI855:LM855"/>
    <mergeCell ref="LN855:LR855"/>
    <mergeCell ref="LS855:LW855"/>
    <mergeCell ref="LX855:MB855"/>
    <mergeCell ref="MC855:MG855"/>
    <mergeCell ref="MH855:ML855"/>
    <mergeCell ref="MM855:MQ855"/>
    <mergeCell ref="MR855:MV855"/>
    <mergeCell ref="JK855:JO855"/>
    <mergeCell ref="JP855:JT855"/>
    <mergeCell ref="JU855:JY855"/>
    <mergeCell ref="JZ855:KD855"/>
    <mergeCell ref="KE855:KI855"/>
    <mergeCell ref="KJ855:KN855"/>
    <mergeCell ref="KO855:KS855"/>
    <mergeCell ref="KT855:KX855"/>
    <mergeCell ref="KY855:LC855"/>
    <mergeCell ref="HR855:HV855"/>
    <mergeCell ref="HW855:IA855"/>
    <mergeCell ref="IB855:IF855"/>
    <mergeCell ref="IG855:IK855"/>
    <mergeCell ref="IL855:IP855"/>
    <mergeCell ref="IQ855:IU855"/>
    <mergeCell ref="IV855:IZ855"/>
    <mergeCell ref="JA855:JE855"/>
    <mergeCell ref="JF855:JJ855"/>
    <mergeCell ref="FY855:GC855"/>
    <mergeCell ref="GD855:GH855"/>
    <mergeCell ref="GI855:GM855"/>
    <mergeCell ref="GN855:GR855"/>
    <mergeCell ref="GS855:GW855"/>
    <mergeCell ref="GX855:HB855"/>
    <mergeCell ref="HC855:HG855"/>
    <mergeCell ref="HH855:HL855"/>
    <mergeCell ref="HM855:HQ855"/>
    <mergeCell ref="EF855:EJ855"/>
    <mergeCell ref="EK855:EO855"/>
    <mergeCell ref="EP855:ET855"/>
    <mergeCell ref="EU855:EY855"/>
    <mergeCell ref="EZ855:FD855"/>
    <mergeCell ref="FE855:FI855"/>
    <mergeCell ref="FJ855:FN855"/>
    <mergeCell ref="FO855:FS855"/>
    <mergeCell ref="FT855:FX855"/>
    <mergeCell ref="CM855:CQ855"/>
    <mergeCell ref="CR855:CV855"/>
    <mergeCell ref="CW855:DA855"/>
    <mergeCell ref="DB855:DF855"/>
    <mergeCell ref="DG855:DK855"/>
    <mergeCell ref="DL855:DP855"/>
    <mergeCell ref="DQ855:DU855"/>
    <mergeCell ref="DV855:DZ855"/>
    <mergeCell ref="EA855:EE855"/>
    <mergeCell ref="AT855:AX855"/>
    <mergeCell ref="AY855:BC855"/>
    <mergeCell ref="BD855:BH855"/>
    <mergeCell ref="BI855:BM855"/>
    <mergeCell ref="BN855:BR855"/>
    <mergeCell ref="BS855:BW855"/>
    <mergeCell ref="BX855:CB855"/>
    <mergeCell ref="CC855:CG855"/>
    <mergeCell ref="CH855:CL855"/>
    <mergeCell ref="AE855:AI855"/>
    <mergeCell ref="AJ855:AN855"/>
    <mergeCell ref="AO855:AS855"/>
    <mergeCell ref="M736:M737"/>
    <mergeCell ref="N736:N737"/>
    <mergeCell ref="A490:E490"/>
    <mergeCell ref="M653:M655"/>
    <mergeCell ref="N653:N655"/>
    <mergeCell ref="M660:M662"/>
    <mergeCell ref="N660:N662"/>
    <mergeCell ref="M667:M668"/>
    <mergeCell ref="N667:N668"/>
    <mergeCell ref="M673:M674"/>
    <mergeCell ref="N673:N674"/>
    <mergeCell ref="A491:B491"/>
    <mergeCell ref="A551:E551"/>
    <mergeCell ref="A664:F664"/>
    <mergeCell ref="C646:D646"/>
    <mergeCell ref="A647:E647"/>
    <mergeCell ref="A648:B648"/>
    <mergeCell ref="C651:D651"/>
    <mergeCell ref="A567:E567"/>
    <mergeCell ref="A840:E840"/>
    <mergeCell ref="A846:F846"/>
    <mergeCell ref="A848:E848"/>
    <mergeCell ref="A854:F854"/>
    <mergeCell ref="G680:G681"/>
    <mergeCell ref="A670:F670"/>
    <mergeCell ref="A599:E599"/>
    <mergeCell ref="C683:D683"/>
    <mergeCell ref="A684:E684"/>
    <mergeCell ref="A685:B685"/>
    <mergeCell ref="A855:E855"/>
    <mergeCell ref="F855:J855"/>
    <mergeCell ref="K855:O855"/>
    <mergeCell ref="P855:T855"/>
    <mergeCell ref="U855:Y855"/>
    <mergeCell ref="Z855:AD855"/>
    <mergeCell ref="M679:M680"/>
    <mergeCell ref="N679:N680"/>
    <mergeCell ref="M685:M686"/>
    <mergeCell ref="N685:N686"/>
    <mergeCell ref="G661:G663"/>
    <mergeCell ref="G654:G656"/>
    <mergeCell ref="G640:G644"/>
    <mergeCell ref="A618:F618"/>
    <mergeCell ref="A667:B667"/>
    <mergeCell ref="C671:D671"/>
    <mergeCell ref="F668:F669"/>
    <mergeCell ref="G668:G669"/>
    <mergeCell ref="F680:F681"/>
    <mergeCell ref="C658:D658"/>
    <mergeCell ref="A645:F645"/>
    <mergeCell ref="A636:F636"/>
    <mergeCell ref="A755:F755"/>
    <mergeCell ref="A690:E690"/>
    <mergeCell ref="A691:B691"/>
    <mergeCell ref="C694:D694"/>
    <mergeCell ref="A695:E695"/>
    <mergeCell ref="A696:B696"/>
    <mergeCell ref="C689:D689"/>
    <mergeCell ref="A693:F693"/>
    <mergeCell ref="F686:F687"/>
    <mergeCell ref="C665:D665"/>
    <mergeCell ref="A630:F630"/>
    <mergeCell ref="A517:F517"/>
    <mergeCell ref="A288:F288"/>
    <mergeCell ref="A309:F309"/>
    <mergeCell ref="A411:F411"/>
    <mergeCell ref="A413:E413"/>
    <mergeCell ref="A422:F422"/>
    <mergeCell ref="A527:E527"/>
    <mergeCell ref="A533:F533"/>
    <mergeCell ref="A535:E535"/>
    <mergeCell ref="A583:E583"/>
    <mergeCell ref="A589:F589"/>
    <mergeCell ref="A591:E591"/>
    <mergeCell ref="A597:F597"/>
    <mergeCell ref="C489:D489"/>
    <mergeCell ref="A519:E519"/>
    <mergeCell ref="A479:E479"/>
    <mergeCell ref="A391:E391"/>
    <mergeCell ref="A402:F402"/>
    <mergeCell ref="A404:E404"/>
    <mergeCell ref="A356:E356"/>
    <mergeCell ref="A18:E18"/>
    <mergeCell ref="A275:E275"/>
    <mergeCell ref="A285:E285"/>
    <mergeCell ref="A283:F283"/>
    <mergeCell ref="A445:E445"/>
    <mergeCell ref="A448:F448"/>
    <mergeCell ref="A142:F142"/>
    <mergeCell ref="A144:E144"/>
    <mergeCell ref="A164:F164"/>
    <mergeCell ref="A166:E166"/>
    <mergeCell ref="A174:F174"/>
    <mergeCell ref="G492:G497"/>
    <mergeCell ref="A682:F682"/>
    <mergeCell ref="A557:F557"/>
    <mergeCell ref="A559:E559"/>
    <mergeCell ref="A613:E613"/>
    <mergeCell ref="A450:E450"/>
    <mergeCell ref="A453:F453"/>
    <mergeCell ref="A502:E502"/>
    <mergeCell ref="A503:B503"/>
    <mergeCell ref="A511:E511"/>
    <mergeCell ref="A509:F509"/>
    <mergeCell ref="C501:D501"/>
    <mergeCell ref="A500:F500"/>
    <mergeCell ref="A189:E189"/>
    <mergeCell ref="A208:F208"/>
    <mergeCell ref="A176:E176"/>
    <mergeCell ref="A573:F573"/>
    <mergeCell ref="A575:E575"/>
    <mergeCell ref="A364:F364"/>
    <mergeCell ref="A311:E311"/>
    <mergeCell ref="A290:E290"/>
    <mergeCell ref="A666:E666"/>
    <mergeCell ref="C709:D709"/>
    <mergeCell ref="A710:E710"/>
    <mergeCell ref="A659:E659"/>
    <mergeCell ref="A660:B660"/>
    <mergeCell ref="A389:F389"/>
    <mergeCell ref="A746:F746"/>
    <mergeCell ref="A732:F732"/>
    <mergeCell ref="A741:F741"/>
    <mergeCell ref="F737:F738"/>
    <mergeCell ref="A743:E743"/>
    <mergeCell ref="F661:F663"/>
    <mergeCell ref="A672:E672"/>
    <mergeCell ref="A581:F581"/>
    <mergeCell ref="A652:E652"/>
    <mergeCell ref="C7:D7"/>
    <mergeCell ref="A1:I1"/>
    <mergeCell ref="A2:A3"/>
    <mergeCell ref="B2:D3"/>
    <mergeCell ref="E2:I5"/>
    <mergeCell ref="A4:A5"/>
    <mergeCell ref="B4:D5"/>
    <mergeCell ref="A15:F15"/>
    <mergeCell ref="A8:E8"/>
    <mergeCell ref="A184:F184"/>
    <mergeCell ref="A245:E245"/>
    <mergeCell ref="A257:F257"/>
    <mergeCell ref="A259:E259"/>
    <mergeCell ref="A273:F273"/>
    <mergeCell ref="A211:E211"/>
    <mergeCell ref="A221:E221"/>
    <mergeCell ref="A219:F219"/>
    <mergeCell ref="A33:F33"/>
    <mergeCell ref="A115:F115"/>
    <mergeCell ref="A36:E36"/>
    <mergeCell ref="A46:F46"/>
    <mergeCell ref="A128:E128"/>
    <mergeCell ref="A237:E237"/>
    <mergeCell ref="A374:F374"/>
    <mergeCell ref="A376:E376"/>
    <mergeCell ref="A322:E322"/>
    <mergeCell ref="A340:E340"/>
    <mergeCell ref="A320:F320"/>
    <mergeCell ref="A338:F338"/>
    <mergeCell ref="A653:B653"/>
    <mergeCell ref="F654:F656"/>
    <mergeCell ref="A650:F650"/>
    <mergeCell ref="A634:B634"/>
    <mergeCell ref="C637:D637"/>
    <mergeCell ref="A638:E638"/>
    <mergeCell ref="A639:B639"/>
    <mergeCell ref="A633:E633"/>
    <mergeCell ref="A622:F622"/>
    <mergeCell ref="A549:F549"/>
    <mergeCell ref="A366:E366"/>
    <mergeCell ref="A424:E424"/>
    <mergeCell ref="A604:F604"/>
    <mergeCell ref="A443:F443"/>
    <mergeCell ref="A434:F434"/>
    <mergeCell ref="A354:F354"/>
    <mergeCell ref="A543:E543"/>
    <mergeCell ref="A541:F541"/>
    <mergeCell ref="A565:F565"/>
    <mergeCell ref="A624:E624"/>
    <mergeCell ref="A727:E727"/>
    <mergeCell ref="A721:E721"/>
    <mergeCell ref="A715:E715"/>
    <mergeCell ref="A716:B716"/>
    <mergeCell ref="A718:H718"/>
    <mergeCell ref="A611:F611"/>
    <mergeCell ref="A467:E467"/>
    <mergeCell ref="C478:D478"/>
    <mergeCell ref="A477:F477"/>
    <mergeCell ref="A455:E455"/>
    <mergeCell ref="C466:D466"/>
    <mergeCell ref="A464:F464"/>
    <mergeCell ref="A606:E606"/>
    <mergeCell ref="F640:F644"/>
    <mergeCell ref="A700:E700"/>
    <mergeCell ref="A525:F525"/>
    <mergeCell ref="G737:G738"/>
    <mergeCell ref="A735:E735"/>
    <mergeCell ref="A673:B673"/>
    <mergeCell ref="C677:D677"/>
    <mergeCell ref="A678:E678"/>
    <mergeCell ref="A679:B679"/>
    <mergeCell ref="F674:F675"/>
    <mergeCell ref="G674:G675"/>
    <mergeCell ref="A676:F676"/>
    <mergeCell ref="A701:B701"/>
    <mergeCell ref="C704:D704"/>
    <mergeCell ref="A698:F698"/>
    <mergeCell ref="A711:B711"/>
    <mergeCell ref="C714:D714"/>
    <mergeCell ref="A724:F724"/>
    <mergeCell ref="A705:E705"/>
    <mergeCell ref="A688:F688"/>
    <mergeCell ref="A703:F703"/>
    <mergeCell ref="G686:G687"/>
    <mergeCell ref="A758:E758"/>
    <mergeCell ref="A763:E763"/>
    <mergeCell ref="A768:E768"/>
    <mergeCell ref="A771:F771"/>
    <mergeCell ref="A834:B834"/>
    <mergeCell ref="A789:E789"/>
    <mergeCell ref="A782:F782"/>
    <mergeCell ref="A787:F787"/>
    <mergeCell ref="A792:F792"/>
    <mergeCell ref="A802:F802"/>
    <mergeCell ref="A766:F766"/>
    <mergeCell ref="A824:B824"/>
    <mergeCell ref="A831:F831"/>
    <mergeCell ref="A833:E833"/>
    <mergeCell ref="A797:F797"/>
    <mergeCell ref="A777:F777"/>
    <mergeCell ref="C827:D827"/>
    <mergeCell ref="A828:E828"/>
    <mergeCell ref="A829:B829"/>
    <mergeCell ref="A818:E818"/>
    <mergeCell ref="A819:B819"/>
    <mergeCell ref="A779:E779"/>
    <mergeCell ref="A784:E784"/>
    <mergeCell ref="A773:E773"/>
    <mergeCell ref="A774:B774"/>
    <mergeCell ref="C822:D822"/>
    <mergeCell ref="A823:E823"/>
    <mergeCell ref="A814:E814"/>
    <mergeCell ref="A826:F826"/>
    <mergeCell ref="A821:F821"/>
    <mergeCell ref="A816:F816"/>
    <mergeCell ref="A812:F812"/>
    <mergeCell ref="A794:E794"/>
    <mergeCell ref="A749:E749"/>
    <mergeCell ref="A761:F761"/>
    <mergeCell ref="A804:E804"/>
    <mergeCell ref="A805:B805"/>
    <mergeCell ref="A799:E799"/>
    <mergeCell ref="M492:M496"/>
    <mergeCell ref="N491:N497"/>
    <mergeCell ref="A48:E48"/>
    <mergeCell ref="A57:F57"/>
    <mergeCell ref="A70:E70"/>
    <mergeCell ref="A80:F80"/>
    <mergeCell ref="A82:E82"/>
    <mergeCell ref="A92:F92"/>
    <mergeCell ref="A106:E106"/>
    <mergeCell ref="A68:F68"/>
    <mergeCell ref="A59:E59"/>
    <mergeCell ref="A117:E117"/>
    <mergeCell ref="A126:F126"/>
    <mergeCell ref="A94:E94"/>
    <mergeCell ref="A104:F104"/>
    <mergeCell ref="A235:F235"/>
    <mergeCell ref="A243:F243"/>
    <mergeCell ref="A488:F488"/>
    <mergeCell ref="A436:E436"/>
    <mergeCell ref="A706:B706"/>
    <mergeCell ref="A713:F713"/>
    <mergeCell ref="A708:F708"/>
    <mergeCell ref="C699:D699"/>
  </mergeCells>
  <pageMargins left="0.98425196850393704" right="0.39370078740157483" top="0.39370078740157483" bottom="0.39370078740157483" header="0" footer="0"/>
  <pageSetup paperSize="9" scale="48" orientation="portrait" r:id="rId1"/>
  <rowBreaks count="3" manualBreakCount="3">
    <brk id="34" max="8" man="1"/>
    <brk id="105" max="8" man="1"/>
    <brk id="611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9">
    <outlinePr summaryBelow="0"/>
  </sheetPr>
  <dimension ref="A2:X85"/>
  <sheetViews>
    <sheetView tabSelected="1" view="pageBreakPreview" zoomScale="80" zoomScaleSheetLayoutView="80" workbookViewId="0">
      <selection activeCell="E71" sqref="E71"/>
    </sheetView>
  </sheetViews>
  <sheetFormatPr defaultColWidth="9.140625" defaultRowHeight="15"/>
  <cols>
    <col min="1" max="1" width="6.7109375" style="2" customWidth="1"/>
    <col min="2" max="2" width="36.140625" style="2" customWidth="1"/>
    <col min="3" max="3" width="13.5703125" style="2" bestFit="1" customWidth="1"/>
    <col min="4" max="4" width="13.140625" style="2" customWidth="1"/>
    <col min="5" max="5" width="12.5703125" style="2" customWidth="1"/>
    <col min="6" max="6" width="14.140625" style="2" customWidth="1"/>
    <col min="7" max="7" width="12.85546875" style="2" bestFit="1" customWidth="1"/>
    <col min="8" max="8" width="12.5703125" style="2" bestFit="1" customWidth="1"/>
    <col min="9" max="9" width="13.28515625" style="2" customWidth="1"/>
    <col min="10" max="10" width="14" style="2" customWidth="1"/>
    <col min="11" max="12" width="14.42578125" style="2" customWidth="1"/>
    <col min="13" max="13" width="14" style="2" customWidth="1"/>
    <col min="14" max="14" width="13.42578125" style="2" customWidth="1"/>
    <col min="15" max="15" width="13.28515625" style="2" bestFit="1" customWidth="1"/>
    <col min="16" max="16" width="15.28515625" style="2" bestFit="1" customWidth="1"/>
    <col min="17" max="17" width="14.7109375" style="2" hidden="1" customWidth="1"/>
    <col min="18" max="18" width="12.7109375" style="2" hidden="1" customWidth="1"/>
    <col min="19" max="19" width="0" style="2" hidden="1" customWidth="1"/>
    <col min="20" max="20" width="9.140625" style="2"/>
    <col min="21" max="21" width="13.5703125" style="2" bestFit="1" customWidth="1"/>
    <col min="22" max="22" width="9.140625" style="2"/>
    <col min="23" max="23" width="17.140625" style="2" customWidth="1"/>
    <col min="24" max="24" width="48.140625" style="2" bestFit="1" customWidth="1"/>
    <col min="25" max="16384" width="9.140625" style="2"/>
  </cols>
  <sheetData>
    <row r="2" spans="1:16">
      <c r="B2" s="234" t="s">
        <v>3456</v>
      </c>
    </row>
    <row r="3" spans="1:16" ht="19.5" customHeight="1">
      <c r="B3" s="234" t="s">
        <v>3457</v>
      </c>
    </row>
    <row r="4" spans="1:16">
      <c r="B4" s="234" t="s">
        <v>3458</v>
      </c>
    </row>
    <row r="5" spans="1:16" ht="29.25">
      <c r="B5" s="234" t="s">
        <v>3459</v>
      </c>
    </row>
    <row r="6" spans="1:16" ht="29.25">
      <c r="B6" s="234" t="s">
        <v>3460</v>
      </c>
    </row>
    <row r="7" spans="1:16">
      <c r="B7" s="902" t="s">
        <v>3470</v>
      </c>
      <c r="C7" s="902"/>
      <c r="D7" s="902"/>
    </row>
    <row r="8" spans="1:16" ht="27.75" customHeight="1">
      <c r="B8" s="902"/>
      <c r="C8" s="902"/>
      <c r="D8" s="902"/>
    </row>
    <row r="9" spans="1:16">
      <c r="B9" s="1057" t="s">
        <v>3480</v>
      </c>
      <c r="C9" s="1057"/>
      <c r="D9" s="1057"/>
    </row>
    <row r="10" spans="1:16">
      <c r="D10" s="1056" t="s">
        <v>3461</v>
      </c>
      <c r="E10" s="1056"/>
      <c r="F10" s="1056"/>
      <c r="G10" s="1056"/>
      <c r="H10" s="1056"/>
      <c r="I10" s="1056"/>
    </row>
    <row r="12" spans="1:16" ht="49.9" customHeight="1">
      <c r="A12" s="1033" t="s">
        <v>4105</v>
      </c>
      <c r="B12" s="1034"/>
      <c r="C12" s="1034"/>
      <c r="D12" s="1034"/>
      <c r="E12" s="1034"/>
      <c r="F12" s="1034"/>
      <c r="G12" s="1034"/>
      <c r="H12" s="1034"/>
      <c r="I12" s="1034"/>
      <c r="J12" s="1034"/>
      <c r="K12" s="1035"/>
      <c r="L12" s="1035"/>
      <c r="M12" s="1035"/>
      <c r="N12" s="1035"/>
      <c r="O12" s="1035"/>
      <c r="P12" s="1036"/>
    </row>
    <row r="13" spans="1:16">
      <c r="A13" s="1037" t="s">
        <v>1829</v>
      </c>
      <c r="B13" s="1038"/>
      <c r="C13" s="1041" t="s">
        <v>2969</v>
      </c>
      <c r="D13" s="1042"/>
      <c r="E13" s="1042"/>
      <c r="F13" s="1042"/>
      <c r="G13" s="1042"/>
      <c r="H13" s="1042"/>
      <c r="I13" s="1042"/>
      <c r="J13" s="1043"/>
      <c r="K13" s="1047"/>
      <c r="L13" s="1048"/>
      <c r="M13" s="1048"/>
      <c r="N13" s="1048"/>
      <c r="O13" s="1048"/>
      <c r="P13" s="1049"/>
    </row>
    <row r="14" spans="1:16">
      <c r="A14" s="1039"/>
      <c r="B14" s="1040"/>
      <c r="C14" s="1044"/>
      <c r="D14" s="1045"/>
      <c r="E14" s="1045"/>
      <c r="F14" s="1045"/>
      <c r="G14" s="1045"/>
      <c r="H14" s="1045"/>
      <c r="I14" s="1045"/>
      <c r="J14" s="1046"/>
      <c r="K14" s="1050"/>
      <c r="L14" s="1051"/>
      <c r="M14" s="1051"/>
      <c r="N14" s="1051"/>
      <c r="O14" s="1051"/>
      <c r="P14" s="1052"/>
    </row>
    <row r="15" spans="1:16">
      <c r="A15" s="1039" t="s">
        <v>1830</v>
      </c>
      <c r="B15" s="1040"/>
      <c r="C15" s="1044" t="s">
        <v>3021</v>
      </c>
      <c r="D15" s="1045"/>
      <c r="E15" s="1045"/>
      <c r="F15" s="1045"/>
      <c r="G15" s="1045"/>
      <c r="H15" s="1045"/>
      <c r="I15" s="1045"/>
      <c r="J15" s="1046"/>
      <c r="K15" s="1050"/>
      <c r="L15" s="1051"/>
      <c r="M15" s="1051"/>
      <c r="N15" s="1051"/>
      <c r="O15" s="1051"/>
      <c r="P15" s="1052"/>
    </row>
    <row r="16" spans="1:16">
      <c r="A16" s="1039"/>
      <c r="B16" s="1040"/>
      <c r="C16" s="1044"/>
      <c r="D16" s="1045"/>
      <c r="E16" s="1045"/>
      <c r="F16" s="1045"/>
      <c r="G16" s="1045"/>
      <c r="H16" s="1045"/>
      <c r="I16" s="1045"/>
      <c r="J16" s="1046"/>
      <c r="K16" s="1053"/>
      <c r="L16" s="1054"/>
      <c r="M16" s="1054"/>
      <c r="N16" s="1054"/>
      <c r="O16" s="1054"/>
      <c r="P16" s="1055"/>
    </row>
    <row r="17" spans="1:24" ht="4.9000000000000004" customHeight="1"/>
    <row r="18" spans="1:24" ht="30">
      <c r="A18" s="10" t="s">
        <v>0</v>
      </c>
      <c r="B18" s="10" t="s">
        <v>2</v>
      </c>
      <c r="C18" s="10" t="s">
        <v>635</v>
      </c>
      <c r="D18" s="10" t="s">
        <v>636</v>
      </c>
      <c r="E18" s="10" t="s">
        <v>637</v>
      </c>
      <c r="F18" s="10" t="s">
        <v>638</v>
      </c>
      <c r="G18" s="10" t="s">
        <v>639</v>
      </c>
      <c r="H18" s="10" t="s">
        <v>640</v>
      </c>
      <c r="I18" s="10" t="s">
        <v>641</v>
      </c>
      <c r="J18" s="10" t="s">
        <v>642</v>
      </c>
      <c r="K18" s="10" t="s">
        <v>643</v>
      </c>
      <c r="L18" s="10" t="s">
        <v>644</v>
      </c>
      <c r="M18" s="10" t="s">
        <v>645</v>
      </c>
      <c r="N18" s="10" t="s">
        <v>646</v>
      </c>
      <c r="O18" s="10" t="s">
        <v>647</v>
      </c>
      <c r="P18" s="10" t="s">
        <v>648</v>
      </c>
      <c r="U18" s="889" t="s">
        <v>4127</v>
      </c>
      <c r="W18" s="467" t="s">
        <v>4128</v>
      </c>
    </row>
    <row r="19" spans="1:24">
      <c r="A19" s="1023" t="s">
        <v>1495</v>
      </c>
      <c r="B19" s="1025" t="s">
        <v>10</v>
      </c>
      <c r="C19" s="1027">
        <f>'PLANILHA ORÇA - CORREGEDORIA'!BF22+'PLANILHA ORÇA - CORREGEDORIA'!BC22</f>
        <v>557142.78</v>
      </c>
      <c r="D19" s="5">
        <v>13</v>
      </c>
      <c r="E19" s="5">
        <v>8</v>
      </c>
      <c r="F19" s="5">
        <v>8</v>
      </c>
      <c r="G19" s="5">
        <v>8</v>
      </c>
      <c r="H19" s="5">
        <v>8</v>
      </c>
      <c r="I19" s="5">
        <v>8</v>
      </c>
      <c r="J19" s="5">
        <v>8</v>
      </c>
      <c r="K19" s="5">
        <v>8</v>
      </c>
      <c r="L19" s="5">
        <v>8</v>
      </c>
      <c r="M19" s="5">
        <v>8</v>
      </c>
      <c r="N19" s="5">
        <v>8</v>
      </c>
      <c r="O19" s="5">
        <v>7</v>
      </c>
      <c r="P19" s="6">
        <f>SUM(D19:O19)</f>
        <v>100</v>
      </c>
      <c r="W19" s="40">
        <f>W20/U20</f>
        <v>7.3360182423697962E-2</v>
      </c>
    </row>
    <row r="20" spans="1:24">
      <c r="A20" s="1024"/>
      <c r="B20" s="1026"/>
      <c r="C20" s="1028"/>
      <c r="D20" s="7">
        <f>$C19*D19/100</f>
        <v>72428.561400000006</v>
      </c>
      <c r="E20" s="19">
        <f t="shared" ref="E20:O20" si="0">$C19*E19/100</f>
        <v>44571.422400000003</v>
      </c>
      <c r="F20" s="19">
        <f t="shared" si="0"/>
        <v>44571.422400000003</v>
      </c>
      <c r="G20" s="19">
        <f t="shared" si="0"/>
        <v>44571.422400000003</v>
      </c>
      <c r="H20" s="19">
        <f t="shared" si="0"/>
        <v>44571.422400000003</v>
      </c>
      <c r="I20" s="19">
        <f t="shared" si="0"/>
        <v>44571.422400000003</v>
      </c>
      <c r="J20" s="19">
        <f t="shared" si="0"/>
        <v>44571.422400000003</v>
      </c>
      <c r="K20" s="19">
        <f t="shared" si="0"/>
        <v>44571.422400000003</v>
      </c>
      <c r="L20" s="19">
        <f t="shared" si="0"/>
        <v>44571.422400000003</v>
      </c>
      <c r="M20" s="19">
        <f t="shared" si="0"/>
        <v>44571.422400000003</v>
      </c>
      <c r="N20" s="19">
        <f t="shared" si="0"/>
        <v>44571.422400000003</v>
      </c>
      <c r="O20" s="19">
        <f t="shared" si="0"/>
        <v>38999.994599999998</v>
      </c>
      <c r="P20" s="6">
        <f t="shared" ref="P20:P60" si="1">SUM(D20:O20)</f>
        <v>557142.77999999991</v>
      </c>
      <c r="Q20" s="8">
        <v>558577.59</v>
      </c>
      <c r="R20" s="2">
        <f>P20-Q20</f>
        <v>-1434.8100000000559</v>
      </c>
      <c r="S20" s="2">
        <f>P20-C19</f>
        <v>0</v>
      </c>
      <c r="U20" s="2">
        <v>519064.14</v>
      </c>
      <c r="W20" s="388">
        <f>P20-U20</f>
        <v>38078.639999999898</v>
      </c>
      <c r="X20" s="2" t="str">
        <f>B19</f>
        <v>ADMINISTRAÇÃO LOCAL</v>
      </c>
    </row>
    <row r="21" spans="1:24">
      <c r="A21" s="1023" t="s">
        <v>1496</v>
      </c>
      <c r="B21" s="1025" t="s">
        <v>23</v>
      </c>
      <c r="C21" s="1027">
        <f>'PLANILHA ORÇA - CORREGEDORIA'!BF34+'PLANILHA ORÇA - CORREGEDORIA'!BC34</f>
        <v>266860.89</v>
      </c>
      <c r="D21" s="5">
        <v>50</v>
      </c>
      <c r="E21" s="5">
        <v>50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6">
        <f t="shared" si="1"/>
        <v>100</v>
      </c>
      <c r="Q21" s="6">
        <v>100</v>
      </c>
      <c r="R21" s="2">
        <f t="shared" ref="R21:R61" si="2">P21-Q21</f>
        <v>0</v>
      </c>
      <c r="W21" s="40">
        <f>W22/U22</f>
        <v>0</v>
      </c>
    </row>
    <row r="22" spans="1:24">
      <c r="A22" s="1024"/>
      <c r="B22" s="1026"/>
      <c r="C22" s="1028"/>
      <c r="D22" s="19">
        <f t="shared" ref="D22:E22" si="3">$C21*D21/100</f>
        <v>133430.44500000001</v>
      </c>
      <c r="E22" s="19">
        <f t="shared" si="3"/>
        <v>133430.44500000001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6">
        <f t="shared" si="1"/>
        <v>266860.89</v>
      </c>
      <c r="Q22" s="8">
        <v>208823.6</v>
      </c>
      <c r="R22" s="2">
        <f t="shared" si="2"/>
        <v>58037.290000000008</v>
      </c>
      <c r="S22" s="2">
        <f>P22-C21</f>
        <v>0</v>
      </c>
      <c r="U22" s="2">
        <v>266860.89</v>
      </c>
      <c r="W22" s="388">
        <f>P22-U22</f>
        <v>0</v>
      </c>
      <c r="X22" s="2" t="str">
        <f t="shared" ref="X22:X60" si="4">B21</f>
        <v>INSTALAÇÃO DO CANTEIRO</v>
      </c>
    </row>
    <row r="23" spans="1:24">
      <c r="A23" s="1023" t="s">
        <v>1497</v>
      </c>
      <c r="B23" s="1025" t="s">
        <v>30</v>
      </c>
      <c r="C23" s="1027">
        <f>'PLANILHA ORÇA - CORREGEDORIA'!BF49+'PLANILHA ORÇA - EJUD'!AK19+'PLANILHA ORÇA - CORREGEDORIA'!BC49+'PLANILHA ORÇA - EJUD'!AH19</f>
        <v>78259.42</v>
      </c>
      <c r="D23" s="5">
        <v>20</v>
      </c>
      <c r="E23" s="5">
        <v>30</v>
      </c>
      <c r="F23" s="5">
        <v>50</v>
      </c>
      <c r="G23" s="11"/>
      <c r="H23" s="12"/>
      <c r="I23" s="11"/>
      <c r="J23" s="11"/>
      <c r="K23" s="11"/>
      <c r="L23" s="11"/>
      <c r="M23" s="11"/>
      <c r="N23" s="11"/>
      <c r="O23" s="11"/>
      <c r="P23" s="6">
        <f t="shared" si="1"/>
        <v>100</v>
      </c>
      <c r="Q23" s="6">
        <v>100</v>
      </c>
      <c r="R23" s="2">
        <f t="shared" si="2"/>
        <v>0</v>
      </c>
      <c r="W23" s="40">
        <f>W24/U24</f>
        <v>0</v>
      </c>
    </row>
    <row r="24" spans="1:24">
      <c r="A24" s="1024"/>
      <c r="B24" s="1026"/>
      <c r="C24" s="1028"/>
      <c r="D24" s="19">
        <f t="shared" ref="D24:F24" si="5">$C23*D23/100</f>
        <v>15651.883999999998</v>
      </c>
      <c r="E24" s="19">
        <f t="shared" si="5"/>
        <v>23477.826000000001</v>
      </c>
      <c r="F24" s="19">
        <f t="shared" si="5"/>
        <v>39129.71</v>
      </c>
      <c r="G24" s="13"/>
      <c r="H24" s="14"/>
      <c r="I24" s="13"/>
      <c r="J24" s="13"/>
      <c r="K24" s="13"/>
      <c r="L24" s="13"/>
      <c r="M24" s="13"/>
      <c r="N24" s="13"/>
      <c r="O24" s="13"/>
      <c r="P24" s="6">
        <f t="shared" si="1"/>
        <v>78259.42</v>
      </c>
      <c r="Q24" s="8">
        <v>41822.129999999997</v>
      </c>
      <c r="R24" s="2">
        <f t="shared" si="2"/>
        <v>36437.29</v>
      </c>
      <c r="S24" s="2">
        <f>P24-C23</f>
        <v>0</v>
      </c>
      <c r="U24" s="2">
        <v>78259.42</v>
      </c>
      <c r="W24" s="388">
        <f>P24-U24</f>
        <v>0</v>
      </c>
      <c r="X24" s="2" t="str">
        <f t="shared" si="4"/>
        <v>MOVIMENTO DE TERRA</v>
      </c>
    </row>
    <row r="25" spans="1:24">
      <c r="A25" s="1023" t="s">
        <v>1498</v>
      </c>
      <c r="B25" s="1025" t="s">
        <v>40</v>
      </c>
      <c r="C25" s="1027">
        <f>'PLANILHA ORÇA - CORREGEDORIA'!BF61+'PLANILHA ORÇA - EJUD'!AK31+'PLANILHA ORÇA - CORREGEDORIA'!BC61+'PLANILHA ORÇA - EJUD'!AH31</f>
        <v>832266.93</v>
      </c>
      <c r="D25" s="5">
        <v>10</v>
      </c>
      <c r="E25" s="5">
        <v>20</v>
      </c>
      <c r="F25" s="5">
        <v>70</v>
      </c>
      <c r="G25" s="155"/>
      <c r="H25" s="155"/>
      <c r="I25" s="11"/>
      <c r="J25" s="11"/>
      <c r="K25" s="11"/>
      <c r="L25" s="11"/>
      <c r="M25" s="11"/>
      <c r="N25" s="11"/>
      <c r="O25" s="11"/>
      <c r="P25" s="6">
        <f t="shared" si="1"/>
        <v>100</v>
      </c>
      <c r="Q25" s="6">
        <v>100</v>
      </c>
      <c r="R25" s="2">
        <f t="shared" si="2"/>
        <v>0</v>
      </c>
      <c r="W25" s="40">
        <f>W26/U26</f>
        <v>0.18589207135458266</v>
      </c>
    </row>
    <row r="26" spans="1:24">
      <c r="A26" s="1024"/>
      <c r="B26" s="1026"/>
      <c r="C26" s="1028"/>
      <c r="D26" s="19">
        <f t="shared" ref="D26:F26" si="6">$C25*D25/100</f>
        <v>83226.693000000014</v>
      </c>
      <c r="E26" s="19">
        <f t="shared" si="6"/>
        <v>166453.38600000003</v>
      </c>
      <c r="F26" s="19">
        <f t="shared" si="6"/>
        <v>582586.85100000002</v>
      </c>
      <c r="G26" s="159"/>
      <c r="H26" s="159"/>
      <c r="I26" s="13"/>
      <c r="J26" s="13"/>
      <c r="K26" s="13"/>
      <c r="L26" s="13"/>
      <c r="M26" s="13"/>
      <c r="N26" s="13"/>
      <c r="O26" s="13"/>
      <c r="P26" s="6">
        <f t="shared" si="1"/>
        <v>832266.93</v>
      </c>
      <c r="Q26" s="8">
        <v>514536.39</v>
      </c>
      <c r="R26" s="2">
        <f t="shared" si="2"/>
        <v>317730.54000000004</v>
      </c>
      <c r="S26" s="2">
        <f>P26-C25</f>
        <v>0</v>
      </c>
      <c r="U26" s="2">
        <v>701806.64000000013</v>
      </c>
      <c r="W26" s="388">
        <f>P26-U26</f>
        <v>130460.28999999992</v>
      </c>
      <c r="X26" s="2" t="str">
        <f t="shared" si="4"/>
        <v>INFRAESTRUTURA</v>
      </c>
    </row>
    <row r="27" spans="1:24">
      <c r="A27" s="1023" t="s">
        <v>1499</v>
      </c>
      <c r="B27" s="1025" t="s">
        <v>51</v>
      </c>
      <c r="C27" s="1027">
        <f>'PLANILHA ORÇA - CORREGEDORIA'!BF97+'PLANILHA ORÇA - EJUD'!AK63+'PLANILHA ORÇA - EJUD'!AH63+'PLANILHA ORÇA - CORREGEDORIA'!BC97</f>
        <v>804307.91999999993</v>
      </c>
      <c r="D27" s="11"/>
      <c r="E27" s="11"/>
      <c r="F27" s="5">
        <v>10</v>
      </c>
      <c r="G27" s="5">
        <v>40</v>
      </c>
      <c r="H27" s="5">
        <v>30</v>
      </c>
      <c r="I27" s="5">
        <v>20</v>
      </c>
      <c r="J27" s="11"/>
      <c r="K27" s="11"/>
      <c r="L27" s="11"/>
      <c r="M27" s="11"/>
      <c r="N27" s="11"/>
      <c r="O27" s="11"/>
      <c r="P27" s="6">
        <f t="shared" si="1"/>
        <v>100</v>
      </c>
      <c r="Q27" s="6">
        <v>100</v>
      </c>
      <c r="R27" s="2">
        <f t="shared" si="2"/>
        <v>0</v>
      </c>
      <c r="W27" s="40">
        <f>W28/U28</f>
        <v>0.22676458235117247</v>
      </c>
    </row>
    <row r="28" spans="1:24">
      <c r="A28" s="1024"/>
      <c r="B28" s="1026"/>
      <c r="C28" s="1028"/>
      <c r="D28" s="13"/>
      <c r="E28" s="13"/>
      <c r="F28" s="19">
        <f t="shared" ref="F28:I28" si="7">$C27*F27/100</f>
        <v>80430.791999999987</v>
      </c>
      <c r="G28" s="19">
        <f t="shared" si="7"/>
        <v>321723.16799999995</v>
      </c>
      <c r="H28" s="19">
        <f t="shared" si="7"/>
        <v>241292.37599999999</v>
      </c>
      <c r="I28" s="19">
        <f t="shared" si="7"/>
        <v>160861.58399999997</v>
      </c>
      <c r="J28" s="13"/>
      <c r="K28" s="13"/>
      <c r="L28" s="13"/>
      <c r="M28" s="13"/>
      <c r="N28" s="13"/>
      <c r="O28" s="13"/>
      <c r="P28" s="6">
        <f t="shared" si="1"/>
        <v>804307.91999999993</v>
      </c>
      <c r="Q28" s="8">
        <v>310093.03000000003</v>
      </c>
      <c r="R28" s="2">
        <f t="shared" si="2"/>
        <v>494214.8899999999</v>
      </c>
      <c r="S28" s="2">
        <f>P28-C27</f>
        <v>0</v>
      </c>
      <c r="U28" s="2">
        <v>655633.47</v>
      </c>
      <c r="W28" s="388">
        <f>P28-U28</f>
        <v>148674.44999999995</v>
      </c>
      <c r="X28" s="2" t="str">
        <f t="shared" si="4"/>
        <v>PAREDES E PAINÉIS</v>
      </c>
    </row>
    <row r="29" spans="1:24">
      <c r="A29" s="1023" t="s">
        <v>1500</v>
      </c>
      <c r="B29" s="1025" t="s">
        <v>56</v>
      </c>
      <c r="C29" s="1027">
        <f>'PLANILHA ORÇA - CORREGEDORIA'!BF112+'PLANILHA ORÇA - EJUD'!AK79+'PLANILHA ORÇA - CORREGEDORIA'!BC112+'PLANILHA ORÇA - EJUD'!AH79</f>
        <v>2454179.8399999999</v>
      </c>
      <c r="D29" s="11"/>
      <c r="E29" s="5">
        <v>10</v>
      </c>
      <c r="F29" s="5">
        <v>20</v>
      </c>
      <c r="G29" s="5">
        <v>30</v>
      </c>
      <c r="H29" s="5">
        <v>30</v>
      </c>
      <c r="I29" s="5">
        <v>10</v>
      </c>
      <c r="J29" s="11"/>
      <c r="K29" s="11"/>
      <c r="L29" s="11"/>
      <c r="M29" s="11"/>
      <c r="N29" s="11"/>
      <c r="O29" s="11"/>
      <c r="P29" s="6">
        <f t="shared" si="1"/>
        <v>100</v>
      </c>
      <c r="Q29" s="6">
        <v>100</v>
      </c>
      <c r="R29" s="2">
        <f t="shared" si="2"/>
        <v>0</v>
      </c>
      <c r="W29" s="40">
        <f>W30/U30</f>
        <v>0.24045168096735939</v>
      </c>
    </row>
    <row r="30" spans="1:24">
      <c r="A30" s="1024"/>
      <c r="B30" s="1026"/>
      <c r="C30" s="1028"/>
      <c r="D30" s="13"/>
      <c r="E30" s="19">
        <f t="shared" ref="E30:H30" si="8">$C29*E29/100</f>
        <v>245417.984</v>
      </c>
      <c r="F30" s="19">
        <f t="shared" si="8"/>
        <v>490835.96799999999</v>
      </c>
      <c r="G30" s="19">
        <f t="shared" si="8"/>
        <v>736253.95199999993</v>
      </c>
      <c r="H30" s="19">
        <f t="shared" si="8"/>
        <v>736253.95199999993</v>
      </c>
      <c r="I30" s="802">
        <f t="shared" ref="I30" si="9">$C29*I29/100</f>
        <v>245417.984</v>
      </c>
      <c r="J30" s="13"/>
      <c r="K30" s="13"/>
      <c r="L30" s="13"/>
      <c r="M30" s="13"/>
      <c r="N30" s="13"/>
      <c r="O30" s="13"/>
      <c r="P30" s="6">
        <f t="shared" si="1"/>
        <v>2454179.8400000003</v>
      </c>
      <c r="Q30" s="8">
        <v>1497432.78</v>
      </c>
      <c r="R30" s="2">
        <f t="shared" si="2"/>
        <v>956747.06000000029</v>
      </c>
      <c r="S30" s="2">
        <f>P30-C29</f>
        <v>0</v>
      </c>
      <c r="U30" s="2">
        <v>1978456.62</v>
      </c>
      <c r="W30" s="388">
        <f>P30-U30</f>
        <v>475723.2200000002</v>
      </c>
      <c r="X30" s="2" t="str">
        <f t="shared" si="4"/>
        <v>SUPERESTRUTURA</v>
      </c>
    </row>
    <row r="31" spans="1:24">
      <c r="A31" s="1023" t="s">
        <v>1501</v>
      </c>
      <c r="B31" s="1025" t="s">
        <v>71</v>
      </c>
      <c r="C31" s="1027">
        <f>'PLANILHA ORÇA - CORREGEDORIA'!BF171+'PLANILHA ORÇA - EJUD'!AK134</f>
        <v>132176.76</v>
      </c>
      <c r="D31" s="11"/>
      <c r="E31" s="11"/>
      <c r="F31" s="11"/>
      <c r="G31" s="155"/>
      <c r="H31" s="155"/>
      <c r="I31" s="155"/>
      <c r="J31" s="5">
        <v>30</v>
      </c>
      <c r="K31" s="5">
        <v>40</v>
      </c>
      <c r="L31" s="5">
        <v>10</v>
      </c>
      <c r="M31" s="5">
        <v>10</v>
      </c>
      <c r="N31" s="5">
        <v>10</v>
      </c>
      <c r="O31" s="11"/>
      <c r="P31" s="6">
        <f t="shared" si="1"/>
        <v>100</v>
      </c>
      <c r="Q31" s="6">
        <v>100</v>
      </c>
      <c r="R31" s="2">
        <f t="shared" si="2"/>
        <v>0</v>
      </c>
      <c r="W31" s="40">
        <f>W32/U32</f>
        <v>5.6345312067063447E-2</v>
      </c>
    </row>
    <row r="32" spans="1:24">
      <c r="A32" s="1024"/>
      <c r="B32" s="1026"/>
      <c r="C32" s="1028"/>
      <c r="D32" s="13"/>
      <c r="E32" s="13"/>
      <c r="F32" s="13"/>
      <c r="G32" s="159"/>
      <c r="H32" s="159"/>
      <c r="I32" s="159"/>
      <c r="J32" s="19">
        <f t="shared" ref="J32:K32" si="10">$C31*J31/100</f>
        <v>39653.028000000006</v>
      </c>
      <c r="K32" s="19">
        <f t="shared" si="10"/>
        <v>52870.704000000005</v>
      </c>
      <c r="L32" s="802">
        <f t="shared" ref="L32:N32" si="11">$C31*L31/100</f>
        <v>13217.676000000001</v>
      </c>
      <c r="M32" s="802">
        <f t="shared" si="11"/>
        <v>13217.676000000001</v>
      </c>
      <c r="N32" s="802">
        <f t="shared" si="11"/>
        <v>13217.676000000001</v>
      </c>
      <c r="O32" s="13"/>
      <c r="P32" s="6">
        <f t="shared" si="1"/>
        <v>132176.76000000004</v>
      </c>
      <c r="Q32" s="8">
        <v>111219.14</v>
      </c>
      <c r="R32" s="2">
        <f t="shared" si="2"/>
        <v>20957.620000000039</v>
      </c>
      <c r="S32" s="2">
        <f>P32-C31</f>
        <v>0</v>
      </c>
      <c r="U32" s="2">
        <v>125126.46999999999</v>
      </c>
      <c r="W32" s="388">
        <f>P32-U32</f>
        <v>7050.2900000000518</v>
      </c>
      <c r="X32" s="2" t="str">
        <f t="shared" si="4"/>
        <v>ESQUADRIAS DE MADEIRA</v>
      </c>
    </row>
    <row r="33" spans="1:24">
      <c r="A33" s="1023" t="s">
        <v>1502</v>
      </c>
      <c r="B33" s="1025" t="s">
        <v>74</v>
      </c>
      <c r="C33" s="1027">
        <f>'PLANILHA ORÇA - CORREGEDORIA'!BF175+'PLANILHA ORÇA - EJUD'!AK139</f>
        <v>478658.47</v>
      </c>
      <c r="D33" s="11"/>
      <c r="E33" s="11"/>
      <c r="F33" s="11"/>
      <c r="G33" s="155"/>
      <c r="H33" s="155"/>
      <c r="I33" s="5">
        <v>15</v>
      </c>
      <c r="J33" s="5">
        <v>15</v>
      </c>
      <c r="K33" s="5">
        <v>20</v>
      </c>
      <c r="L33" s="5">
        <v>20</v>
      </c>
      <c r="M33" s="5">
        <v>20</v>
      </c>
      <c r="N33" s="5">
        <v>10</v>
      </c>
      <c r="O33" s="11"/>
      <c r="P33" s="6">
        <f t="shared" si="1"/>
        <v>100</v>
      </c>
      <c r="Q33" s="6">
        <v>100</v>
      </c>
      <c r="R33" s="2">
        <f t="shared" si="2"/>
        <v>0</v>
      </c>
      <c r="W33" s="40">
        <f>W34/U34</f>
        <v>1.5575923375216232</v>
      </c>
    </row>
    <row r="34" spans="1:24">
      <c r="A34" s="1024"/>
      <c r="B34" s="1026"/>
      <c r="C34" s="1028"/>
      <c r="D34" s="13"/>
      <c r="E34" s="13"/>
      <c r="F34" s="13"/>
      <c r="G34" s="159"/>
      <c r="H34" s="159"/>
      <c r="I34" s="19">
        <f t="shared" ref="I34:K34" si="12">$C33*I33/100</f>
        <v>71798.770499999999</v>
      </c>
      <c r="J34" s="19">
        <f t="shared" si="12"/>
        <v>71798.770499999999</v>
      </c>
      <c r="K34" s="19">
        <f t="shared" si="12"/>
        <v>95731.693999999989</v>
      </c>
      <c r="L34" s="802">
        <f t="shared" ref="L34:M34" si="13">$C33*L33/100</f>
        <v>95731.693999999989</v>
      </c>
      <c r="M34" s="802">
        <f t="shared" si="13"/>
        <v>95731.693999999989</v>
      </c>
      <c r="N34" s="802">
        <f t="shared" ref="N34" si="14">$C33*N33/100</f>
        <v>47865.846999999994</v>
      </c>
      <c r="O34" s="13"/>
      <c r="P34" s="6">
        <f t="shared" si="1"/>
        <v>478658.47000000003</v>
      </c>
      <c r="Q34" s="8">
        <v>204560.16</v>
      </c>
      <c r="R34" s="2">
        <f t="shared" si="2"/>
        <v>274098.31000000006</v>
      </c>
      <c r="S34" s="2">
        <f>P34-C33</f>
        <v>0</v>
      </c>
      <c r="U34" s="2">
        <v>187151.97999999998</v>
      </c>
      <c r="W34" s="388">
        <f>P34-U34</f>
        <v>291506.49000000005</v>
      </c>
      <c r="X34" s="2" t="str">
        <f t="shared" si="4"/>
        <v>ESQUADRIAS METÁLICAS</v>
      </c>
    </row>
    <row r="35" spans="1:24">
      <c r="A35" s="1023" t="s">
        <v>1503</v>
      </c>
      <c r="B35" s="1025" t="s">
        <v>84</v>
      </c>
      <c r="C35" s="1027">
        <f>'PLANILHA ORÇA - CORREGEDORIA'!BF188+'PLANILHA ORÇA - EJUD'!AK149</f>
        <v>1388034.49</v>
      </c>
      <c r="D35" s="11"/>
      <c r="E35" s="11"/>
      <c r="F35" s="11"/>
      <c r="G35" s="11"/>
      <c r="H35" s="5"/>
      <c r="I35" s="5">
        <v>5</v>
      </c>
      <c r="J35" s="5">
        <v>15</v>
      </c>
      <c r="K35" s="5">
        <v>15</v>
      </c>
      <c r="L35" s="5">
        <v>30</v>
      </c>
      <c r="M35" s="5">
        <v>15</v>
      </c>
      <c r="N35" s="5">
        <v>10</v>
      </c>
      <c r="O35" s="5">
        <v>10</v>
      </c>
      <c r="P35" s="6">
        <f t="shared" si="1"/>
        <v>100</v>
      </c>
      <c r="Q35" s="6">
        <v>100</v>
      </c>
      <c r="R35" s="2">
        <f t="shared" si="2"/>
        <v>0</v>
      </c>
      <c r="W35" s="40">
        <f>W36/U36</f>
        <v>1.1598707327702222</v>
      </c>
    </row>
    <row r="36" spans="1:24">
      <c r="A36" s="1024"/>
      <c r="B36" s="1026"/>
      <c r="C36" s="1028"/>
      <c r="D36" s="13"/>
      <c r="E36" s="13"/>
      <c r="F36" s="13"/>
      <c r="G36" s="13"/>
      <c r="H36" s="159"/>
      <c r="I36" s="19">
        <f t="shared" ref="I36:K36" si="15">$C35*I35/100</f>
        <v>69401.724499999997</v>
      </c>
      <c r="J36" s="19">
        <f t="shared" si="15"/>
        <v>208205.1735</v>
      </c>
      <c r="K36" s="19">
        <f t="shared" si="15"/>
        <v>208205.1735</v>
      </c>
      <c r="L36" s="802">
        <f t="shared" ref="L36:O36" si="16">$C35*L35/100</f>
        <v>416410.34700000001</v>
      </c>
      <c r="M36" s="802">
        <f t="shared" si="16"/>
        <v>208205.1735</v>
      </c>
      <c r="N36" s="802">
        <f t="shared" si="16"/>
        <v>138803.44899999999</v>
      </c>
      <c r="O36" s="802">
        <f t="shared" si="16"/>
        <v>138803.44899999999</v>
      </c>
      <c r="P36" s="6">
        <f t="shared" si="1"/>
        <v>1388034.49</v>
      </c>
      <c r="Q36" s="8">
        <v>530973.52</v>
      </c>
      <c r="R36" s="2">
        <f t="shared" si="2"/>
        <v>857060.97</v>
      </c>
      <c r="S36" s="2">
        <f>P36-C35</f>
        <v>0</v>
      </c>
      <c r="U36" s="2">
        <v>642647.02000000014</v>
      </c>
      <c r="W36" s="388">
        <f>P36-U36</f>
        <v>745387.46999999986</v>
      </c>
      <c r="X36" s="2" t="str">
        <f t="shared" si="4"/>
        <v>ESQUADRIAS DE VIDRO</v>
      </c>
    </row>
    <row r="37" spans="1:24">
      <c r="A37" s="1023" t="s">
        <v>1504</v>
      </c>
      <c r="B37" s="1025" t="s">
        <v>90</v>
      </c>
      <c r="C37" s="1027">
        <f>'PLANILHA ORÇA - CORREGEDORIA'!BF195+'PLANILHA ORÇA - EJUD'!AK152</f>
        <v>75546.09</v>
      </c>
      <c r="D37" s="11"/>
      <c r="E37" s="11"/>
      <c r="F37" s="11"/>
      <c r="G37" s="11"/>
      <c r="H37" s="12"/>
      <c r="I37" s="11"/>
      <c r="J37" s="5">
        <v>20</v>
      </c>
      <c r="K37" s="5">
        <v>20</v>
      </c>
      <c r="L37" s="5">
        <v>20</v>
      </c>
      <c r="M37" s="5">
        <v>30</v>
      </c>
      <c r="N37" s="5">
        <v>10</v>
      </c>
      <c r="O37" s="11"/>
      <c r="P37" s="6">
        <f t="shared" si="1"/>
        <v>100</v>
      </c>
      <c r="Q37" s="6">
        <v>100</v>
      </c>
      <c r="R37" s="2">
        <f t="shared" si="2"/>
        <v>0</v>
      </c>
      <c r="W37" s="40">
        <f>W38/U38</f>
        <v>0.17128009012269088</v>
      </c>
    </row>
    <row r="38" spans="1:24">
      <c r="A38" s="1024"/>
      <c r="B38" s="1026"/>
      <c r="C38" s="1028"/>
      <c r="D38" s="13"/>
      <c r="E38" s="13"/>
      <c r="F38" s="13"/>
      <c r="G38" s="13"/>
      <c r="H38" s="14"/>
      <c r="I38" s="13"/>
      <c r="J38" s="19">
        <f t="shared" ref="J38:N38" si="17">$C37*J37/100</f>
        <v>15109.217999999999</v>
      </c>
      <c r="K38" s="19">
        <f t="shared" si="17"/>
        <v>15109.217999999999</v>
      </c>
      <c r="L38" s="19">
        <f t="shared" si="17"/>
        <v>15109.217999999999</v>
      </c>
      <c r="M38" s="19">
        <f t="shared" si="17"/>
        <v>22663.826999999997</v>
      </c>
      <c r="N38" s="19">
        <f t="shared" si="17"/>
        <v>7554.6089999999995</v>
      </c>
      <c r="O38" s="13"/>
      <c r="P38" s="6">
        <f t="shared" si="1"/>
        <v>75546.09</v>
      </c>
      <c r="Q38" s="8">
        <v>430754.87</v>
      </c>
      <c r="R38" s="2">
        <f t="shared" si="2"/>
        <v>-355208.78</v>
      </c>
      <c r="S38" s="2">
        <f>P38-C37</f>
        <v>0</v>
      </c>
      <c r="U38" s="2">
        <v>64498.739999999991</v>
      </c>
      <c r="W38" s="388">
        <f>P38-U38</f>
        <v>11047.350000000006</v>
      </c>
      <c r="X38" s="2" t="str">
        <f t="shared" si="4"/>
        <v>VIDROS</v>
      </c>
    </row>
    <row r="39" spans="1:24">
      <c r="A39" s="1023" t="s">
        <v>1505</v>
      </c>
      <c r="B39" s="1025" t="s">
        <v>92</v>
      </c>
      <c r="C39" s="1027">
        <f>'PLANILHA ORÇA - CORREGEDORIA'!BF198+'PLANILHA ORÇA - EJUD'!AK155</f>
        <v>522390.93999999994</v>
      </c>
      <c r="D39" s="11"/>
      <c r="E39" s="11"/>
      <c r="F39" s="11"/>
      <c r="G39" s="11"/>
      <c r="H39" s="5"/>
      <c r="I39" s="5">
        <v>25</v>
      </c>
      <c r="J39" s="5">
        <v>40</v>
      </c>
      <c r="K39" s="5">
        <v>20</v>
      </c>
      <c r="L39" s="5">
        <v>15</v>
      </c>
      <c r="M39" s="11"/>
      <c r="N39" s="11"/>
      <c r="O39" s="11"/>
      <c r="P39" s="6">
        <f t="shared" si="1"/>
        <v>100</v>
      </c>
      <c r="Q39" s="6">
        <v>100</v>
      </c>
      <c r="R39" s="2">
        <f t="shared" si="2"/>
        <v>0</v>
      </c>
      <c r="W39" s="40">
        <f>W40/U40</f>
        <v>0.32696310564539371</v>
      </c>
    </row>
    <row r="40" spans="1:24">
      <c r="A40" s="1024"/>
      <c r="B40" s="1026"/>
      <c r="C40" s="1028"/>
      <c r="D40" s="13"/>
      <c r="E40" s="13"/>
      <c r="F40" s="13"/>
      <c r="G40" s="13"/>
      <c r="H40" s="159"/>
      <c r="I40" s="19">
        <f t="shared" ref="I40:K40" si="18">$C39*I39/100</f>
        <v>130597.73499999999</v>
      </c>
      <c r="J40" s="19">
        <f t="shared" si="18"/>
        <v>208956.37599999999</v>
      </c>
      <c r="K40" s="19">
        <f t="shared" si="18"/>
        <v>104478.18799999999</v>
      </c>
      <c r="L40" s="802">
        <f t="shared" ref="L40" si="19">$C39*L39/100</f>
        <v>78358.641000000003</v>
      </c>
      <c r="M40" s="13"/>
      <c r="N40" s="13"/>
      <c r="O40" s="13"/>
      <c r="P40" s="6">
        <f t="shared" si="1"/>
        <v>522390.94</v>
      </c>
      <c r="Q40" s="8">
        <v>136480.72</v>
      </c>
      <c r="R40" s="2">
        <f t="shared" si="2"/>
        <v>385910.22</v>
      </c>
      <c r="S40" s="2">
        <f>P40-C39</f>
        <v>0</v>
      </c>
      <c r="U40" s="2">
        <v>393674.05</v>
      </c>
      <c r="W40" s="388">
        <f>P40-U40</f>
        <v>128716.89000000001</v>
      </c>
      <c r="X40" s="2" t="str">
        <f t="shared" si="4"/>
        <v>COBERTURAS E PROTEÇÕES</v>
      </c>
    </row>
    <row r="41" spans="1:24">
      <c r="A41" s="1023" t="s">
        <v>1506</v>
      </c>
      <c r="B41" s="1025" t="s">
        <v>96</v>
      </c>
      <c r="C41" s="1027">
        <f>'PLANILHA ORÇA - CORREGEDORIA'!BF206+'PLANILHA ORÇA - EJUD'!AK163</f>
        <v>237873.29</v>
      </c>
      <c r="D41" s="11"/>
      <c r="E41" s="11"/>
      <c r="F41" s="11"/>
      <c r="G41" s="5"/>
      <c r="H41" s="5"/>
      <c r="I41" s="5"/>
      <c r="J41" s="5">
        <v>30</v>
      </c>
      <c r="K41" s="5">
        <v>20</v>
      </c>
      <c r="L41" s="5">
        <v>40</v>
      </c>
      <c r="M41" s="5">
        <v>10</v>
      </c>
      <c r="N41" s="11"/>
      <c r="O41" s="11"/>
      <c r="P41" s="6">
        <f t="shared" si="1"/>
        <v>100</v>
      </c>
      <c r="Q41" s="6">
        <v>100</v>
      </c>
      <c r="R41" s="2">
        <f t="shared" si="2"/>
        <v>0</v>
      </c>
      <c r="W41" s="40">
        <f>W42/U42</f>
        <v>0.23680985773789687</v>
      </c>
    </row>
    <row r="42" spans="1:24">
      <c r="A42" s="1024"/>
      <c r="B42" s="1026"/>
      <c r="C42" s="1028"/>
      <c r="D42" s="13"/>
      <c r="E42" s="13"/>
      <c r="F42" s="13"/>
      <c r="G42" s="159"/>
      <c r="H42" s="159"/>
      <c r="I42" s="159"/>
      <c r="J42" s="19">
        <f t="shared" ref="J42" si="20">$C41*J41/100</f>
        <v>71361.987000000008</v>
      </c>
      <c r="K42" s="802">
        <f t="shared" ref="K42:M42" si="21">$C41*K41/100</f>
        <v>47574.657999999996</v>
      </c>
      <c r="L42" s="802">
        <f t="shared" si="21"/>
        <v>95149.315999999992</v>
      </c>
      <c r="M42" s="802">
        <f t="shared" si="21"/>
        <v>23787.328999999998</v>
      </c>
      <c r="N42" s="13"/>
      <c r="O42" s="13"/>
      <c r="P42" s="6">
        <f t="shared" si="1"/>
        <v>237873.29</v>
      </c>
      <c r="Q42" s="8">
        <v>216857.65</v>
      </c>
      <c r="R42" s="2">
        <f t="shared" si="2"/>
        <v>21015.640000000014</v>
      </c>
      <c r="S42" s="2">
        <f>P42-C41</f>
        <v>0</v>
      </c>
      <c r="U42" s="2">
        <v>192328.1</v>
      </c>
      <c r="W42" s="388">
        <f>P42-U42</f>
        <v>45545.19</v>
      </c>
      <c r="X42" s="2" t="str">
        <f t="shared" si="4"/>
        <v>FORROS</v>
      </c>
    </row>
    <row r="43" spans="1:24">
      <c r="A43" s="1023" t="s">
        <v>1507</v>
      </c>
      <c r="B43" s="1025" t="s">
        <v>98</v>
      </c>
      <c r="C43" s="1027">
        <f>'PLANILHA ORÇA - CORREGEDORIA'!BF209+'PLANILHA ORÇA - EJUD'!AK167</f>
        <v>1006206.73</v>
      </c>
      <c r="D43" s="11"/>
      <c r="E43" s="11"/>
      <c r="F43" s="11"/>
      <c r="G43" s="11"/>
      <c r="H43" s="12"/>
      <c r="I43" s="11"/>
      <c r="J43" s="11"/>
      <c r="K43" s="5">
        <v>35</v>
      </c>
      <c r="L43" s="5">
        <v>40</v>
      </c>
      <c r="M43" s="5">
        <v>25</v>
      </c>
      <c r="N43" s="11"/>
      <c r="O43" s="11"/>
      <c r="P43" s="6">
        <f t="shared" si="1"/>
        <v>100</v>
      </c>
      <c r="Q43" s="6">
        <v>100</v>
      </c>
      <c r="R43" s="2">
        <f t="shared" si="2"/>
        <v>0</v>
      </c>
      <c r="W43" s="40">
        <f>W44/U44</f>
        <v>0.44446702415957573</v>
      </c>
    </row>
    <row r="44" spans="1:24">
      <c r="A44" s="1024"/>
      <c r="B44" s="1026"/>
      <c r="C44" s="1028"/>
      <c r="D44" s="13"/>
      <c r="E44" s="13"/>
      <c r="F44" s="13"/>
      <c r="G44" s="13"/>
      <c r="H44" s="14"/>
      <c r="I44" s="13"/>
      <c r="J44" s="13"/>
      <c r="K44" s="19">
        <f t="shared" ref="K44:M44" si="22">$C43*K43/100</f>
        <v>352172.35549999995</v>
      </c>
      <c r="L44" s="19">
        <f t="shared" si="22"/>
        <v>402482.69200000004</v>
      </c>
      <c r="M44" s="19">
        <f t="shared" si="22"/>
        <v>251551.6825</v>
      </c>
      <c r="N44" s="13"/>
      <c r="O44" s="13"/>
      <c r="P44" s="6">
        <f t="shared" si="1"/>
        <v>1006206.73</v>
      </c>
      <c r="Q44" s="8">
        <v>940072.86</v>
      </c>
      <c r="R44" s="2">
        <f t="shared" si="2"/>
        <v>66133.87</v>
      </c>
      <c r="S44" s="2">
        <f>P44-C43</f>
        <v>0</v>
      </c>
      <c r="U44" s="2">
        <v>696593.77</v>
      </c>
      <c r="W44" s="388">
        <f>P44-U44</f>
        <v>309612.95999999996</v>
      </c>
      <c r="X44" s="2" t="str">
        <f t="shared" si="4"/>
        <v>REVESTIMENTOS</v>
      </c>
    </row>
    <row r="45" spans="1:24">
      <c r="A45" s="1023" t="s">
        <v>1508</v>
      </c>
      <c r="B45" s="1025" t="s">
        <v>108</v>
      </c>
      <c r="C45" s="1027">
        <f>'PLANILHA ORÇA - CORREGEDORIA'!BF225+'PLANILHA ORÇA - EJUD'!AK178</f>
        <v>723756.04</v>
      </c>
      <c r="D45" s="11"/>
      <c r="E45" s="11"/>
      <c r="F45" s="11"/>
      <c r="G45" s="11"/>
      <c r="H45" s="12"/>
      <c r="I45" s="11"/>
      <c r="J45" s="5">
        <v>25</v>
      </c>
      <c r="K45" s="5">
        <v>25</v>
      </c>
      <c r="L45" s="5">
        <v>25</v>
      </c>
      <c r="M45" s="5">
        <v>25</v>
      </c>
      <c r="N45" s="11"/>
      <c r="O45" s="11"/>
      <c r="P45" s="6">
        <f t="shared" si="1"/>
        <v>100</v>
      </c>
      <c r="Q45" s="6">
        <v>100</v>
      </c>
      <c r="R45" s="2">
        <f t="shared" si="2"/>
        <v>0</v>
      </c>
      <c r="W45" s="40">
        <f>W46/U46</f>
        <v>0.50124606013056883</v>
      </c>
    </row>
    <row r="46" spans="1:24">
      <c r="A46" s="1024"/>
      <c r="B46" s="1026"/>
      <c r="C46" s="1028"/>
      <c r="D46" s="13"/>
      <c r="E46" s="13"/>
      <c r="F46" s="13"/>
      <c r="G46" s="13"/>
      <c r="H46" s="14"/>
      <c r="I46" s="13"/>
      <c r="J46" s="19">
        <f t="shared" ref="J46:M46" si="23">$C45*J45/100</f>
        <v>180939.01</v>
      </c>
      <c r="K46" s="19">
        <f t="shared" si="23"/>
        <v>180939.01</v>
      </c>
      <c r="L46" s="19">
        <f t="shared" si="23"/>
        <v>180939.01</v>
      </c>
      <c r="M46" s="19">
        <f t="shared" si="23"/>
        <v>180939.01</v>
      </c>
      <c r="N46" s="13"/>
      <c r="O46" s="13"/>
      <c r="P46" s="6">
        <f t="shared" si="1"/>
        <v>723756.04</v>
      </c>
      <c r="Q46" s="8">
        <v>481936.44</v>
      </c>
      <c r="R46" s="2">
        <f t="shared" si="2"/>
        <v>241819.60000000003</v>
      </c>
      <c r="S46" s="2">
        <f>P46-C45</f>
        <v>0</v>
      </c>
      <c r="U46" s="2">
        <v>482103.54</v>
      </c>
      <c r="W46" s="388">
        <f>P46-U46</f>
        <v>241652.50000000006</v>
      </c>
      <c r="X46" s="2" t="str">
        <f t="shared" si="4"/>
        <v>PISOS</v>
      </c>
    </row>
    <row r="47" spans="1:24">
      <c r="A47" s="1023" t="s">
        <v>1509</v>
      </c>
      <c r="B47" s="1025" t="s">
        <v>110</v>
      </c>
      <c r="C47" s="1027">
        <f>'PLANILHA ORÇA - CORREGEDORIA'!BF233+'PLANILHA ORÇA - EJUD'!AK186</f>
        <v>322371.17000000004</v>
      </c>
      <c r="D47" s="11"/>
      <c r="E47" s="11"/>
      <c r="F47" s="11"/>
      <c r="G47" s="11"/>
      <c r="H47" s="5"/>
      <c r="I47" s="5"/>
      <c r="J47" s="5">
        <v>40</v>
      </c>
      <c r="K47" s="5">
        <v>10</v>
      </c>
      <c r="L47" s="5">
        <v>25</v>
      </c>
      <c r="M47" s="5">
        <v>25</v>
      </c>
      <c r="N47" s="11"/>
      <c r="O47" s="11"/>
      <c r="P47" s="6">
        <f t="shared" si="1"/>
        <v>100</v>
      </c>
      <c r="Q47" s="6">
        <v>100</v>
      </c>
      <c r="R47" s="2">
        <f t="shared" si="2"/>
        <v>0</v>
      </c>
      <c r="W47" s="40">
        <f>W48/U48</f>
        <v>0.17951254480234297</v>
      </c>
    </row>
    <row r="48" spans="1:24">
      <c r="A48" s="1024"/>
      <c r="B48" s="1026"/>
      <c r="C48" s="1028"/>
      <c r="D48" s="13"/>
      <c r="E48" s="13"/>
      <c r="F48" s="13"/>
      <c r="G48" s="13"/>
      <c r="H48" s="159"/>
      <c r="I48" s="159"/>
      <c r="J48" s="19">
        <f t="shared" ref="J48:K48" si="24">$C47*J47/100</f>
        <v>128948.46800000001</v>
      </c>
      <c r="K48" s="19">
        <f t="shared" si="24"/>
        <v>32237.117000000002</v>
      </c>
      <c r="L48" s="802">
        <f t="shared" ref="L48:M48" si="25">$C47*L47/100</f>
        <v>80592.79250000001</v>
      </c>
      <c r="M48" s="802">
        <f t="shared" si="25"/>
        <v>80592.79250000001</v>
      </c>
      <c r="N48" s="13"/>
      <c r="O48" s="13"/>
      <c r="P48" s="6">
        <f t="shared" si="1"/>
        <v>322371.17000000004</v>
      </c>
      <c r="Q48" s="8">
        <v>123202.09</v>
      </c>
      <c r="R48" s="2">
        <f t="shared" si="2"/>
        <v>199169.08000000005</v>
      </c>
      <c r="S48" s="2">
        <f>P48-C47</f>
        <v>0</v>
      </c>
      <c r="U48" s="2">
        <v>273308.81</v>
      </c>
      <c r="W48" s="388">
        <f>P48-U48</f>
        <v>49062.360000000044</v>
      </c>
      <c r="X48" s="2" t="str">
        <f t="shared" si="4"/>
        <v>PAVIMENTAÇÕES</v>
      </c>
    </row>
    <row r="49" spans="1:24">
      <c r="A49" s="1023" t="s">
        <v>1510</v>
      </c>
      <c r="B49" s="1025" t="s">
        <v>114</v>
      </c>
      <c r="C49" s="1027">
        <f>'PLANILHA ORÇA - CORREGEDORIA'!BF240+'PLANILHA ORÇA - EJUD'!AK193</f>
        <v>10352297.059999999</v>
      </c>
      <c r="D49" s="11"/>
      <c r="E49" s="5">
        <v>2</v>
      </c>
      <c r="F49" s="155"/>
      <c r="G49" s="5">
        <v>2</v>
      </c>
      <c r="H49" s="5">
        <v>13</v>
      </c>
      <c r="I49" s="5">
        <v>20</v>
      </c>
      <c r="J49" s="5">
        <v>15</v>
      </c>
      <c r="K49" s="5">
        <v>14</v>
      </c>
      <c r="L49" s="5">
        <v>8</v>
      </c>
      <c r="M49" s="5">
        <v>8</v>
      </c>
      <c r="N49" s="5">
        <v>9</v>
      </c>
      <c r="O49" s="5">
        <v>9</v>
      </c>
      <c r="P49" s="6">
        <f t="shared" si="1"/>
        <v>100</v>
      </c>
      <c r="Q49" s="6">
        <v>100</v>
      </c>
      <c r="R49" s="2">
        <f t="shared" si="2"/>
        <v>0</v>
      </c>
      <c r="W49" s="40">
        <f>W50/U50</f>
        <v>0.25425900429260739</v>
      </c>
    </row>
    <row r="50" spans="1:24">
      <c r="A50" s="1024"/>
      <c r="B50" s="1026"/>
      <c r="C50" s="1028"/>
      <c r="D50" s="13"/>
      <c r="E50" s="19">
        <f t="shared" ref="E50:O50" si="26">$C49*E49/100</f>
        <v>207045.94119999997</v>
      </c>
      <c r="F50" s="26"/>
      <c r="G50" s="19">
        <f t="shared" si="26"/>
        <v>207045.94119999997</v>
      </c>
      <c r="H50" s="19">
        <f t="shared" si="26"/>
        <v>1345798.6177999997</v>
      </c>
      <c r="I50" s="19">
        <f t="shared" si="26"/>
        <v>2070459.4119999998</v>
      </c>
      <c r="J50" s="19">
        <f t="shared" si="26"/>
        <v>1552844.5589999997</v>
      </c>
      <c r="K50" s="19">
        <f t="shared" si="26"/>
        <v>1449321.5883999998</v>
      </c>
      <c r="L50" s="19">
        <f t="shared" si="26"/>
        <v>828183.76479999989</v>
      </c>
      <c r="M50" s="19">
        <f t="shared" si="26"/>
        <v>828183.76479999989</v>
      </c>
      <c r="N50" s="19">
        <f t="shared" si="26"/>
        <v>931706.73539999989</v>
      </c>
      <c r="O50" s="19">
        <f t="shared" si="26"/>
        <v>931706.73539999989</v>
      </c>
      <c r="P50" s="6">
        <f t="shared" si="1"/>
        <v>10352297.059999999</v>
      </c>
      <c r="Q50" s="8">
        <v>5812186.7699999996</v>
      </c>
      <c r="R50" s="2">
        <f t="shared" si="2"/>
        <v>4540110.2899999991</v>
      </c>
      <c r="S50" s="2">
        <f>P50-C49</f>
        <v>0</v>
      </c>
      <c r="U50" s="2">
        <v>8253715.5599999987</v>
      </c>
      <c r="W50" s="388">
        <f>P50-U50</f>
        <v>2098581.5</v>
      </c>
      <c r="X50" s="2" t="str">
        <f t="shared" si="4"/>
        <v>INSTALAÇÕES E APARELHOS</v>
      </c>
    </row>
    <row r="51" spans="1:24">
      <c r="A51" s="1023" t="s">
        <v>1511</v>
      </c>
      <c r="B51" s="1025" t="s">
        <v>338</v>
      </c>
      <c r="C51" s="1027">
        <f>'PLANILHA ORÇA - CORREGEDORIA'!BF1101+'PLANILHA ORÇA - EJUD'!AK906</f>
        <v>266544.73</v>
      </c>
      <c r="D51" s="11"/>
      <c r="E51" s="11"/>
      <c r="F51" s="11"/>
      <c r="G51" s="11"/>
      <c r="H51" s="12"/>
      <c r="I51" s="11"/>
      <c r="J51" s="11"/>
      <c r="K51" s="11"/>
      <c r="L51" s="5">
        <v>25</v>
      </c>
      <c r="M51" s="5">
        <v>25</v>
      </c>
      <c r="N51" s="5">
        <v>25</v>
      </c>
      <c r="O51" s="5">
        <v>25</v>
      </c>
      <c r="P51" s="6">
        <f t="shared" si="1"/>
        <v>100</v>
      </c>
      <c r="Q51" s="6">
        <v>100</v>
      </c>
      <c r="R51" s="2">
        <f t="shared" si="2"/>
        <v>0</v>
      </c>
      <c r="W51" s="40">
        <f>W52/U52</f>
        <v>0.13566005586254176</v>
      </c>
    </row>
    <row r="52" spans="1:24">
      <c r="A52" s="1024"/>
      <c r="B52" s="1026"/>
      <c r="C52" s="1028"/>
      <c r="D52" s="13"/>
      <c r="E52" s="13"/>
      <c r="F52" s="13"/>
      <c r="G52" s="13"/>
      <c r="H52" s="14"/>
      <c r="I52" s="13"/>
      <c r="J52" s="13"/>
      <c r="K52" s="13"/>
      <c r="L52" s="19">
        <f t="shared" ref="L52:O52" si="27">$C51*L51/100</f>
        <v>66636.182499999995</v>
      </c>
      <c r="M52" s="19">
        <f t="shared" si="27"/>
        <v>66636.182499999995</v>
      </c>
      <c r="N52" s="19">
        <f t="shared" si="27"/>
        <v>66636.182499999995</v>
      </c>
      <c r="O52" s="19">
        <f t="shared" si="27"/>
        <v>66636.182499999995</v>
      </c>
      <c r="P52" s="6">
        <f t="shared" si="1"/>
        <v>266544.73</v>
      </c>
      <c r="Q52" s="8">
        <v>78176.5</v>
      </c>
      <c r="R52" s="2">
        <f t="shared" si="2"/>
        <v>188368.22999999998</v>
      </c>
      <c r="S52" s="2">
        <f>P52-C51</f>
        <v>0</v>
      </c>
      <c r="U52" s="2">
        <v>234704.68</v>
      </c>
      <c r="W52" s="388">
        <f>P52-U52</f>
        <v>31840.049999999988</v>
      </c>
      <c r="X52" s="2" t="str">
        <f t="shared" si="4"/>
        <v>PINTURAS</v>
      </c>
    </row>
    <row r="53" spans="1:24">
      <c r="A53" s="1023" t="s">
        <v>1512</v>
      </c>
      <c r="B53" s="1025" t="s">
        <v>344</v>
      </c>
      <c r="C53" s="1027">
        <f>'PLANILHA ORÇA - CORREGEDORIA'!BF1114+'PLANILHA ORÇA - EJUD'!AK918+'PLANILHA ORÇA - CORREGEDORIA'!BC1114+'PLANILHA ORÇA - EJUD'!AH918</f>
        <v>93878.43</v>
      </c>
      <c r="D53" s="11"/>
      <c r="E53" s="5">
        <v>30</v>
      </c>
      <c r="F53" s="5"/>
      <c r="G53" s="5">
        <v>10</v>
      </c>
      <c r="H53" s="5">
        <v>5</v>
      </c>
      <c r="I53" s="5">
        <v>10</v>
      </c>
      <c r="J53" s="5">
        <v>5</v>
      </c>
      <c r="K53" s="5">
        <v>5</v>
      </c>
      <c r="L53" s="5">
        <v>15</v>
      </c>
      <c r="M53" s="5">
        <v>20</v>
      </c>
      <c r="N53" s="11"/>
      <c r="O53" s="11"/>
      <c r="P53" s="6">
        <f t="shared" si="1"/>
        <v>100</v>
      </c>
      <c r="Q53" s="6">
        <v>100</v>
      </c>
      <c r="R53" s="2">
        <f t="shared" si="2"/>
        <v>0</v>
      </c>
      <c r="W53" s="40">
        <f>W54/U54</f>
        <v>0.15585033433172968</v>
      </c>
    </row>
    <row r="54" spans="1:24">
      <c r="A54" s="1024"/>
      <c r="B54" s="1026"/>
      <c r="C54" s="1028"/>
      <c r="D54" s="13"/>
      <c r="E54" s="19">
        <f t="shared" ref="E54" si="28">$C53*E53/100</f>
        <v>28163.528999999999</v>
      </c>
      <c r="F54" s="159"/>
      <c r="G54" s="802">
        <f t="shared" ref="G54:H54" si="29">$C53*G53/100</f>
        <v>9387.8429999999989</v>
      </c>
      <c r="H54" s="802">
        <f t="shared" si="29"/>
        <v>4693.9214999999995</v>
      </c>
      <c r="I54" s="802">
        <f t="shared" ref="I54:J54" si="30">$C53*I53/100</f>
        <v>9387.8429999999989</v>
      </c>
      <c r="J54" s="802">
        <f t="shared" si="30"/>
        <v>4693.9214999999995</v>
      </c>
      <c r="K54" s="802">
        <f t="shared" ref="K54" si="31">$C53*K53/100</f>
        <v>4693.9214999999995</v>
      </c>
      <c r="L54" s="19">
        <f t="shared" ref="L54:M54" si="32">$C53*L53/100</f>
        <v>14081.764499999999</v>
      </c>
      <c r="M54" s="19">
        <f t="shared" si="32"/>
        <v>18775.685999999998</v>
      </c>
      <c r="N54" s="13"/>
      <c r="O54" s="13"/>
      <c r="P54" s="6">
        <f t="shared" si="1"/>
        <v>93878.43</v>
      </c>
      <c r="Q54" s="8">
        <v>33643.1</v>
      </c>
      <c r="R54" s="2">
        <f t="shared" si="2"/>
        <v>60235.329999999994</v>
      </c>
      <c r="S54" s="2">
        <f>P54-C53</f>
        <v>0</v>
      </c>
      <c r="U54" s="2">
        <v>81220.23000000001</v>
      </c>
      <c r="W54" s="388">
        <f>P54-U54</f>
        <v>12658.199999999983</v>
      </c>
      <c r="X54" s="2" t="str">
        <f t="shared" si="4"/>
        <v>IMPERMEABILIZAÇÕES</v>
      </c>
    </row>
    <row r="55" spans="1:24">
      <c r="A55" s="1023" t="s">
        <v>1513</v>
      </c>
      <c r="B55" s="1025" t="s">
        <v>348</v>
      </c>
      <c r="C55" s="1027">
        <f>'PLANILHA ORÇA - CORREGEDORIA'!BF1119+'PLANILHA ORÇA - EJUD'!AK923</f>
        <v>121907.17000000001</v>
      </c>
      <c r="D55" s="11"/>
      <c r="E55" s="11"/>
      <c r="F55" s="11"/>
      <c r="G55" s="11"/>
      <c r="H55" s="12"/>
      <c r="I55" s="11"/>
      <c r="J55" s="11"/>
      <c r="K55" s="5">
        <v>20</v>
      </c>
      <c r="L55" s="5">
        <v>20</v>
      </c>
      <c r="M55" s="5">
        <v>20</v>
      </c>
      <c r="N55" s="5">
        <v>20</v>
      </c>
      <c r="O55" s="5">
        <v>20</v>
      </c>
      <c r="P55" s="6">
        <f t="shared" si="1"/>
        <v>100</v>
      </c>
      <c r="Q55" s="6">
        <v>100</v>
      </c>
      <c r="R55" s="2">
        <f t="shared" si="2"/>
        <v>0</v>
      </c>
      <c r="W55" s="40">
        <f>W56/U56</f>
        <v>0.1678089733991831</v>
      </c>
    </row>
    <row r="56" spans="1:24">
      <c r="A56" s="1024"/>
      <c r="B56" s="1026"/>
      <c r="C56" s="1028"/>
      <c r="D56" s="13"/>
      <c r="E56" s="13"/>
      <c r="F56" s="13"/>
      <c r="G56" s="13"/>
      <c r="H56" s="14"/>
      <c r="I56" s="13"/>
      <c r="J56" s="13"/>
      <c r="K56" s="19">
        <f t="shared" ref="K56:O56" si="33">$C55*K55/100</f>
        <v>24381.434000000005</v>
      </c>
      <c r="L56" s="19">
        <f t="shared" si="33"/>
        <v>24381.434000000005</v>
      </c>
      <c r="M56" s="19">
        <f t="shared" si="33"/>
        <v>24381.434000000005</v>
      </c>
      <c r="N56" s="19">
        <f t="shared" si="33"/>
        <v>24381.434000000005</v>
      </c>
      <c r="O56" s="19">
        <f t="shared" si="33"/>
        <v>24381.434000000005</v>
      </c>
      <c r="P56" s="6">
        <f t="shared" si="1"/>
        <v>121907.17000000003</v>
      </c>
      <c r="Q56" s="8">
        <v>107014.39</v>
      </c>
      <c r="R56" s="2">
        <f t="shared" si="2"/>
        <v>14892.780000000028</v>
      </c>
      <c r="S56" s="2">
        <f>P56-C55</f>
        <v>0</v>
      </c>
      <c r="U56" s="2">
        <v>104389.65</v>
      </c>
      <c r="W56" s="388">
        <f>P56-U56</f>
        <v>17517.520000000033</v>
      </c>
      <c r="X56" s="2" t="str">
        <f t="shared" si="4"/>
        <v>PEÇAS DE ACABAMENTO E/OU ARREMATES</v>
      </c>
    </row>
    <row r="57" spans="1:24">
      <c r="A57" s="1023" t="s">
        <v>1514</v>
      </c>
      <c r="B57" s="1025" t="s">
        <v>351</v>
      </c>
      <c r="C57" s="1027">
        <f>'PLANILHA ORÇA - CORREGEDORIA'!BF1123+'PLANILHA ORÇA - EJUD'!AK927</f>
        <v>84291.55</v>
      </c>
      <c r="D57" s="11"/>
      <c r="E57" s="11"/>
      <c r="F57" s="11"/>
      <c r="G57" s="11"/>
      <c r="H57" s="12"/>
      <c r="I57" s="11"/>
      <c r="J57" s="5">
        <v>5</v>
      </c>
      <c r="K57" s="5">
        <v>20</v>
      </c>
      <c r="L57" s="5">
        <v>30</v>
      </c>
      <c r="M57" s="5">
        <v>20</v>
      </c>
      <c r="N57" s="5">
        <v>20</v>
      </c>
      <c r="O57" s="5">
        <v>5</v>
      </c>
      <c r="P57" s="6">
        <f t="shared" si="1"/>
        <v>100</v>
      </c>
      <c r="Q57" s="6">
        <v>100</v>
      </c>
      <c r="R57" s="2">
        <f t="shared" si="2"/>
        <v>0</v>
      </c>
      <c r="W57" s="40">
        <f>W58/U58</f>
        <v>0.11402877284235727</v>
      </c>
    </row>
    <row r="58" spans="1:24">
      <c r="A58" s="1024"/>
      <c r="B58" s="1026"/>
      <c r="C58" s="1028"/>
      <c r="D58" s="13"/>
      <c r="E58" s="13"/>
      <c r="F58" s="13"/>
      <c r="G58" s="13"/>
      <c r="H58" s="14"/>
      <c r="I58" s="13"/>
      <c r="J58" s="19">
        <f t="shared" ref="J58:N58" si="34">$C57*J57/100</f>
        <v>4214.5775000000003</v>
      </c>
      <c r="K58" s="19">
        <f t="shared" si="34"/>
        <v>16858.310000000001</v>
      </c>
      <c r="L58" s="19">
        <f t="shared" si="34"/>
        <v>25287.465</v>
      </c>
      <c r="M58" s="19">
        <f t="shared" si="34"/>
        <v>16858.310000000001</v>
      </c>
      <c r="N58" s="19">
        <f t="shared" si="34"/>
        <v>16858.310000000001</v>
      </c>
      <c r="O58" s="802">
        <f t="shared" ref="O58" si="35">$C57*O57/100</f>
        <v>4214.5775000000003</v>
      </c>
      <c r="P58" s="6">
        <f t="shared" si="1"/>
        <v>84291.55</v>
      </c>
      <c r="Q58" s="8">
        <v>44181.25</v>
      </c>
      <c r="R58" s="2">
        <f t="shared" si="2"/>
        <v>40110.300000000003</v>
      </c>
      <c r="S58" s="2">
        <f>P58-C57</f>
        <v>0</v>
      </c>
      <c r="U58" s="2">
        <v>75663.710000000006</v>
      </c>
      <c r="W58" s="388">
        <f>P58-U58</f>
        <v>8627.8399999999965</v>
      </c>
      <c r="X58" s="2" t="str">
        <f t="shared" si="4"/>
        <v>SERVIÇOS COMPLEMENTARES</v>
      </c>
    </row>
    <row r="59" spans="1:24">
      <c r="A59" s="1023" t="s">
        <v>1515</v>
      </c>
      <c r="B59" s="1025" t="s">
        <v>360</v>
      </c>
      <c r="C59" s="1027">
        <f>'PLANILHA ORÇA - CORREGEDORIA'!BF1142+'PLANILHA ORÇA - EJUD'!AK946</f>
        <v>15285.07</v>
      </c>
      <c r="D59" s="11"/>
      <c r="E59" s="11"/>
      <c r="F59" s="11"/>
      <c r="G59" s="11"/>
      <c r="H59" s="12"/>
      <c r="I59" s="11"/>
      <c r="J59" s="5">
        <v>20</v>
      </c>
      <c r="K59" s="5">
        <v>20</v>
      </c>
      <c r="L59" s="5">
        <v>20</v>
      </c>
      <c r="M59" s="5">
        <v>10</v>
      </c>
      <c r="N59" s="5">
        <v>15</v>
      </c>
      <c r="O59" s="5">
        <v>15</v>
      </c>
      <c r="P59" s="6">
        <f t="shared" si="1"/>
        <v>100</v>
      </c>
      <c r="Q59" s="6">
        <v>100</v>
      </c>
      <c r="R59" s="2">
        <f t="shared" si="2"/>
        <v>0</v>
      </c>
      <c r="W59" s="40">
        <f>W60/U60</f>
        <v>0.11286682208628271</v>
      </c>
    </row>
    <row r="60" spans="1:24">
      <c r="A60" s="1024"/>
      <c r="B60" s="1026"/>
      <c r="C60" s="1028"/>
      <c r="D60" s="13"/>
      <c r="E60" s="13"/>
      <c r="F60" s="13"/>
      <c r="G60" s="13"/>
      <c r="H60" s="14"/>
      <c r="I60" s="13"/>
      <c r="J60" s="19">
        <f t="shared" ref="J60:O60" si="36">$C59*J59/100</f>
        <v>3057.0140000000001</v>
      </c>
      <c r="K60" s="19">
        <f t="shared" si="36"/>
        <v>3057.0140000000001</v>
      </c>
      <c r="L60" s="19">
        <f t="shared" si="36"/>
        <v>3057.0140000000001</v>
      </c>
      <c r="M60" s="19">
        <f t="shared" si="36"/>
        <v>1528.5070000000001</v>
      </c>
      <c r="N60" s="19">
        <f t="shared" si="36"/>
        <v>2292.7604999999999</v>
      </c>
      <c r="O60" s="19">
        <f t="shared" si="36"/>
        <v>2292.7604999999999</v>
      </c>
      <c r="P60" s="6">
        <f t="shared" si="1"/>
        <v>15285.070000000002</v>
      </c>
      <c r="Q60" s="8">
        <v>8898.26</v>
      </c>
      <c r="R60" s="2">
        <f t="shared" si="2"/>
        <v>6386.8100000000013</v>
      </c>
      <c r="S60" s="2">
        <f>P60-C59</f>
        <v>0</v>
      </c>
      <c r="U60" s="2">
        <v>13734.86</v>
      </c>
      <c r="W60" s="388">
        <f>P60-U60</f>
        <v>1550.2100000000009</v>
      </c>
      <c r="X60" s="2" t="str">
        <f t="shared" si="4"/>
        <v>SERVIÇOS FINAIS</v>
      </c>
    </row>
    <row r="61" spans="1:24">
      <c r="A61" s="15"/>
      <c r="B61" s="16"/>
      <c r="C61" s="1031">
        <f>ROUND(SUM(C19:C60),2)</f>
        <v>20814235.77</v>
      </c>
      <c r="D61" s="9">
        <f>ROUND(D60+D58+D56+D54+D52+D50+D48+D46+D44+D42+D40+D38+D36+D34+D32+D30+D28+D26+D24+D22+D20,2)</f>
        <v>304737.58</v>
      </c>
      <c r="E61" s="9">
        <f t="shared" ref="E61:N61" si="37">ROUND(E60+E58+E56+E54+E52+E50+E48+E46+E44+E42+E40+E38+E36+E34+E32+E30+E28+E26+E24+E22+E20,2)</f>
        <v>848560.53</v>
      </c>
      <c r="F61" s="9">
        <f t="shared" si="37"/>
        <v>1237554.74</v>
      </c>
      <c r="G61" s="9">
        <f t="shared" si="37"/>
        <v>1318982.33</v>
      </c>
      <c r="H61" s="9">
        <f t="shared" si="37"/>
        <v>2372610.29</v>
      </c>
      <c r="I61" s="9">
        <f t="shared" si="37"/>
        <v>2802496.48</v>
      </c>
      <c r="J61" s="9">
        <f t="shared" si="37"/>
        <v>2534353.5299999998</v>
      </c>
      <c r="K61" s="9">
        <f t="shared" si="37"/>
        <v>2632201.81</v>
      </c>
      <c r="L61" s="9">
        <f t="shared" si="37"/>
        <v>2384190.4300000002</v>
      </c>
      <c r="M61" s="9">
        <f t="shared" si="37"/>
        <v>1877624.49</v>
      </c>
      <c r="N61" s="9">
        <f t="shared" si="37"/>
        <v>1293888.43</v>
      </c>
      <c r="O61" s="9">
        <f>ROUND(O60+O58+O56+O54+O52+O50+O48+O46+O44+O42+O40+O38+O36+O34+O32+O30+O28+O26+O24+O22+O20,2)</f>
        <v>1207035.1299999999</v>
      </c>
      <c r="P61" s="1029">
        <f>P60+P58+P56+P54+P52+P50+P48+P46+P44+P42+P40+P38+P36+P34+P32+P30+P28+P26+P24+P22+P20</f>
        <v>20814235.770000003</v>
      </c>
      <c r="Q61" s="1021">
        <v>12391443.24</v>
      </c>
      <c r="R61" s="2">
        <f t="shared" si="2"/>
        <v>8422792.5300000031</v>
      </c>
      <c r="U61" s="1020">
        <v>16020942.350000001</v>
      </c>
      <c r="W61" s="40">
        <f>W62/U61</f>
        <v>0.29918923090064048</v>
      </c>
    </row>
    <row r="62" spans="1:24">
      <c r="A62" s="17"/>
      <c r="B62" s="18"/>
      <c r="C62" s="1032"/>
      <c r="D62" s="7">
        <f>D61</f>
        <v>304737.58</v>
      </c>
      <c r="E62" s="7">
        <f>D62+E61</f>
        <v>1153298.1100000001</v>
      </c>
      <c r="F62" s="22">
        <f t="shared" ref="F62:N62" si="38">E62+F61</f>
        <v>2390852.85</v>
      </c>
      <c r="G62" s="22">
        <f t="shared" si="38"/>
        <v>3709835.18</v>
      </c>
      <c r="H62" s="22">
        <f t="shared" si="38"/>
        <v>6082445.4700000007</v>
      </c>
      <c r="I62" s="22">
        <f t="shared" si="38"/>
        <v>8884941.9500000011</v>
      </c>
      <c r="J62" s="22">
        <f t="shared" si="38"/>
        <v>11419295.48</v>
      </c>
      <c r="K62" s="22">
        <f t="shared" si="38"/>
        <v>14051497.290000001</v>
      </c>
      <c r="L62" s="22">
        <f t="shared" si="38"/>
        <v>16435687.720000001</v>
      </c>
      <c r="M62" s="22">
        <f t="shared" si="38"/>
        <v>18313312.210000001</v>
      </c>
      <c r="N62" s="22">
        <f t="shared" si="38"/>
        <v>19607200.640000001</v>
      </c>
      <c r="O62" s="887">
        <f>N62+O61</f>
        <v>20814235.77</v>
      </c>
      <c r="P62" s="1030">
        <f t="shared" ref="P62" si="39">P61+P59+P57+P55+P53+P51+P49+P47+P45+P43+P41+P39+P37+P35+P33+P31+P29+P27+P25+P23+P21</f>
        <v>20816235.770000003</v>
      </c>
      <c r="Q62" s="1022"/>
      <c r="R62" s="2">
        <f>P61-Q61</f>
        <v>8422792.5300000031</v>
      </c>
      <c r="U62" s="1020"/>
      <c r="W62" s="35">
        <f>W20+W22+W24+W26+W28+W30+W32+W34+W36+W38+W40+W42+W44+W46+W48+W50+W52+W54+W56+W58+W60</f>
        <v>4793293.42</v>
      </c>
    </row>
    <row r="63" spans="1:24">
      <c r="A63" s="426"/>
      <c r="B63" s="426"/>
      <c r="C63" s="427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  <c r="O63" s="428"/>
      <c r="P63" s="429"/>
      <c r="Q63" s="424"/>
    </row>
    <row r="64" spans="1:24">
      <c r="A64" s="426"/>
      <c r="B64" s="426"/>
      <c r="C64" s="427"/>
      <c r="D64" s="428"/>
      <c r="E64" s="428"/>
      <c r="F64" s="428"/>
      <c r="G64" s="428"/>
      <c r="H64" s="428"/>
      <c r="I64" s="428"/>
      <c r="J64" s="428"/>
      <c r="K64" s="428"/>
      <c r="L64" s="428"/>
      <c r="M64" s="428"/>
      <c r="N64" s="428"/>
      <c r="O64" s="428"/>
      <c r="P64" s="429"/>
      <c r="Q64" s="424"/>
    </row>
    <row r="65" spans="2:16">
      <c r="D65" s="2">
        <v>286741.33</v>
      </c>
      <c r="E65" s="2">
        <v>726080.77</v>
      </c>
      <c r="F65" s="2">
        <v>1033174.16</v>
      </c>
      <c r="G65" s="2">
        <v>1070511.8400000001</v>
      </c>
      <c r="H65" s="2">
        <v>1908796.19</v>
      </c>
      <c r="I65" s="2">
        <v>2187986.2799999998</v>
      </c>
      <c r="J65" s="2">
        <v>1910098.63</v>
      </c>
      <c r="K65" s="2">
        <v>1945506.77</v>
      </c>
      <c r="L65" s="2">
        <v>1678115.44</v>
      </c>
      <c r="M65" s="2">
        <v>1362050.81</v>
      </c>
      <c r="N65" s="2">
        <v>983049.02</v>
      </c>
      <c r="O65" s="2">
        <v>928831.11</v>
      </c>
      <c r="P65" s="2">
        <f>D65+E65+F65+G65+H65+I65+J65+K65+L65+M65+N65+O65</f>
        <v>16020942.349999998</v>
      </c>
    </row>
    <row r="66" spans="2:16">
      <c r="F66" s="40"/>
    </row>
    <row r="67" spans="2:16">
      <c r="D67" s="888">
        <f t="shared" ref="D67:O67" si="40">D61-D65</f>
        <v>17996.25</v>
      </c>
      <c r="E67" s="888">
        <f t="shared" si="40"/>
        <v>122479.76000000001</v>
      </c>
      <c r="F67" s="888">
        <f t="shared" si="40"/>
        <v>204380.57999999996</v>
      </c>
      <c r="G67" s="888">
        <f t="shared" si="40"/>
        <v>248470.49</v>
      </c>
      <c r="H67" s="888">
        <f t="shared" si="40"/>
        <v>463814.10000000009</v>
      </c>
      <c r="I67" s="388">
        <f t="shared" si="40"/>
        <v>614510.20000000019</v>
      </c>
      <c r="J67" s="2">
        <f t="shared" si="40"/>
        <v>624254.89999999991</v>
      </c>
      <c r="K67" s="2">
        <f t="shared" si="40"/>
        <v>686695.04</v>
      </c>
      <c r="L67" s="2">
        <f t="shared" si="40"/>
        <v>706074.99000000022</v>
      </c>
      <c r="M67" s="2">
        <f t="shared" si="40"/>
        <v>515573.67999999993</v>
      </c>
      <c r="N67" s="2">
        <f t="shared" si="40"/>
        <v>310839.40999999992</v>
      </c>
      <c r="O67" s="2">
        <f t="shared" si="40"/>
        <v>278204.0199999999</v>
      </c>
    </row>
    <row r="68" spans="2:16">
      <c r="B68" s="234"/>
      <c r="C68" s="234"/>
      <c r="D68" s="234"/>
      <c r="E68" s="234"/>
      <c r="F68" s="233"/>
    </row>
    <row r="69" spans="2:16">
      <c r="C69" s="388" t="s">
        <v>4125</v>
      </c>
      <c r="D69" s="388">
        <f>D67+E67+F67+G67+H67+I67</f>
        <v>1671651.3800000004</v>
      </c>
      <c r="F69" s="40"/>
    </row>
    <row r="70" spans="2:16">
      <c r="B70" s="234"/>
      <c r="C70" s="2" t="s">
        <v>4126</v>
      </c>
      <c r="D70" s="2">
        <f>J67+K67+L67+M67+N67+O67</f>
        <v>3121642.0400000005</v>
      </c>
      <c r="E70" s="234"/>
      <c r="F70" s="233"/>
    </row>
    <row r="71" spans="2:16">
      <c r="D71" s="234">
        <f>D69+D70</f>
        <v>4793293.4200000009</v>
      </c>
      <c r="F71" s="40"/>
    </row>
    <row r="72" spans="2:16">
      <c r="B72" s="234"/>
      <c r="C72" s="234"/>
      <c r="D72" s="234"/>
      <c r="E72" s="234"/>
      <c r="F72" s="233"/>
    </row>
    <row r="73" spans="2:16">
      <c r="F73" s="40"/>
    </row>
    <row r="74" spans="2:16">
      <c r="F74" s="40"/>
    </row>
    <row r="75" spans="2:16">
      <c r="B75" s="234"/>
      <c r="C75" s="234"/>
      <c r="D75" s="234"/>
      <c r="E75" s="234"/>
      <c r="F75" s="233"/>
    </row>
    <row r="76" spans="2:16">
      <c r="F76" s="40"/>
    </row>
    <row r="77" spans="2:16">
      <c r="F77" s="40"/>
    </row>
    <row r="78" spans="2:16">
      <c r="F78" s="40"/>
    </row>
    <row r="79" spans="2:16">
      <c r="F79" s="40"/>
    </row>
    <row r="80" spans="2:16">
      <c r="F80" s="40"/>
    </row>
    <row r="81" spans="6:6">
      <c r="F81" s="40"/>
    </row>
    <row r="82" spans="6:6">
      <c r="F82" s="40"/>
    </row>
    <row r="83" spans="6:6">
      <c r="F83" s="40"/>
    </row>
    <row r="84" spans="6:6">
      <c r="F84" s="40"/>
    </row>
    <row r="85" spans="6:6">
      <c r="F85" s="40"/>
    </row>
  </sheetData>
  <mergeCells count="76">
    <mergeCell ref="B7:D8"/>
    <mergeCell ref="A12:P12"/>
    <mergeCell ref="A13:B14"/>
    <mergeCell ref="C13:J14"/>
    <mergeCell ref="K13:P16"/>
    <mergeCell ref="A15:B16"/>
    <mergeCell ref="C15:J16"/>
    <mergeCell ref="D10:I10"/>
    <mergeCell ref="B9:D9"/>
    <mergeCell ref="P61:P62"/>
    <mergeCell ref="A59:A60"/>
    <mergeCell ref="B59:B60"/>
    <mergeCell ref="C59:C60"/>
    <mergeCell ref="C61:C62"/>
    <mergeCell ref="A55:A56"/>
    <mergeCell ref="B55:B56"/>
    <mergeCell ref="C55:C56"/>
    <mergeCell ref="A57:A58"/>
    <mergeCell ref="B57:B58"/>
    <mergeCell ref="C57:C58"/>
    <mergeCell ref="A51:A52"/>
    <mergeCell ref="B51:B52"/>
    <mergeCell ref="C51:C52"/>
    <mergeCell ref="A53:A54"/>
    <mergeCell ref="B53:B54"/>
    <mergeCell ref="C53:C54"/>
    <mergeCell ref="A49:A50"/>
    <mergeCell ref="B49:B50"/>
    <mergeCell ref="C49:C50"/>
    <mergeCell ref="A47:A48"/>
    <mergeCell ref="B47:B48"/>
    <mergeCell ref="C47:C48"/>
    <mergeCell ref="A43:A44"/>
    <mergeCell ref="B43:B44"/>
    <mergeCell ref="C43:C44"/>
    <mergeCell ref="A45:A46"/>
    <mergeCell ref="B45:B46"/>
    <mergeCell ref="C45:C46"/>
    <mergeCell ref="A41:A42"/>
    <mergeCell ref="B41:B42"/>
    <mergeCell ref="C41:C42"/>
    <mergeCell ref="A37:A38"/>
    <mergeCell ref="B37:B38"/>
    <mergeCell ref="C37:C38"/>
    <mergeCell ref="A39:A40"/>
    <mergeCell ref="B39:B40"/>
    <mergeCell ref="C39:C40"/>
    <mergeCell ref="C33:C34"/>
    <mergeCell ref="A19:A20"/>
    <mergeCell ref="B19:B20"/>
    <mergeCell ref="C19:C20"/>
    <mergeCell ref="A27:A28"/>
    <mergeCell ref="B27:B28"/>
    <mergeCell ref="C27:C28"/>
    <mergeCell ref="A23:A24"/>
    <mergeCell ref="B23:B24"/>
    <mergeCell ref="C23:C24"/>
    <mergeCell ref="A25:A26"/>
    <mergeCell ref="B25:B26"/>
    <mergeCell ref="C25:C26"/>
    <mergeCell ref="U61:U62"/>
    <mergeCell ref="Q61:Q62"/>
    <mergeCell ref="A21:A22"/>
    <mergeCell ref="B21:B22"/>
    <mergeCell ref="C21:C22"/>
    <mergeCell ref="A31:A32"/>
    <mergeCell ref="B31:B32"/>
    <mergeCell ref="C31:C32"/>
    <mergeCell ref="A29:A30"/>
    <mergeCell ref="B29:B30"/>
    <mergeCell ref="C29:C30"/>
    <mergeCell ref="A35:A36"/>
    <mergeCell ref="B35:B36"/>
    <mergeCell ref="C35:C36"/>
    <mergeCell ref="A33:A34"/>
    <mergeCell ref="B33:B34"/>
  </mergeCells>
  <pageMargins left="2.3622047244094491" right="0.98425196850393704" top="0.39370078740157483" bottom="0.39370078740157483" header="0" footer="0"/>
  <pageSetup paperSize="8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Z119"/>
  <sheetViews>
    <sheetView view="pageBreakPreview" zoomScale="80" zoomScaleNormal="89" zoomScaleSheetLayoutView="80" workbookViewId="0">
      <selection activeCell="B4" sqref="B4"/>
    </sheetView>
  </sheetViews>
  <sheetFormatPr defaultRowHeight="15"/>
  <cols>
    <col min="1" max="1" width="5.7109375" style="288" customWidth="1"/>
    <col min="2" max="2" width="34.42578125" style="288" customWidth="1"/>
    <col min="3" max="3" width="53.140625" style="288" customWidth="1"/>
    <col min="4" max="4" width="26.140625" style="288" customWidth="1"/>
    <col min="5" max="5" width="6.7109375" style="288" customWidth="1"/>
    <col min="6" max="6" width="17.7109375" style="288" customWidth="1"/>
    <col min="7" max="7" width="6.7109375" style="288" customWidth="1"/>
    <col min="8" max="9" width="17.7109375" style="288" customWidth="1"/>
    <col min="10" max="16384" width="9.140625" style="288"/>
  </cols>
  <sheetData>
    <row r="6" spans="2:14">
      <c r="C6" s="234" t="s">
        <v>3456</v>
      </c>
    </row>
    <row r="7" spans="2:14">
      <c r="C7" s="234" t="s">
        <v>3457</v>
      </c>
    </row>
    <row r="8" spans="2:14">
      <c r="C8" s="234" t="s">
        <v>3458</v>
      </c>
    </row>
    <row r="9" spans="2:14">
      <c r="C9" s="234" t="s">
        <v>3459</v>
      </c>
    </row>
    <row r="10" spans="2:14">
      <c r="C10" s="234" t="s">
        <v>3460</v>
      </c>
    </row>
    <row r="11" spans="2:14">
      <c r="C11" s="902" t="s">
        <v>3470</v>
      </c>
      <c r="D11" s="902"/>
      <c r="E11" s="902"/>
    </row>
    <row r="12" spans="2:14" ht="28.5" customHeight="1">
      <c r="C12" s="902"/>
      <c r="D12" s="902"/>
      <c r="E12" s="902"/>
    </row>
    <row r="13" spans="2:14">
      <c r="C13" s="234" t="s">
        <v>3479</v>
      </c>
    </row>
    <row r="14" spans="2:14" ht="15.75" thickBot="1">
      <c r="B14" s="404"/>
      <c r="C14" s="405"/>
      <c r="D14" s="405"/>
      <c r="E14" s="405"/>
      <c r="F14" s="405"/>
      <c r="G14" s="405"/>
      <c r="H14" s="404"/>
      <c r="I14" s="289"/>
      <c r="J14" s="290"/>
      <c r="K14" s="289"/>
      <c r="L14" s="289"/>
      <c r="M14" s="291"/>
      <c r="N14" s="292"/>
    </row>
    <row r="15" spans="2:14" s="293" customFormat="1" ht="33" customHeight="1" thickBot="1">
      <c r="B15" s="1062" t="s">
        <v>3392</v>
      </c>
      <c r="C15" s="1063"/>
      <c r="D15" s="1063"/>
      <c r="E15" s="1063"/>
      <c r="F15" s="1063"/>
      <c r="G15" s="1063"/>
      <c r="H15" s="1063"/>
      <c r="I15" s="1064"/>
      <c r="J15" s="294"/>
      <c r="K15" s="294"/>
      <c r="L15" s="294"/>
      <c r="M15" s="294"/>
      <c r="N15" s="294"/>
    </row>
    <row r="16" spans="2:14" s="293" customFormat="1" ht="8.1" customHeight="1" thickBot="1">
      <c r="B16" s="295"/>
      <c r="C16" s="296"/>
      <c r="D16" s="296"/>
      <c r="E16" s="296"/>
      <c r="F16" s="296"/>
      <c r="G16" s="296"/>
      <c r="H16" s="297"/>
      <c r="I16" s="298"/>
      <c r="J16" s="299"/>
      <c r="K16" s="300"/>
      <c r="L16" s="300"/>
      <c r="M16" s="301"/>
      <c r="N16" s="302"/>
    </row>
    <row r="17" spans="1:26" s="304" customFormat="1" ht="39.950000000000003" customHeight="1" thickBot="1">
      <c r="A17" s="303"/>
      <c r="B17" s="1065" t="s">
        <v>2</v>
      </c>
      <c r="C17" s="1066"/>
      <c r="D17" s="1067" t="s">
        <v>3378</v>
      </c>
      <c r="E17" s="1068"/>
      <c r="F17" s="1068"/>
      <c r="G17" s="1068"/>
      <c r="H17" s="1068"/>
      <c r="I17" s="1069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</row>
    <row r="18" spans="1:26" s="293" customFormat="1" ht="18" customHeight="1">
      <c r="B18" s="1058" t="s">
        <v>3379</v>
      </c>
      <c r="C18" s="1059"/>
      <c r="D18" s="1060">
        <v>0.03</v>
      </c>
      <c r="E18" s="1060"/>
      <c r="F18" s="1060"/>
      <c r="G18" s="1060"/>
      <c r="H18" s="1060"/>
      <c r="I18" s="1061"/>
    </row>
    <row r="19" spans="1:26" s="293" customFormat="1" ht="18" customHeight="1">
      <c r="B19" s="1058" t="s">
        <v>3380</v>
      </c>
      <c r="C19" s="1059"/>
      <c r="D19" s="1060">
        <v>8.0000000000000002E-3</v>
      </c>
      <c r="E19" s="1060"/>
      <c r="F19" s="1060"/>
      <c r="G19" s="1060"/>
      <c r="H19" s="1060"/>
      <c r="I19" s="1061"/>
    </row>
    <row r="20" spans="1:26" s="293" customFormat="1" ht="18" customHeight="1">
      <c r="B20" s="1058" t="s">
        <v>3381</v>
      </c>
      <c r="C20" s="1059"/>
      <c r="D20" s="1070">
        <v>1.26E-2</v>
      </c>
      <c r="E20" s="1071"/>
      <c r="F20" s="1071"/>
      <c r="G20" s="1071"/>
      <c r="H20" s="1071"/>
      <c r="I20" s="1072"/>
    </row>
    <row r="21" spans="1:26" s="293" customFormat="1" ht="18" customHeight="1">
      <c r="B21" s="1058" t="s">
        <v>3382</v>
      </c>
      <c r="C21" s="1059"/>
      <c r="D21" s="1073">
        <v>1.2E-2</v>
      </c>
      <c r="E21" s="1073"/>
      <c r="F21" s="1073"/>
      <c r="G21" s="1073"/>
      <c r="H21" s="1073"/>
      <c r="I21" s="1074"/>
    </row>
    <row r="22" spans="1:26" s="293" customFormat="1" ht="18" customHeight="1">
      <c r="B22" s="1075" t="s">
        <v>3383</v>
      </c>
      <c r="C22" s="1076"/>
      <c r="D22" s="1060">
        <v>7.3999999999999996E-2</v>
      </c>
      <c r="E22" s="1060"/>
      <c r="F22" s="1060"/>
      <c r="G22" s="1060"/>
      <c r="H22" s="1060"/>
      <c r="I22" s="1061"/>
    </row>
    <row r="23" spans="1:26" s="293" customFormat="1" ht="18" customHeight="1">
      <c r="B23" s="1058" t="s">
        <v>3384</v>
      </c>
      <c r="C23" s="1059"/>
      <c r="D23" s="1060"/>
      <c r="E23" s="1060"/>
      <c r="F23" s="1060"/>
      <c r="G23" s="1060"/>
      <c r="H23" s="1060"/>
      <c r="I23" s="1061"/>
    </row>
    <row r="24" spans="1:26" s="293" customFormat="1" ht="18" customHeight="1">
      <c r="B24" s="1058" t="s">
        <v>3385</v>
      </c>
      <c r="C24" s="1059"/>
      <c r="D24" s="1077">
        <v>1.7999999999999999E-2</v>
      </c>
      <c r="E24" s="1077"/>
      <c r="F24" s="1077"/>
      <c r="G24" s="1077"/>
      <c r="H24" s="1077"/>
      <c r="I24" s="1078"/>
    </row>
    <row r="25" spans="1:26" s="293" customFormat="1" ht="18" customHeight="1">
      <c r="B25" s="1058" t="s">
        <v>3386</v>
      </c>
      <c r="C25" s="1059"/>
      <c r="D25" s="1060">
        <v>6.4999999999999997E-3</v>
      </c>
      <c r="E25" s="1060"/>
      <c r="F25" s="1060"/>
      <c r="G25" s="1060"/>
      <c r="H25" s="1060"/>
      <c r="I25" s="1061"/>
      <c r="K25" s="305"/>
    </row>
    <row r="26" spans="1:26" s="293" customFormat="1" ht="18" customHeight="1">
      <c r="B26" s="1058" t="s">
        <v>3387</v>
      </c>
      <c r="C26" s="1059"/>
      <c r="D26" s="1060">
        <v>0.03</v>
      </c>
      <c r="E26" s="1060"/>
      <c r="F26" s="1060"/>
      <c r="G26" s="1060"/>
      <c r="H26" s="1060"/>
      <c r="I26" s="1061"/>
      <c r="K26" s="305"/>
    </row>
    <row r="27" spans="1:26" s="293" customFormat="1" ht="18" customHeight="1">
      <c r="B27" s="1058" t="s">
        <v>3388</v>
      </c>
      <c r="C27" s="1059"/>
      <c r="D27" s="1077">
        <v>4.4999999999999998E-2</v>
      </c>
      <c r="E27" s="1077"/>
      <c r="F27" s="1077"/>
      <c r="G27" s="1077"/>
      <c r="H27" s="1077"/>
      <c r="I27" s="1078"/>
      <c r="K27" s="305"/>
    </row>
    <row r="28" spans="1:26" ht="20.100000000000001" customHeight="1">
      <c r="B28" s="1079"/>
      <c r="C28" s="1080"/>
      <c r="D28" s="1081"/>
      <c r="E28" s="1081"/>
      <c r="F28" s="1081"/>
      <c r="G28" s="1081"/>
      <c r="H28" s="1081"/>
      <c r="I28" s="1082"/>
      <c r="K28" s="306"/>
    </row>
    <row r="29" spans="1:26" s="293" customFormat="1" ht="18" customHeight="1" thickBot="1">
      <c r="B29" s="310"/>
      <c r="C29" s="311"/>
      <c r="D29" s="311"/>
      <c r="E29" s="311"/>
      <c r="F29" s="311"/>
      <c r="G29" s="311"/>
      <c r="H29" s="311"/>
      <c r="I29" s="312"/>
      <c r="J29" s="313"/>
    </row>
    <row r="30" spans="1:26" s="293" customFormat="1" ht="18" customHeight="1" thickBot="1">
      <c r="A30" s="314"/>
      <c r="B30" s="315"/>
      <c r="C30" s="316" t="s">
        <v>3389</v>
      </c>
      <c r="D30" s="317">
        <f>ROUND((((((1+D18+D19+D20)*(1+D21)*(1+D22))/(1-(D24+D25+D26+D27)))-1))*100,2)</f>
        <v>26.81</v>
      </c>
      <c r="E30" s="317"/>
      <c r="F30" s="318"/>
      <c r="G30" s="318"/>
      <c r="H30" s="318"/>
      <c r="I30" s="319"/>
      <c r="J30" s="313"/>
      <c r="K30" s="314"/>
      <c r="L30" s="314"/>
      <c r="M30" s="314"/>
      <c r="N30" s="314"/>
      <c r="O30" s="314"/>
      <c r="P30" s="314"/>
      <c r="Q30" s="314"/>
      <c r="R30" s="314"/>
      <c r="S30" s="314"/>
      <c r="T30" s="314"/>
      <c r="U30" s="314"/>
      <c r="V30" s="314"/>
      <c r="W30" s="314"/>
      <c r="X30" s="314"/>
      <c r="Y30" s="314"/>
      <c r="Z30" s="314"/>
    </row>
    <row r="31" spans="1:26" s="293" customFormat="1" ht="24" customHeight="1" thickBot="1">
      <c r="A31" s="314"/>
      <c r="B31" s="320"/>
      <c r="C31" s="321"/>
      <c r="D31" s="322"/>
      <c r="E31" s="322"/>
      <c r="F31" s="323"/>
      <c r="G31" s="323"/>
      <c r="H31" s="323"/>
      <c r="I31" s="324"/>
      <c r="J31" s="313"/>
      <c r="K31" s="314"/>
      <c r="L31" s="314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</row>
    <row r="32" spans="1:26" s="293" customFormat="1" ht="28.5" customHeight="1" thickBot="1">
      <c r="B32" s="1083" t="s">
        <v>3390</v>
      </c>
      <c r="C32" s="1084"/>
      <c r="D32" s="1084"/>
      <c r="E32" s="1084"/>
      <c r="F32" s="1084"/>
      <c r="G32" s="1084"/>
      <c r="H32" s="1084"/>
      <c r="I32" s="1085"/>
      <c r="J32" s="313"/>
    </row>
    <row r="33" spans="2:10" s="293" customFormat="1" ht="18" customHeight="1" thickBot="1">
      <c r="B33" s="1065" t="s">
        <v>2</v>
      </c>
      <c r="C33" s="1066"/>
      <c r="D33" s="1067" t="s">
        <v>3378</v>
      </c>
      <c r="E33" s="1068"/>
      <c r="F33" s="1068"/>
      <c r="G33" s="1068"/>
      <c r="H33" s="1068"/>
      <c r="I33" s="1069"/>
    </row>
    <row r="34" spans="2:10" s="293" customFormat="1" ht="18" customHeight="1">
      <c r="B34" s="1058" t="s">
        <v>3379</v>
      </c>
      <c r="C34" s="1059"/>
      <c r="D34" s="1060">
        <v>1.4999999999999999E-2</v>
      </c>
      <c r="E34" s="1060"/>
      <c r="F34" s="1060"/>
      <c r="G34" s="1060"/>
      <c r="H34" s="1060"/>
      <c r="I34" s="1061"/>
    </row>
    <row r="35" spans="2:10" s="293" customFormat="1" ht="17.25" customHeight="1">
      <c r="B35" s="1058" t="s">
        <v>3380</v>
      </c>
      <c r="C35" s="1059"/>
      <c r="D35" s="1060">
        <v>4.7999999999999996E-3</v>
      </c>
      <c r="E35" s="1060"/>
      <c r="F35" s="1060"/>
      <c r="G35" s="1060"/>
      <c r="H35" s="1060"/>
      <c r="I35" s="1061"/>
    </row>
    <row r="36" spans="2:10" s="293" customFormat="1" ht="18" customHeight="1">
      <c r="B36" s="1058" t="s">
        <v>3381</v>
      </c>
      <c r="C36" s="1059"/>
      <c r="D36" s="1070">
        <v>8.5000000000000006E-3</v>
      </c>
      <c r="E36" s="1071"/>
      <c r="F36" s="1071"/>
      <c r="G36" s="1071"/>
      <c r="H36" s="1071"/>
      <c r="I36" s="1072"/>
    </row>
    <row r="37" spans="2:10" s="293" customFormat="1" ht="18" customHeight="1">
      <c r="B37" s="1058" t="s">
        <v>3382</v>
      </c>
      <c r="C37" s="1059"/>
      <c r="D37" s="1073">
        <v>8.5000000000000006E-3</v>
      </c>
      <c r="E37" s="1073"/>
      <c r="F37" s="1073"/>
      <c r="G37" s="1073"/>
      <c r="H37" s="1073"/>
      <c r="I37" s="1074"/>
    </row>
    <row r="38" spans="2:10" s="293" customFormat="1" ht="18" customHeight="1">
      <c r="B38" s="1075" t="s">
        <v>3383</v>
      </c>
      <c r="C38" s="1076"/>
      <c r="D38" s="1060">
        <v>5.11E-2</v>
      </c>
      <c r="E38" s="1060"/>
      <c r="F38" s="1060"/>
      <c r="G38" s="1060"/>
      <c r="H38" s="1060"/>
      <c r="I38" s="1061"/>
      <c r="J38" s="313"/>
    </row>
    <row r="39" spans="2:10" s="293" customFormat="1" ht="18" customHeight="1">
      <c r="B39" s="1058" t="s">
        <v>3384</v>
      </c>
      <c r="C39" s="1059"/>
      <c r="D39" s="1060"/>
      <c r="E39" s="1060"/>
      <c r="F39" s="1060"/>
      <c r="G39" s="1060"/>
      <c r="H39" s="1060"/>
      <c r="I39" s="1061"/>
      <c r="J39" s="313"/>
    </row>
    <row r="40" spans="2:10" ht="18" customHeight="1">
      <c r="B40" s="1058" t="s">
        <v>3385</v>
      </c>
      <c r="C40" s="1059"/>
      <c r="D40" s="1077">
        <v>0</v>
      </c>
      <c r="E40" s="1077"/>
      <c r="F40" s="1077"/>
      <c r="G40" s="1077"/>
      <c r="H40" s="1077"/>
      <c r="I40" s="1078"/>
      <c r="J40" s="309"/>
    </row>
    <row r="41" spans="2:10" ht="18" customHeight="1">
      <c r="B41" s="1058" t="s">
        <v>3386</v>
      </c>
      <c r="C41" s="1059"/>
      <c r="D41" s="1060">
        <v>6.4999999999999997E-3</v>
      </c>
      <c r="E41" s="1060"/>
      <c r="F41" s="1060"/>
      <c r="G41" s="1060"/>
      <c r="H41" s="1060"/>
      <c r="I41" s="1061"/>
      <c r="J41" s="309"/>
    </row>
    <row r="42" spans="2:10" ht="18" customHeight="1">
      <c r="B42" s="1058" t="s">
        <v>3387</v>
      </c>
      <c r="C42" s="1059"/>
      <c r="D42" s="1060">
        <v>0.03</v>
      </c>
      <c r="E42" s="1060"/>
      <c r="F42" s="1060"/>
      <c r="G42" s="1060"/>
      <c r="H42" s="1060"/>
      <c r="I42" s="1061"/>
      <c r="J42" s="309"/>
    </row>
    <row r="43" spans="2:10" ht="18" customHeight="1">
      <c r="B43" s="1058" t="s">
        <v>3388</v>
      </c>
      <c r="C43" s="1059"/>
      <c r="D43" s="1077">
        <v>4.4999999999999998E-2</v>
      </c>
      <c r="E43" s="1077"/>
      <c r="F43" s="1077"/>
      <c r="G43" s="1077"/>
      <c r="H43" s="1077"/>
      <c r="I43" s="1078"/>
      <c r="J43" s="309"/>
    </row>
    <row r="44" spans="2:10" ht="18" customHeight="1" thickBot="1">
      <c r="B44" s="325"/>
      <c r="C44" s="307"/>
      <c r="D44" s="307"/>
      <c r="E44" s="307"/>
      <c r="F44" s="307"/>
      <c r="G44" s="307"/>
      <c r="H44" s="307"/>
      <c r="I44" s="308"/>
      <c r="J44" s="309"/>
    </row>
    <row r="45" spans="2:10" ht="18" customHeight="1" thickBot="1">
      <c r="B45" s="315"/>
      <c r="C45" s="316" t="s">
        <v>3391</v>
      </c>
      <c r="D45" s="317">
        <f>ROUND((((((1+D34+D35+D36)*(1+D37)*(1+D38))/(1-(D40+D41+D42+D43)))-1))*100,2)</f>
        <v>18.68</v>
      </c>
      <c r="E45" s="317"/>
      <c r="F45" s="318"/>
      <c r="G45" s="318"/>
      <c r="H45" s="318"/>
      <c r="I45" s="319"/>
      <c r="J45" s="309"/>
    </row>
    <row r="46" spans="2:10" ht="18" customHeight="1">
      <c r="B46" s="446" t="s">
        <v>3473</v>
      </c>
      <c r="C46" s="447"/>
      <c r="D46" s="437"/>
      <c r="E46" s="437"/>
      <c r="F46" s="438"/>
      <c r="G46" s="438"/>
      <c r="H46" s="438"/>
      <c r="I46" s="439"/>
      <c r="J46" s="309"/>
    </row>
    <row r="47" spans="2:10" ht="18" customHeight="1">
      <c r="B47" s="435"/>
      <c r="C47" s="436"/>
      <c r="D47" s="437"/>
      <c r="E47" s="437"/>
      <c r="F47" s="438"/>
      <c r="G47" s="438"/>
      <c r="H47" s="438"/>
      <c r="I47" s="439"/>
      <c r="J47" s="309"/>
    </row>
    <row r="48" spans="2:10" ht="18" customHeight="1">
      <c r="B48" s="435"/>
      <c r="C48" s="436"/>
      <c r="D48" s="437"/>
      <c r="E48" s="437"/>
      <c r="F48" s="438"/>
      <c r="G48" s="438"/>
      <c r="H48" s="438"/>
      <c r="I48" s="439"/>
      <c r="J48" s="309"/>
    </row>
    <row r="49" spans="1:26" ht="18" customHeight="1">
      <c r="B49" s="435"/>
      <c r="C49" s="436"/>
      <c r="D49" s="437"/>
      <c r="E49" s="437"/>
      <c r="F49" s="438"/>
      <c r="G49" s="438"/>
      <c r="H49" s="438"/>
      <c r="I49" s="439"/>
      <c r="J49" s="309"/>
    </row>
    <row r="50" spans="1:26" ht="18" customHeight="1">
      <c r="B50" s="435"/>
      <c r="C50" s="436"/>
      <c r="D50" s="437"/>
      <c r="E50" s="437"/>
      <c r="F50" s="438"/>
      <c r="G50" s="438"/>
      <c r="H50" s="438"/>
      <c r="I50" s="439"/>
      <c r="J50" s="309"/>
    </row>
    <row r="51" spans="1:26" ht="18" customHeight="1">
      <c r="B51" s="435"/>
      <c r="C51" s="436"/>
      <c r="D51" s="437"/>
      <c r="E51" s="437"/>
      <c r="F51" s="438"/>
      <c r="G51" s="438"/>
      <c r="H51" s="438"/>
      <c r="I51" s="439"/>
      <c r="J51" s="309"/>
    </row>
    <row r="52" spans="1:26" ht="18" customHeight="1">
      <c r="B52" s="435"/>
      <c r="C52" s="436"/>
      <c r="D52" s="437"/>
      <c r="E52" s="437"/>
      <c r="F52" s="438"/>
      <c r="G52" s="438"/>
      <c r="H52" s="438"/>
      <c r="I52" s="439"/>
      <c r="J52" s="309"/>
    </row>
    <row r="53" spans="1:26" ht="18" customHeight="1">
      <c r="B53" s="440" t="s">
        <v>3474</v>
      </c>
      <c r="C53" s="311"/>
      <c r="D53" s="311"/>
      <c r="E53" s="311"/>
      <c r="F53" s="311"/>
      <c r="G53" s="311"/>
      <c r="H53" s="311"/>
      <c r="I53" s="312"/>
      <c r="J53" s="309"/>
    </row>
    <row r="54" spans="1:26" ht="18" customHeight="1">
      <c r="B54" s="1088" t="s">
        <v>3475</v>
      </c>
      <c r="C54" s="1089"/>
      <c r="D54" s="1089"/>
      <c r="E54" s="1089"/>
      <c r="F54" s="1089"/>
      <c r="G54" s="1089"/>
      <c r="H54" s="1089"/>
      <c r="I54" s="1090"/>
      <c r="J54" s="309"/>
    </row>
    <row r="55" spans="1:26" ht="21.75" customHeight="1">
      <c r="B55" s="1088" t="s">
        <v>3476</v>
      </c>
      <c r="C55" s="1089"/>
      <c r="D55" s="1089"/>
      <c r="E55" s="1089"/>
      <c r="F55" s="1089"/>
      <c r="G55" s="1089"/>
      <c r="H55" s="1089"/>
      <c r="I55" s="1090"/>
      <c r="J55" s="309"/>
    </row>
    <row r="56" spans="1:26" ht="36" customHeight="1">
      <c r="B56" s="1088" t="s">
        <v>3477</v>
      </c>
      <c r="C56" s="1089"/>
      <c r="D56" s="1089"/>
      <c r="E56" s="1089"/>
      <c r="F56" s="1089"/>
      <c r="G56" s="1089"/>
      <c r="H56" s="1089"/>
      <c r="I56" s="1090"/>
      <c r="J56" s="309"/>
    </row>
    <row r="57" spans="1:26" ht="31.5" customHeight="1">
      <c r="B57" s="1091" t="s">
        <v>3478</v>
      </c>
      <c r="C57" s="1092"/>
      <c r="D57" s="1092"/>
      <c r="E57" s="1092"/>
      <c r="F57" s="1092"/>
      <c r="G57" s="1092"/>
      <c r="H57" s="1092"/>
      <c r="I57" s="1093"/>
      <c r="J57" s="309"/>
    </row>
    <row r="58" spans="1:26" ht="18" customHeight="1">
      <c r="B58" s="441"/>
      <c r="C58" s="441"/>
      <c r="D58" s="307"/>
      <c r="E58" s="307"/>
      <c r="F58" s="307"/>
      <c r="G58" s="307"/>
      <c r="H58" s="307"/>
      <c r="I58" s="307"/>
      <c r="J58" s="309"/>
    </row>
    <row r="59" spans="1:26" ht="18" customHeight="1">
      <c r="B59" s="442"/>
      <c r="C59" s="443" t="s">
        <v>3461</v>
      </c>
      <c r="D59" s="444"/>
      <c r="E59" s="444"/>
      <c r="F59" s="444"/>
      <c r="G59" s="444"/>
      <c r="H59" s="444"/>
      <c r="I59" s="445"/>
      <c r="J59" s="309"/>
    </row>
    <row r="60" spans="1:26" ht="18" customHeight="1">
      <c r="B60" s="435"/>
      <c r="C60" s="436"/>
      <c r="D60" s="437"/>
      <c r="E60" s="437"/>
      <c r="F60" s="438"/>
      <c r="G60" s="438"/>
      <c r="H60" s="438"/>
      <c r="I60" s="439"/>
      <c r="J60" s="309"/>
    </row>
    <row r="61" spans="1:26" ht="18" customHeight="1">
      <c r="B61" s="325"/>
      <c r="C61" s="307"/>
      <c r="D61" s="307"/>
      <c r="E61" s="307"/>
      <c r="F61" s="307"/>
      <c r="G61" s="307"/>
      <c r="H61" s="307"/>
      <c r="I61" s="308"/>
      <c r="J61" s="309"/>
    </row>
    <row r="62" spans="1:26" ht="18.75">
      <c r="A62" s="326"/>
      <c r="B62" s="310"/>
      <c r="C62" s="425"/>
      <c r="D62" s="311"/>
      <c r="E62" s="311"/>
      <c r="F62" s="311"/>
      <c r="G62" s="311"/>
      <c r="H62" s="311"/>
      <c r="I62" s="312"/>
      <c r="J62" s="309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</row>
    <row r="63" spans="1:26" ht="43.5" customHeight="1" thickBot="1">
      <c r="A63" s="326"/>
      <c r="B63" s="1097"/>
      <c r="C63" s="1098"/>
      <c r="D63" s="1098"/>
      <c r="E63" s="1098"/>
      <c r="F63" s="1098"/>
      <c r="G63" s="1098"/>
      <c r="H63" s="1098"/>
      <c r="I63" s="1099"/>
      <c r="J63" s="309"/>
      <c r="K63" s="326"/>
      <c r="L63" s="326"/>
      <c r="M63" s="326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</row>
    <row r="64" spans="1:26" ht="18.75">
      <c r="A64" s="326"/>
      <c r="B64" s="327"/>
      <c r="C64" s="1087"/>
      <c r="D64" s="1087"/>
      <c r="E64" s="1087"/>
      <c r="F64" s="1087"/>
      <c r="G64" s="328"/>
      <c r="H64" s="329"/>
      <c r="I64" s="326"/>
      <c r="J64" s="309"/>
      <c r="K64" s="326"/>
      <c r="L64" s="326"/>
      <c r="M64" s="326"/>
      <c r="N64" s="326"/>
      <c r="O64" s="326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</row>
    <row r="65" spans="1:26" ht="18.75">
      <c r="A65" s="326"/>
      <c r="B65" s="330"/>
      <c r="C65" s="1094"/>
      <c r="D65" s="1094"/>
      <c r="E65" s="1094"/>
      <c r="F65" s="1094"/>
      <c r="G65" s="331"/>
      <c r="H65" s="332"/>
      <c r="I65" s="326"/>
      <c r="J65" s="309"/>
      <c r="K65" s="326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</row>
    <row r="66" spans="1:26" ht="18.75">
      <c r="A66" s="326"/>
      <c r="B66" s="330"/>
      <c r="C66" s="1086"/>
      <c r="D66" s="1086"/>
      <c r="E66" s="1086"/>
      <c r="F66" s="1086"/>
      <c r="G66" s="333"/>
      <c r="H66" s="334"/>
      <c r="I66" s="326"/>
      <c r="J66" s="309"/>
      <c r="K66" s="326"/>
      <c r="L66" s="326"/>
      <c r="M66" s="326"/>
      <c r="N66" s="326"/>
      <c r="O66" s="326"/>
      <c r="P66" s="326"/>
      <c r="Q66" s="326"/>
      <c r="R66" s="326"/>
      <c r="S66" s="326"/>
      <c r="T66" s="326"/>
      <c r="U66" s="326"/>
      <c r="V66" s="326"/>
      <c r="W66" s="326"/>
      <c r="X66" s="326"/>
      <c r="Y66" s="326"/>
      <c r="Z66" s="326"/>
    </row>
    <row r="67" spans="1:26">
      <c r="A67" s="326"/>
      <c r="B67" s="327"/>
      <c r="C67" s="1087"/>
      <c r="D67" s="1087"/>
      <c r="E67" s="1087"/>
      <c r="F67" s="1087"/>
      <c r="G67" s="328"/>
      <c r="H67" s="329"/>
      <c r="I67" s="326"/>
      <c r="K67" s="326"/>
      <c r="L67" s="326"/>
      <c r="M67" s="326"/>
      <c r="N67" s="326"/>
      <c r="O67" s="326"/>
      <c r="P67" s="326"/>
      <c r="Q67" s="326"/>
      <c r="R67" s="326"/>
      <c r="S67" s="326"/>
      <c r="T67" s="326"/>
      <c r="U67" s="326"/>
      <c r="V67" s="326"/>
      <c r="W67" s="326"/>
      <c r="X67" s="326"/>
      <c r="Y67" s="326"/>
      <c r="Z67" s="326"/>
    </row>
    <row r="68" spans="1:26" ht="18.75">
      <c r="A68" s="326"/>
      <c r="B68" s="330"/>
      <c r="C68" s="1094"/>
      <c r="D68" s="1094"/>
      <c r="E68" s="1094"/>
      <c r="F68" s="1094"/>
      <c r="G68" s="331"/>
      <c r="H68" s="332"/>
      <c r="I68" s="326"/>
      <c r="J68" s="309"/>
      <c r="K68" s="326"/>
      <c r="L68" s="326"/>
      <c r="M68" s="326"/>
      <c r="N68" s="326"/>
      <c r="O68" s="326"/>
      <c r="P68" s="326"/>
      <c r="Q68" s="326"/>
      <c r="R68" s="326"/>
      <c r="S68" s="326"/>
      <c r="T68" s="326"/>
      <c r="U68" s="326"/>
      <c r="V68" s="326"/>
      <c r="W68" s="326"/>
      <c r="X68" s="326"/>
      <c r="Y68" s="326"/>
      <c r="Z68" s="326"/>
    </row>
    <row r="69" spans="1:26" ht="18.75">
      <c r="A69" s="326"/>
      <c r="B69" s="330"/>
      <c r="C69" s="1086"/>
      <c r="D69" s="1086"/>
      <c r="E69" s="1086"/>
      <c r="F69" s="1086"/>
      <c r="G69" s="333"/>
      <c r="H69" s="334"/>
      <c r="I69" s="326"/>
      <c r="J69" s="309"/>
      <c r="K69" s="326"/>
      <c r="L69" s="326"/>
      <c r="M69" s="326"/>
      <c r="N69" s="326"/>
      <c r="O69" s="326"/>
      <c r="P69" s="326"/>
      <c r="Q69" s="326"/>
      <c r="R69" s="326"/>
      <c r="S69" s="326"/>
      <c r="T69" s="326"/>
      <c r="U69" s="326"/>
      <c r="V69" s="326"/>
      <c r="W69" s="326"/>
      <c r="X69" s="326"/>
      <c r="Y69" s="326"/>
      <c r="Z69" s="326"/>
    </row>
    <row r="70" spans="1:26" ht="18.75">
      <c r="A70" s="326"/>
      <c r="B70" s="327"/>
      <c r="C70" s="1087"/>
      <c r="D70" s="1087"/>
      <c r="E70" s="1087"/>
      <c r="F70" s="1087"/>
      <c r="G70" s="328"/>
      <c r="H70" s="329"/>
      <c r="I70" s="326"/>
      <c r="J70" s="309"/>
      <c r="K70" s="326"/>
      <c r="L70" s="326"/>
      <c r="M70" s="326"/>
      <c r="N70" s="326"/>
      <c r="O70" s="326"/>
      <c r="P70" s="326"/>
      <c r="Q70" s="326"/>
      <c r="R70" s="326"/>
      <c r="S70" s="326"/>
      <c r="T70" s="326"/>
      <c r="U70" s="326"/>
      <c r="V70" s="326"/>
      <c r="W70" s="326"/>
      <c r="X70" s="326"/>
      <c r="Y70" s="326"/>
      <c r="Z70" s="326"/>
    </row>
    <row r="71" spans="1:26">
      <c r="A71" s="326"/>
      <c r="B71" s="330"/>
      <c r="C71" s="1096"/>
      <c r="D71" s="1096"/>
      <c r="E71" s="1096"/>
      <c r="F71" s="1096"/>
      <c r="G71" s="335"/>
      <c r="H71" s="332"/>
      <c r="I71" s="326"/>
      <c r="J71" s="326"/>
      <c r="K71" s="326"/>
      <c r="L71" s="326"/>
      <c r="M71" s="326"/>
      <c r="N71" s="326"/>
      <c r="O71" s="326"/>
      <c r="P71" s="326"/>
      <c r="Q71" s="326"/>
      <c r="R71" s="326"/>
      <c r="S71" s="326"/>
      <c r="T71" s="326"/>
      <c r="U71" s="326"/>
      <c r="V71" s="326"/>
      <c r="W71" s="326"/>
      <c r="X71" s="326"/>
      <c r="Y71" s="326"/>
      <c r="Z71" s="326"/>
    </row>
    <row r="72" spans="1:26">
      <c r="A72" s="326"/>
      <c r="B72" s="336"/>
      <c r="C72" s="1095"/>
      <c r="D72" s="1095"/>
      <c r="E72" s="1095"/>
      <c r="F72" s="1095"/>
      <c r="G72" s="337"/>
      <c r="H72" s="332"/>
      <c r="I72" s="326"/>
      <c r="J72" s="326"/>
      <c r="K72" s="326"/>
      <c r="L72" s="326"/>
      <c r="M72" s="326"/>
      <c r="N72" s="326"/>
      <c r="O72" s="326"/>
      <c r="P72" s="326"/>
      <c r="Q72" s="326"/>
      <c r="R72" s="326"/>
      <c r="S72" s="326"/>
      <c r="T72" s="326"/>
      <c r="U72" s="326"/>
      <c r="V72" s="326"/>
      <c r="W72" s="326"/>
      <c r="X72" s="326"/>
      <c r="Y72" s="326"/>
      <c r="Z72" s="326"/>
    </row>
    <row r="73" spans="1:26">
      <c r="A73" s="326"/>
      <c r="B73" s="336"/>
      <c r="C73" s="1095"/>
      <c r="D73" s="1095"/>
      <c r="E73" s="1095"/>
      <c r="F73" s="1095"/>
      <c r="G73" s="337"/>
      <c r="H73" s="332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</row>
    <row r="74" spans="1:26">
      <c r="A74" s="326"/>
      <c r="B74" s="336"/>
      <c r="C74" s="337"/>
      <c r="D74" s="337"/>
      <c r="E74" s="337"/>
      <c r="F74" s="337"/>
      <c r="G74" s="337"/>
      <c r="H74" s="338"/>
      <c r="I74" s="326"/>
      <c r="J74" s="326"/>
      <c r="K74" s="326"/>
      <c r="L74" s="326"/>
      <c r="M74" s="326"/>
      <c r="N74" s="326"/>
      <c r="O74" s="326"/>
      <c r="P74" s="326"/>
      <c r="Q74" s="326"/>
      <c r="R74" s="326"/>
      <c r="S74" s="326"/>
      <c r="T74" s="326"/>
      <c r="U74" s="326"/>
      <c r="V74" s="326"/>
      <c r="W74" s="326"/>
      <c r="X74" s="326"/>
      <c r="Y74" s="326"/>
      <c r="Z74" s="326"/>
    </row>
    <row r="75" spans="1:26">
      <c r="A75" s="326"/>
      <c r="B75" s="336"/>
      <c r="C75" s="1096"/>
      <c r="D75" s="1096"/>
      <c r="E75" s="1096"/>
      <c r="F75" s="1096"/>
      <c r="G75" s="335"/>
      <c r="H75" s="332"/>
      <c r="I75" s="326"/>
      <c r="J75" s="326"/>
      <c r="K75" s="326"/>
      <c r="L75" s="326"/>
      <c r="M75" s="326"/>
      <c r="N75" s="326"/>
      <c r="O75" s="326"/>
      <c r="P75" s="326"/>
      <c r="Q75" s="326"/>
      <c r="R75" s="326"/>
      <c r="S75" s="326"/>
      <c r="T75" s="326"/>
      <c r="U75" s="326"/>
      <c r="V75" s="326"/>
      <c r="W75" s="326"/>
      <c r="X75" s="326"/>
      <c r="Y75" s="326"/>
      <c r="Z75" s="326"/>
    </row>
    <row r="76" spans="1:26">
      <c r="A76" s="326"/>
      <c r="B76" s="336"/>
      <c r="C76" s="1094"/>
      <c r="D76" s="1094"/>
      <c r="E76" s="1094"/>
      <c r="F76" s="1094"/>
      <c r="G76" s="331"/>
      <c r="H76" s="332"/>
      <c r="I76" s="326"/>
      <c r="J76" s="326"/>
      <c r="K76" s="326"/>
      <c r="L76" s="326"/>
      <c r="M76" s="326"/>
      <c r="N76" s="326"/>
      <c r="O76" s="326"/>
      <c r="P76" s="326"/>
      <c r="Q76" s="326"/>
      <c r="R76" s="326"/>
      <c r="S76" s="326"/>
      <c r="T76" s="326"/>
      <c r="U76" s="326"/>
      <c r="V76" s="326"/>
      <c r="W76" s="326"/>
      <c r="X76" s="326"/>
      <c r="Y76" s="326"/>
      <c r="Z76" s="326"/>
    </row>
    <row r="77" spans="1:26">
      <c r="A77" s="326"/>
      <c r="B77" s="336"/>
      <c r="C77" s="1086"/>
      <c r="D77" s="1086"/>
      <c r="E77" s="1086"/>
      <c r="F77" s="1086"/>
      <c r="G77" s="333"/>
      <c r="H77" s="334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</row>
    <row r="78" spans="1:26">
      <c r="A78" s="326"/>
      <c r="B78" s="327"/>
      <c r="C78" s="1087"/>
      <c r="D78" s="1087"/>
      <c r="E78" s="1087"/>
      <c r="F78" s="1087"/>
      <c r="G78" s="328"/>
      <c r="H78" s="329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</row>
    <row r="79" spans="1:26">
      <c r="A79" s="326"/>
      <c r="B79" s="336"/>
      <c r="C79" s="1094"/>
      <c r="D79" s="1094"/>
      <c r="E79" s="1094"/>
      <c r="F79" s="1094"/>
      <c r="G79" s="331"/>
      <c r="H79" s="332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</row>
    <row r="80" spans="1:26">
      <c r="A80" s="326"/>
      <c r="B80" s="336"/>
      <c r="C80" s="1086"/>
      <c r="D80" s="1086"/>
      <c r="E80" s="1086"/>
      <c r="F80" s="1086"/>
      <c r="G80" s="333"/>
      <c r="H80" s="334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</row>
    <row r="81" spans="1:26">
      <c r="A81" s="326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</row>
    <row r="82" spans="1:26">
      <c r="A82" s="326"/>
      <c r="B82" s="326"/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</row>
    <row r="83" spans="1:26">
      <c r="A83" s="326"/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</row>
    <row r="84" spans="1:26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</row>
    <row r="85" spans="1:26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</row>
    <row r="86" spans="1:26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</row>
    <row r="87" spans="1:26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</row>
    <row r="88" spans="1:26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</row>
    <row r="89" spans="1:26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</row>
    <row r="90" spans="1:26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</row>
    <row r="91" spans="1:26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</row>
    <row r="92" spans="1:26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</row>
    <row r="93" spans="1:26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</row>
    <row r="94" spans="1:26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</row>
    <row r="95" spans="1:26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</row>
    <row r="96" spans="1:26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</row>
    <row r="97" spans="1:26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</row>
    <row r="98" spans="1:26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</row>
    <row r="99" spans="1:26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</row>
    <row r="100" spans="1:26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</row>
    <row r="101" spans="1:26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</row>
    <row r="102" spans="1:26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</row>
    <row r="103" spans="1:26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</row>
    <row r="104" spans="1:26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</row>
    <row r="105" spans="1:26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</row>
    <row r="106" spans="1:26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</row>
    <row r="107" spans="1:26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</row>
    <row r="108" spans="1:26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</row>
    <row r="109" spans="1:26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</row>
    <row r="110" spans="1:26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</row>
    <row r="111" spans="1:26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</row>
    <row r="112" spans="1:26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</row>
    <row r="113" spans="1:26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</row>
    <row r="114" spans="1:26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</row>
    <row r="115" spans="1:26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</row>
    <row r="116" spans="1:26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</row>
    <row r="117" spans="1:26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</row>
    <row r="118" spans="1:26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</row>
    <row r="119" spans="1:26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</row>
  </sheetData>
  <mergeCells count="70">
    <mergeCell ref="C11:E12"/>
    <mergeCell ref="C79:F79"/>
    <mergeCell ref="C80:F80"/>
    <mergeCell ref="C72:F72"/>
    <mergeCell ref="C73:F73"/>
    <mergeCell ref="C75:F75"/>
    <mergeCell ref="C76:F76"/>
    <mergeCell ref="C77:F77"/>
    <mergeCell ref="C78:F78"/>
    <mergeCell ref="C71:F71"/>
    <mergeCell ref="B63:I63"/>
    <mergeCell ref="C64:F64"/>
    <mergeCell ref="C65:F65"/>
    <mergeCell ref="C66:F66"/>
    <mergeCell ref="C67:F67"/>
    <mergeCell ref="C68:F68"/>
    <mergeCell ref="C69:F69"/>
    <mergeCell ref="C70:F70"/>
    <mergeCell ref="B41:C41"/>
    <mergeCell ref="D41:I41"/>
    <mergeCell ref="B42:C42"/>
    <mergeCell ref="D42:I42"/>
    <mergeCell ref="B43:C43"/>
    <mergeCell ref="D43:I43"/>
    <mergeCell ref="B54:I54"/>
    <mergeCell ref="B55:I55"/>
    <mergeCell ref="B56:I56"/>
    <mergeCell ref="B57:I57"/>
    <mergeCell ref="B38:C38"/>
    <mergeCell ref="D38:I38"/>
    <mergeCell ref="B39:C39"/>
    <mergeCell ref="D39:I39"/>
    <mergeCell ref="B40:C40"/>
    <mergeCell ref="D40:I40"/>
    <mergeCell ref="B35:C35"/>
    <mergeCell ref="D35:I35"/>
    <mergeCell ref="B36:C36"/>
    <mergeCell ref="D36:I36"/>
    <mergeCell ref="B37:C37"/>
    <mergeCell ref="D37:I37"/>
    <mergeCell ref="B32:I32"/>
    <mergeCell ref="B33:C33"/>
    <mergeCell ref="D33:I33"/>
    <mergeCell ref="B34:C34"/>
    <mergeCell ref="D34:I34"/>
    <mergeCell ref="B26:C26"/>
    <mergeCell ref="D26:I26"/>
    <mergeCell ref="B27:C27"/>
    <mergeCell ref="D27:I27"/>
    <mergeCell ref="B28:C28"/>
    <mergeCell ref="D28:I28"/>
    <mergeCell ref="B23:C23"/>
    <mergeCell ref="D23:I23"/>
    <mergeCell ref="B24:C24"/>
    <mergeCell ref="D24:I24"/>
    <mergeCell ref="B25:C25"/>
    <mergeCell ref="D25:I25"/>
    <mergeCell ref="B20:C20"/>
    <mergeCell ref="D20:I20"/>
    <mergeCell ref="B21:C21"/>
    <mergeCell ref="D21:I21"/>
    <mergeCell ref="B22:C22"/>
    <mergeCell ref="D22:I22"/>
    <mergeCell ref="B19:C19"/>
    <mergeCell ref="D19:I19"/>
    <mergeCell ref="B15:I15"/>
    <mergeCell ref="B17:C17"/>
    <mergeCell ref="D17:I17"/>
    <mergeCell ref="B18:C18"/>
    <mergeCell ref="D18:I18"/>
  </mergeCells>
  <printOptions horizontalCentered="1"/>
  <pageMargins left="2.4803149606299213" right="1.1023622047244095" top="0.78740157480314965" bottom="0.78740157480314965" header="0.31496062992125984" footer="0.31496062992125984"/>
  <pageSetup paperSize="9" scale="55" orientation="landscape" r:id="rId1"/>
  <headerFooter>
    <oddFooter>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39"/>
  <sheetViews>
    <sheetView workbookViewId="0">
      <selection sqref="A1:D1"/>
    </sheetView>
  </sheetViews>
  <sheetFormatPr defaultRowHeight="15"/>
  <cols>
    <col min="1" max="1" width="9.42578125" customWidth="1"/>
    <col min="2" max="2" width="72.5703125" customWidth="1"/>
    <col min="3" max="3" width="21.5703125" customWidth="1"/>
    <col min="4" max="4" width="22" customWidth="1"/>
  </cols>
  <sheetData>
    <row r="1" spans="1:5" ht="15" customHeight="1">
      <c r="A1" s="1103" t="s">
        <v>3481</v>
      </c>
      <c r="B1" s="1103"/>
      <c r="C1" s="1103"/>
      <c r="D1" s="1103"/>
      <c r="E1" s="469"/>
    </row>
    <row r="2" spans="1:5">
      <c r="A2" s="449"/>
      <c r="B2" s="449"/>
      <c r="C2" s="449"/>
      <c r="D2" s="449"/>
      <c r="E2" s="449"/>
    </row>
    <row r="3" spans="1:5">
      <c r="A3" s="1104" t="s">
        <v>3482</v>
      </c>
      <c r="B3" s="1105"/>
      <c r="C3" s="1105"/>
      <c r="D3" s="1106"/>
      <c r="E3" s="449"/>
    </row>
    <row r="4" spans="1:5">
      <c r="A4" s="468" t="s">
        <v>1</v>
      </c>
      <c r="B4" s="468" t="s">
        <v>2</v>
      </c>
      <c r="C4" s="468" t="s">
        <v>3483</v>
      </c>
      <c r="D4" s="468" t="s">
        <v>3484</v>
      </c>
      <c r="E4" s="449"/>
    </row>
    <row r="5" spans="1:5">
      <c r="A5" s="1100" t="s">
        <v>3485</v>
      </c>
      <c r="B5" s="1101"/>
      <c r="C5" s="1101"/>
      <c r="D5" s="1102"/>
      <c r="E5" s="449"/>
    </row>
    <row r="6" spans="1:5">
      <c r="A6" s="450" t="s">
        <v>3498</v>
      </c>
      <c r="B6" s="451" t="s">
        <v>3499</v>
      </c>
      <c r="C6" s="452">
        <v>0</v>
      </c>
      <c r="D6" s="452">
        <v>0</v>
      </c>
      <c r="E6" s="449"/>
    </row>
    <row r="7" spans="1:5">
      <c r="A7" s="450" t="s">
        <v>3500</v>
      </c>
      <c r="B7" s="451" t="s">
        <v>3501</v>
      </c>
      <c r="C7" s="452">
        <v>1.5</v>
      </c>
      <c r="D7" s="452">
        <v>1.5</v>
      </c>
      <c r="E7" s="449"/>
    </row>
    <row r="8" spans="1:5">
      <c r="A8" s="450" t="s">
        <v>3502</v>
      </c>
      <c r="B8" s="451" t="s">
        <v>3503</v>
      </c>
      <c r="C8" s="452">
        <v>1</v>
      </c>
      <c r="D8" s="452">
        <v>1</v>
      </c>
      <c r="E8" s="449"/>
    </row>
    <row r="9" spans="1:5">
      <c r="A9" s="450" t="s">
        <v>3504</v>
      </c>
      <c r="B9" s="451" t="s">
        <v>3505</v>
      </c>
      <c r="C9" s="452">
        <v>0.2</v>
      </c>
      <c r="D9" s="452">
        <v>0.2</v>
      </c>
      <c r="E9" s="449"/>
    </row>
    <row r="10" spans="1:5">
      <c r="A10" s="450" t="s">
        <v>3506</v>
      </c>
      <c r="B10" s="451" t="s">
        <v>3507</v>
      </c>
      <c r="C10" s="452">
        <v>0.6</v>
      </c>
      <c r="D10" s="452">
        <v>0.6</v>
      </c>
      <c r="E10" s="449"/>
    </row>
    <row r="11" spans="1:5">
      <c r="A11" s="450" t="s">
        <v>3508</v>
      </c>
      <c r="B11" s="451" t="s">
        <v>3509</v>
      </c>
      <c r="C11" s="452">
        <v>2.5</v>
      </c>
      <c r="D11" s="452">
        <v>2.5</v>
      </c>
      <c r="E11" s="449"/>
    </row>
    <row r="12" spans="1:5">
      <c r="A12" s="450" t="s">
        <v>3510</v>
      </c>
      <c r="B12" s="451" t="s">
        <v>3511</v>
      </c>
      <c r="C12" s="452">
        <v>3</v>
      </c>
      <c r="D12" s="452">
        <v>3</v>
      </c>
      <c r="E12" s="449"/>
    </row>
    <row r="13" spans="1:5">
      <c r="A13" s="450" t="s">
        <v>3512</v>
      </c>
      <c r="B13" s="451" t="s">
        <v>3513</v>
      </c>
      <c r="C13" s="452">
        <v>8</v>
      </c>
      <c r="D13" s="452">
        <v>8</v>
      </c>
      <c r="E13" s="449"/>
    </row>
    <row r="14" spans="1:5">
      <c r="A14" s="450" t="s">
        <v>3514</v>
      </c>
      <c r="B14" s="451" t="s">
        <v>3515</v>
      </c>
      <c r="C14" s="452">
        <v>0</v>
      </c>
      <c r="D14" s="452">
        <v>0</v>
      </c>
      <c r="E14" s="449"/>
    </row>
    <row r="15" spans="1:5">
      <c r="A15" s="453" t="s">
        <v>3486</v>
      </c>
      <c r="B15" s="454" t="s">
        <v>3487</v>
      </c>
      <c r="C15" s="455">
        <v>16.8</v>
      </c>
      <c r="D15" s="455">
        <v>16.8</v>
      </c>
      <c r="E15" s="449"/>
    </row>
    <row r="16" spans="1:5">
      <c r="A16" s="1100" t="s">
        <v>3488</v>
      </c>
      <c r="B16" s="1101"/>
      <c r="C16" s="1101"/>
      <c r="D16" s="1102"/>
      <c r="E16" s="449"/>
    </row>
    <row r="17" spans="1:5">
      <c r="A17" s="450" t="s">
        <v>3516</v>
      </c>
      <c r="B17" s="451" t="s">
        <v>3517</v>
      </c>
      <c r="C17" s="452">
        <v>17.82</v>
      </c>
      <c r="D17" s="452">
        <v>0</v>
      </c>
      <c r="E17" s="449"/>
    </row>
    <row r="18" spans="1:5">
      <c r="A18" s="450" t="s">
        <v>3518</v>
      </c>
      <c r="B18" s="451" t="s">
        <v>3519</v>
      </c>
      <c r="C18" s="452">
        <v>3.95</v>
      </c>
      <c r="D18" s="452">
        <v>0</v>
      </c>
      <c r="E18" s="449"/>
    </row>
    <row r="19" spans="1:5">
      <c r="A19" s="450" t="s">
        <v>3520</v>
      </c>
      <c r="B19" s="451" t="s">
        <v>3521</v>
      </c>
      <c r="C19" s="452">
        <v>0.87</v>
      </c>
      <c r="D19" s="452">
        <v>0.67</v>
      </c>
      <c r="E19" s="449"/>
    </row>
    <row r="20" spans="1:5">
      <c r="A20" s="450" t="s">
        <v>3522</v>
      </c>
      <c r="B20" s="451" t="s">
        <v>3523</v>
      </c>
      <c r="C20" s="452">
        <v>10.76</v>
      </c>
      <c r="D20" s="452">
        <v>8.33</v>
      </c>
      <c r="E20" s="449"/>
    </row>
    <row r="21" spans="1:5">
      <c r="A21" s="450" t="s">
        <v>3524</v>
      </c>
      <c r="B21" s="451" t="s">
        <v>3525</v>
      </c>
      <c r="C21" s="452">
        <v>7.0000000000000007E-2</v>
      </c>
      <c r="D21" s="452">
        <v>0.06</v>
      </c>
      <c r="E21" s="449"/>
    </row>
    <row r="22" spans="1:5">
      <c r="A22" s="450" t="s">
        <v>3526</v>
      </c>
      <c r="B22" s="451" t="s">
        <v>3527</v>
      </c>
      <c r="C22" s="452">
        <v>0.72</v>
      </c>
      <c r="D22" s="452">
        <v>0.56000000000000005</v>
      </c>
      <c r="E22" s="449"/>
    </row>
    <row r="23" spans="1:5">
      <c r="A23" s="450" t="s">
        <v>3528</v>
      </c>
      <c r="B23" s="451" t="s">
        <v>3529</v>
      </c>
      <c r="C23" s="452">
        <v>1.1599999999999999</v>
      </c>
      <c r="D23" s="452">
        <v>0</v>
      </c>
      <c r="E23" s="449"/>
    </row>
    <row r="24" spans="1:5">
      <c r="A24" s="450" t="s">
        <v>3530</v>
      </c>
      <c r="B24" s="451" t="s">
        <v>3531</v>
      </c>
      <c r="C24" s="452">
        <v>0.11</v>
      </c>
      <c r="D24" s="452">
        <v>0.08</v>
      </c>
      <c r="E24" s="449"/>
    </row>
    <row r="25" spans="1:5">
      <c r="A25" s="450" t="s">
        <v>3532</v>
      </c>
      <c r="B25" s="451" t="s">
        <v>3533</v>
      </c>
      <c r="C25" s="452">
        <v>8.35</v>
      </c>
      <c r="D25" s="452">
        <v>6.47</v>
      </c>
      <c r="E25" s="449"/>
    </row>
    <row r="26" spans="1:5">
      <c r="A26" s="450" t="s">
        <v>3534</v>
      </c>
      <c r="B26" s="451" t="s">
        <v>3535</v>
      </c>
      <c r="C26" s="452">
        <v>0.03</v>
      </c>
      <c r="D26" s="452">
        <v>0.03</v>
      </c>
      <c r="E26" s="449"/>
    </row>
    <row r="27" spans="1:5">
      <c r="A27" s="453" t="s">
        <v>3489</v>
      </c>
      <c r="B27" s="454" t="s">
        <v>3490</v>
      </c>
      <c r="C27" s="455">
        <v>43.84</v>
      </c>
      <c r="D27" s="455">
        <v>16.2</v>
      </c>
      <c r="E27" s="449"/>
    </row>
    <row r="28" spans="1:5">
      <c r="A28" s="1100" t="s">
        <v>3491</v>
      </c>
      <c r="B28" s="1101"/>
      <c r="C28" s="1101"/>
      <c r="D28" s="1102"/>
      <c r="E28" s="449"/>
    </row>
    <row r="29" spans="1:5">
      <c r="A29" s="450" t="s">
        <v>3536</v>
      </c>
      <c r="B29" s="451" t="s">
        <v>3537</v>
      </c>
      <c r="C29" s="452">
        <v>5.2</v>
      </c>
      <c r="D29" s="452">
        <v>4.03</v>
      </c>
      <c r="E29" s="449"/>
    </row>
    <row r="30" spans="1:5">
      <c r="A30" s="450" t="s">
        <v>3538</v>
      </c>
      <c r="B30" s="451" t="s">
        <v>3539</v>
      </c>
      <c r="C30" s="452">
        <v>0.12</v>
      </c>
      <c r="D30" s="452">
        <v>0.09</v>
      </c>
      <c r="E30" s="449"/>
    </row>
    <row r="31" spans="1:5">
      <c r="A31" s="450" t="s">
        <v>3540</v>
      </c>
      <c r="B31" s="451" t="s">
        <v>3541</v>
      </c>
      <c r="C31" s="452">
        <v>5.26</v>
      </c>
      <c r="D31" s="452">
        <v>4.07</v>
      </c>
      <c r="E31" s="449"/>
    </row>
    <row r="32" spans="1:5">
      <c r="A32" s="450" t="s">
        <v>3542</v>
      </c>
      <c r="B32" s="451" t="s">
        <v>3543</v>
      </c>
      <c r="C32" s="452">
        <v>3.9</v>
      </c>
      <c r="D32" s="452">
        <v>3.02</v>
      </c>
      <c r="E32" s="449"/>
    </row>
    <row r="33" spans="1:5">
      <c r="A33" s="450" t="s">
        <v>3544</v>
      </c>
      <c r="B33" s="451" t="s">
        <v>3545</v>
      </c>
      <c r="C33" s="452">
        <v>0.44</v>
      </c>
      <c r="D33" s="452">
        <v>0.34</v>
      </c>
      <c r="E33" s="449"/>
    </row>
    <row r="34" spans="1:5">
      <c r="A34" s="453" t="s">
        <v>3492</v>
      </c>
      <c r="B34" s="454" t="s">
        <v>3493</v>
      </c>
      <c r="C34" s="455">
        <v>14.92</v>
      </c>
      <c r="D34" s="455">
        <v>11.55</v>
      </c>
      <c r="E34" s="449"/>
    </row>
    <row r="35" spans="1:5">
      <c r="A35" s="1100" t="s">
        <v>3494</v>
      </c>
      <c r="B35" s="1101"/>
      <c r="C35" s="1101"/>
      <c r="D35" s="1102"/>
      <c r="E35" s="449"/>
    </row>
    <row r="36" spans="1:5">
      <c r="A36" s="450" t="s">
        <v>3546</v>
      </c>
      <c r="B36" s="451" t="s">
        <v>3547</v>
      </c>
      <c r="C36" s="452">
        <v>7.37</v>
      </c>
      <c r="D36" s="452">
        <v>2.72</v>
      </c>
      <c r="E36" s="449"/>
    </row>
    <row r="37" spans="1:5" ht="25.5">
      <c r="A37" s="450" t="s">
        <v>3548</v>
      </c>
      <c r="B37" s="460" t="s">
        <v>3549</v>
      </c>
      <c r="C37" s="452">
        <v>0.44</v>
      </c>
      <c r="D37" s="452">
        <v>0.34</v>
      </c>
      <c r="E37" s="449"/>
    </row>
    <row r="38" spans="1:5">
      <c r="A38" s="453" t="s">
        <v>3495</v>
      </c>
      <c r="B38" s="454" t="s">
        <v>3496</v>
      </c>
      <c r="C38" s="456">
        <v>7.81</v>
      </c>
      <c r="D38" s="456">
        <v>3.06</v>
      </c>
      <c r="E38" s="449"/>
    </row>
    <row r="39" spans="1:5">
      <c r="A39" s="457" t="s">
        <v>3497</v>
      </c>
      <c r="B39" s="458"/>
      <c r="C39" s="459">
        <v>83.37</v>
      </c>
      <c r="D39" s="459">
        <v>47.61</v>
      </c>
      <c r="E39" s="449"/>
    </row>
  </sheetData>
  <mergeCells count="6">
    <mergeCell ref="A28:D28"/>
    <mergeCell ref="A35:D35"/>
    <mergeCell ref="A1:D1"/>
    <mergeCell ref="A3:D3"/>
    <mergeCell ref="A5:D5"/>
    <mergeCell ref="A16:D1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4">
    <outlinePr summaryBelow="0"/>
  </sheetPr>
  <dimension ref="A1:M2583"/>
  <sheetViews>
    <sheetView view="pageBreakPreview" topLeftCell="A92" zoomScale="80" zoomScaleSheetLayoutView="80" workbookViewId="0">
      <selection activeCell="A101" sqref="A101:G108"/>
    </sheetView>
  </sheetViews>
  <sheetFormatPr defaultColWidth="9.140625" defaultRowHeight="15"/>
  <cols>
    <col min="1" max="1" width="13.140625" style="2" bestFit="1" customWidth="1"/>
    <col min="2" max="2" width="48.85546875" style="2" customWidth="1"/>
    <col min="3" max="3" width="12.42578125" style="2" customWidth="1"/>
    <col min="4" max="4" width="7.5703125" style="2" customWidth="1"/>
    <col min="5" max="5" width="12.42578125" style="2" customWidth="1"/>
    <col min="6" max="6" width="17.140625" style="2" customWidth="1"/>
    <col min="7" max="7" width="12.140625" style="2" bestFit="1" customWidth="1"/>
    <col min="8" max="8" width="10.85546875" style="375" hidden="1" customWidth="1"/>
    <col min="9" max="9" width="58" style="2" hidden="1" customWidth="1"/>
    <col min="10" max="10" width="10.85546875" style="375" bestFit="1" customWidth="1"/>
    <col min="11" max="11" width="14.28515625" style="448" customWidth="1"/>
    <col min="12" max="16384" width="9.140625" style="2"/>
  </cols>
  <sheetData>
    <row r="1" spans="1:11" ht="34.9" customHeight="1">
      <c r="A1" s="930" t="s">
        <v>2663</v>
      </c>
      <c r="B1" s="931"/>
      <c r="C1" s="931"/>
      <c r="D1" s="931"/>
      <c r="E1" s="931"/>
      <c r="F1" s="931"/>
      <c r="G1" s="932"/>
    </row>
    <row r="2" spans="1:11">
      <c r="A2" s="1133" t="s">
        <v>1829</v>
      </c>
      <c r="B2" s="934" t="s">
        <v>2969</v>
      </c>
      <c r="C2" s="934"/>
      <c r="D2" s="934"/>
      <c r="E2" s="935" t="s">
        <v>3422</v>
      </c>
      <c r="F2" s="936"/>
      <c r="G2" s="937"/>
    </row>
    <row r="3" spans="1:11">
      <c r="A3" s="1133"/>
      <c r="B3" s="934"/>
      <c r="C3" s="934"/>
      <c r="D3" s="934"/>
      <c r="E3" s="938"/>
      <c r="F3" s="939"/>
      <c r="G3" s="940"/>
    </row>
    <row r="4" spans="1:11">
      <c r="A4" s="1133" t="s">
        <v>1830</v>
      </c>
      <c r="B4" s="934" t="s">
        <v>3021</v>
      </c>
      <c r="C4" s="934"/>
      <c r="D4" s="934"/>
      <c r="E4" s="938"/>
      <c r="F4" s="939"/>
      <c r="G4" s="940"/>
    </row>
    <row r="5" spans="1:11">
      <c r="A5" s="1133"/>
      <c r="B5" s="934"/>
      <c r="C5" s="934"/>
      <c r="D5" s="934"/>
      <c r="E5" s="941"/>
      <c r="F5" s="942"/>
      <c r="G5" s="943"/>
    </row>
    <row r="6" spans="1:11" ht="4.9000000000000004" customHeight="1"/>
    <row r="7" spans="1:11">
      <c r="A7" s="4"/>
      <c r="B7" s="4"/>
      <c r="C7" s="927"/>
      <c r="D7" s="928"/>
      <c r="E7" s="4"/>
      <c r="F7" s="4"/>
      <c r="G7" s="4"/>
    </row>
    <row r="8" spans="1:11" ht="30.75" customHeight="1">
      <c r="A8" s="920" t="s">
        <v>2042</v>
      </c>
      <c r="B8" s="921"/>
      <c r="C8" s="921"/>
      <c r="D8" s="921"/>
      <c r="E8" s="929"/>
      <c r="F8" s="75" t="s">
        <v>1915</v>
      </c>
      <c r="G8" s="76"/>
    </row>
    <row r="9" spans="1:11" ht="28.5">
      <c r="A9" s="346" t="s">
        <v>370</v>
      </c>
      <c r="B9" s="347"/>
      <c r="C9" s="77" t="s">
        <v>3</v>
      </c>
      <c r="D9" s="77" t="s">
        <v>4</v>
      </c>
      <c r="E9" s="77" t="s">
        <v>1826</v>
      </c>
      <c r="F9" s="77" t="s">
        <v>367</v>
      </c>
      <c r="G9" s="77" t="s">
        <v>368</v>
      </c>
    </row>
    <row r="10" spans="1:11" ht="45">
      <c r="A10" s="24">
        <v>89032</v>
      </c>
      <c r="B10" s="78" t="s">
        <v>1775</v>
      </c>
      <c r="C10" s="25" t="s">
        <v>12</v>
      </c>
      <c r="D10" s="25" t="s">
        <v>388</v>
      </c>
      <c r="E10" s="26">
        <v>1.7600000000000001E-2</v>
      </c>
      <c r="F10" s="26">
        <f>H10</f>
        <v>119.1615</v>
      </c>
      <c r="G10" s="26">
        <f>ROUND(F10*E10,2)</f>
        <v>2.1</v>
      </c>
      <c r="H10" s="375">
        <v>119.1615</v>
      </c>
      <c r="I10" s="2" t="e">
        <f>IF(A10&lt;&gt;0,VLOOKUP(A10,#REF!,2,FALSE),"")</f>
        <v>#REF!</v>
      </c>
      <c r="K10" s="466"/>
    </row>
    <row r="11" spans="1:11" ht="15" customHeight="1">
      <c r="A11" s="986" t="s">
        <v>1894</v>
      </c>
      <c r="B11" s="986"/>
      <c r="C11" s="986"/>
      <c r="D11" s="986"/>
      <c r="E11" s="986"/>
      <c r="F11" s="986"/>
      <c r="G11" s="79">
        <f>G10</f>
        <v>2.1</v>
      </c>
      <c r="K11" s="237"/>
    </row>
    <row r="12" spans="1:11" ht="24.75" customHeight="1">
      <c r="A12" s="80"/>
      <c r="B12" s="80"/>
      <c r="C12" s="352"/>
      <c r="D12" s="353"/>
      <c r="E12" s="80"/>
      <c r="F12" s="80"/>
      <c r="G12" s="80"/>
      <c r="K12" s="237"/>
    </row>
    <row r="13" spans="1:11" ht="36.75" customHeight="1">
      <c r="A13" s="920" t="s">
        <v>2041</v>
      </c>
      <c r="B13" s="921"/>
      <c r="C13" s="921"/>
      <c r="D13" s="921"/>
      <c r="E13" s="922"/>
      <c r="F13" s="75" t="s">
        <v>1915</v>
      </c>
      <c r="G13" s="347"/>
      <c r="K13" s="237"/>
    </row>
    <row r="14" spans="1:11" ht="28.5">
      <c r="A14" s="346" t="s">
        <v>370</v>
      </c>
      <c r="B14" s="347"/>
      <c r="C14" s="77" t="s">
        <v>3</v>
      </c>
      <c r="D14" s="77" t="s">
        <v>4</v>
      </c>
      <c r="E14" s="77" t="s">
        <v>1826</v>
      </c>
      <c r="F14" s="77" t="s">
        <v>367</v>
      </c>
      <c r="G14" s="77" t="s">
        <v>368</v>
      </c>
      <c r="K14" s="237"/>
    </row>
    <row r="15" spans="1:11" ht="75">
      <c r="A15" s="24">
        <v>5811</v>
      </c>
      <c r="B15" s="78" t="s">
        <v>1778</v>
      </c>
      <c r="C15" s="25" t="s">
        <v>12</v>
      </c>
      <c r="D15" s="25" t="s">
        <v>388</v>
      </c>
      <c r="E15" s="26">
        <v>0.1265</v>
      </c>
      <c r="F15" s="26">
        <f>H15</f>
        <v>125.20500000000001</v>
      </c>
      <c r="G15" s="26">
        <f>ROUND(F15*E15,2)</f>
        <v>15.84</v>
      </c>
      <c r="H15" s="375">
        <v>125.20500000000001</v>
      </c>
      <c r="I15" s="2" t="e">
        <f>IF(A15&lt;&gt;0,VLOOKUP(A15,#REF!,2,FALSE),"")</f>
        <v>#REF!</v>
      </c>
      <c r="K15" s="467"/>
    </row>
    <row r="16" spans="1:11" ht="15" customHeight="1">
      <c r="A16" s="986" t="s">
        <v>1894</v>
      </c>
      <c r="B16" s="986"/>
      <c r="C16" s="986"/>
      <c r="D16" s="986"/>
      <c r="E16" s="986"/>
      <c r="F16" s="986"/>
      <c r="G16" s="79">
        <f>G15</f>
        <v>15.84</v>
      </c>
      <c r="K16" s="237"/>
    </row>
    <row r="17" spans="1:11" ht="27" customHeight="1">
      <c r="A17" s="80"/>
      <c r="B17" s="80"/>
      <c r="C17" s="352"/>
      <c r="D17" s="353"/>
      <c r="E17" s="80"/>
      <c r="F17" s="80"/>
      <c r="G17" s="80"/>
      <c r="K17" s="237"/>
    </row>
    <row r="18" spans="1:11" ht="32.25" customHeight="1">
      <c r="A18" s="920" t="s">
        <v>2043</v>
      </c>
      <c r="B18" s="921"/>
      <c r="C18" s="921"/>
      <c r="D18" s="921"/>
      <c r="E18" s="922"/>
      <c r="F18" s="75" t="s">
        <v>1915</v>
      </c>
      <c r="G18" s="347"/>
      <c r="K18" s="237"/>
    </row>
    <row r="19" spans="1:11" ht="28.5">
      <c r="A19" s="346" t="s">
        <v>370</v>
      </c>
      <c r="B19" s="347"/>
      <c r="C19" s="77" t="s">
        <v>3</v>
      </c>
      <c r="D19" s="77" t="s">
        <v>4</v>
      </c>
      <c r="E19" s="77" t="s">
        <v>1826</v>
      </c>
      <c r="F19" s="77" t="s">
        <v>367</v>
      </c>
      <c r="G19" s="77" t="s">
        <v>368</v>
      </c>
      <c r="K19" s="237"/>
    </row>
    <row r="20" spans="1:11" ht="45">
      <c r="A20" s="24">
        <v>5847</v>
      </c>
      <c r="B20" s="78" t="s">
        <v>1779</v>
      </c>
      <c r="C20" s="25" t="s">
        <v>12</v>
      </c>
      <c r="D20" s="25" t="s">
        <v>388</v>
      </c>
      <c r="E20" s="26">
        <v>2.9867000000000001E-3</v>
      </c>
      <c r="F20" s="26">
        <f>H20</f>
        <v>164.77250000000001</v>
      </c>
      <c r="G20" s="26">
        <f>ROUND(F20*E20,2)</f>
        <v>0.49</v>
      </c>
      <c r="H20" s="375">
        <v>164.77250000000001</v>
      </c>
      <c r="I20" s="2" t="e">
        <f>IF(A20&lt;&gt;0,VLOOKUP(A20,#REF!,2,FALSE),"")</f>
        <v>#REF!</v>
      </c>
      <c r="K20" s="467"/>
    </row>
    <row r="21" spans="1:11" ht="30">
      <c r="A21" s="24">
        <v>88316</v>
      </c>
      <c r="B21" s="78" t="s">
        <v>377</v>
      </c>
      <c r="C21" s="25" t="s">
        <v>12</v>
      </c>
      <c r="D21" s="25" t="s">
        <v>19</v>
      </c>
      <c r="E21" s="26">
        <v>2.5499999999999998E-2</v>
      </c>
      <c r="F21" s="26">
        <f>H21</f>
        <v>11.798000000000002</v>
      </c>
      <c r="G21" s="26">
        <f>ROUND(F21*E21,2)</f>
        <v>0.3</v>
      </c>
      <c r="H21" s="375">
        <v>11.798000000000002</v>
      </c>
      <c r="I21" s="2" t="e">
        <f>IF(A21&lt;&gt;0,VLOOKUP(A21,#REF!,2,FALSE),"")</f>
        <v>#REF!</v>
      </c>
      <c r="K21" s="467"/>
    </row>
    <row r="22" spans="1:11" ht="15" customHeight="1">
      <c r="A22" s="986" t="s">
        <v>1894</v>
      </c>
      <c r="B22" s="986"/>
      <c r="C22" s="986"/>
      <c r="D22" s="986"/>
      <c r="E22" s="986"/>
      <c r="F22" s="986"/>
      <c r="G22" s="79">
        <f>SUM(G20:G21)</f>
        <v>0.79</v>
      </c>
      <c r="K22" s="237"/>
    </row>
    <row r="23" spans="1:11" ht="30" customHeight="1">
      <c r="A23" s="80"/>
      <c r="B23" s="80"/>
      <c r="C23" s="352"/>
      <c r="D23" s="353"/>
      <c r="E23" s="80"/>
      <c r="F23" s="80"/>
      <c r="G23" s="80"/>
      <c r="K23" s="237"/>
    </row>
    <row r="24" spans="1:11" ht="39" customHeight="1">
      <c r="A24" s="920" t="s">
        <v>2044</v>
      </c>
      <c r="B24" s="921"/>
      <c r="C24" s="921"/>
      <c r="D24" s="921"/>
      <c r="E24" s="922"/>
      <c r="F24" s="75" t="s">
        <v>1915</v>
      </c>
      <c r="G24" s="347"/>
      <c r="K24" s="237"/>
    </row>
    <row r="25" spans="1:11" ht="28.5">
      <c r="A25" s="346" t="s">
        <v>370</v>
      </c>
      <c r="B25" s="347"/>
      <c r="C25" s="77" t="s">
        <v>3</v>
      </c>
      <c r="D25" s="77" t="s">
        <v>4</v>
      </c>
      <c r="E25" s="77" t="s">
        <v>1826</v>
      </c>
      <c r="F25" s="77" t="s">
        <v>367</v>
      </c>
      <c r="G25" s="77" t="s">
        <v>368</v>
      </c>
      <c r="K25" s="237"/>
    </row>
    <row r="26" spans="1:11" ht="30">
      <c r="A26" s="24">
        <v>88309</v>
      </c>
      <c r="B26" s="78" t="s">
        <v>390</v>
      </c>
      <c r="C26" s="25" t="s">
        <v>12</v>
      </c>
      <c r="D26" s="25" t="s">
        <v>19</v>
      </c>
      <c r="E26" s="26">
        <v>0.104</v>
      </c>
      <c r="F26" s="26">
        <f>H26</f>
        <v>15.121499999999999</v>
      </c>
      <c r="G26" s="26">
        <f>ROUND(F26*E26,2)</f>
        <v>1.57</v>
      </c>
      <c r="H26" s="375">
        <v>15.121499999999999</v>
      </c>
      <c r="I26" s="2" t="e">
        <f>IF(A26&lt;&gt;0,VLOOKUP(A26,#REF!,2,FALSE),"")</f>
        <v>#REF!</v>
      </c>
      <c r="K26" s="467"/>
    </row>
    <row r="27" spans="1:11" ht="30">
      <c r="A27" s="24">
        <v>88316</v>
      </c>
      <c r="B27" s="78" t="s">
        <v>377</v>
      </c>
      <c r="C27" s="25" t="s">
        <v>12</v>
      </c>
      <c r="D27" s="25" t="s">
        <v>19</v>
      </c>
      <c r="E27" s="26">
        <v>0.156</v>
      </c>
      <c r="F27" s="26">
        <f>H27</f>
        <v>11.798000000000002</v>
      </c>
      <c r="G27" s="26">
        <f>ROUND(F27*E27,2)</f>
        <v>1.84</v>
      </c>
      <c r="H27" s="375">
        <v>11.798000000000002</v>
      </c>
      <c r="I27" s="2" t="e">
        <f>IF(A27&lt;&gt;0,VLOOKUP(A27,#REF!,2,FALSE),"")</f>
        <v>#REF!</v>
      </c>
      <c r="K27" s="467"/>
    </row>
    <row r="28" spans="1:11" ht="45">
      <c r="A28" s="24">
        <v>91533</v>
      </c>
      <c r="B28" s="78" t="s">
        <v>1776</v>
      </c>
      <c r="C28" s="25" t="s">
        <v>12</v>
      </c>
      <c r="D28" s="25" t="s">
        <v>388</v>
      </c>
      <c r="E28" s="26">
        <v>3.0000000000000001E-3</v>
      </c>
      <c r="F28" s="26">
        <f>H28</f>
        <v>24.8795</v>
      </c>
      <c r="G28" s="26">
        <f>ROUND(F28*E28,2)</f>
        <v>7.0000000000000007E-2</v>
      </c>
      <c r="H28" s="375">
        <v>24.8795</v>
      </c>
      <c r="I28" s="2" t="e">
        <f>IF(A28&lt;&gt;0,VLOOKUP(A28,#REF!,2,FALSE),"")</f>
        <v>#REF!</v>
      </c>
      <c r="K28" s="467"/>
    </row>
    <row r="29" spans="1:11" ht="45">
      <c r="A29" s="24">
        <v>91534</v>
      </c>
      <c r="B29" s="78" t="s">
        <v>1777</v>
      </c>
      <c r="C29" s="25" t="s">
        <v>12</v>
      </c>
      <c r="D29" s="25" t="s">
        <v>389</v>
      </c>
      <c r="E29" s="26">
        <v>3.0000000000000001E-3</v>
      </c>
      <c r="F29" s="26">
        <f>H29</f>
        <v>19.023</v>
      </c>
      <c r="G29" s="26">
        <f>ROUND(F29*E29,2)</f>
        <v>0.06</v>
      </c>
      <c r="H29" s="375">
        <v>19.023</v>
      </c>
      <c r="I29" s="2" t="e">
        <f>IF(A29&lt;&gt;0,VLOOKUP(A29,#REF!,2,FALSE),"")</f>
        <v>#REF!</v>
      </c>
      <c r="K29" s="467"/>
    </row>
    <row r="30" spans="1:11" ht="15" customHeight="1">
      <c r="A30" s="986" t="s">
        <v>1894</v>
      </c>
      <c r="B30" s="986"/>
      <c r="C30" s="986"/>
      <c r="D30" s="986"/>
      <c r="E30" s="986"/>
      <c r="F30" s="986"/>
      <c r="G30" s="79">
        <f>SUM(G26:G29)</f>
        <v>3.54</v>
      </c>
      <c r="K30" s="237"/>
    </row>
    <row r="31" spans="1:11" ht="24.75" customHeight="1">
      <c r="A31" s="80"/>
      <c r="B31" s="80"/>
      <c r="C31" s="352"/>
      <c r="D31" s="353"/>
      <c r="E31" s="80"/>
      <c r="F31" s="80"/>
      <c r="G31" s="80"/>
      <c r="K31" s="237"/>
    </row>
    <row r="32" spans="1:11" ht="36.75" customHeight="1">
      <c r="A32" s="920" t="s">
        <v>2045</v>
      </c>
      <c r="B32" s="921"/>
      <c r="C32" s="921"/>
      <c r="D32" s="921"/>
      <c r="E32" s="922"/>
      <c r="F32" s="75" t="s">
        <v>1915</v>
      </c>
      <c r="G32" s="347"/>
      <c r="K32" s="237"/>
    </row>
    <row r="33" spans="1:11" ht="28.5">
      <c r="A33" s="346" t="s">
        <v>1917</v>
      </c>
      <c r="B33" s="347"/>
      <c r="C33" s="77" t="s">
        <v>3</v>
      </c>
      <c r="D33" s="77" t="s">
        <v>4</v>
      </c>
      <c r="E33" s="77" t="s">
        <v>1826</v>
      </c>
      <c r="F33" s="77" t="s">
        <v>367</v>
      </c>
      <c r="G33" s="77" t="s">
        <v>368</v>
      </c>
      <c r="K33" s="237"/>
    </row>
    <row r="34" spans="1:11" ht="45">
      <c r="A34" s="24">
        <v>123</v>
      </c>
      <c r="B34" s="78" t="s">
        <v>391</v>
      </c>
      <c r="C34" s="25" t="s">
        <v>12</v>
      </c>
      <c r="D34" s="25" t="s">
        <v>45</v>
      </c>
      <c r="E34" s="26">
        <v>20</v>
      </c>
      <c r="F34" s="26">
        <f>H34</f>
        <v>5.8650000000000002</v>
      </c>
      <c r="G34" s="26">
        <f>ROUND(F34*E34,2)</f>
        <v>117.3</v>
      </c>
      <c r="H34" s="375">
        <v>5.8650000000000002</v>
      </c>
      <c r="I34" s="2" t="e">
        <f>IF(A34&lt;&gt;0,VLOOKUP(A34,#REF!,2,FALSE),"")</f>
        <v>#REF!</v>
      </c>
      <c r="K34" s="467"/>
    </row>
    <row r="35" spans="1:11" ht="30">
      <c r="A35" s="24">
        <v>88309</v>
      </c>
      <c r="B35" s="78" t="s">
        <v>390</v>
      </c>
      <c r="C35" s="25" t="s">
        <v>12</v>
      </c>
      <c r="D35" s="25" t="s">
        <v>19</v>
      </c>
      <c r="E35" s="26">
        <v>2</v>
      </c>
      <c r="F35" s="26">
        <f>H35</f>
        <v>15.121499999999999</v>
      </c>
      <c r="G35" s="26">
        <f>ROUND(F35*E35,2)</f>
        <v>30.24</v>
      </c>
      <c r="H35" s="375">
        <v>15.121499999999999</v>
      </c>
      <c r="I35" s="2" t="e">
        <f>IF(A35&lt;&gt;0,VLOOKUP(A35,#REF!,2,FALSE),"")</f>
        <v>#REF!</v>
      </c>
      <c r="K35" s="467"/>
    </row>
    <row r="36" spans="1:11" ht="30">
      <c r="A36" s="24">
        <v>88316</v>
      </c>
      <c r="B36" s="78" t="s">
        <v>377</v>
      </c>
      <c r="C36" s="25" t="s">
        <v>12</v>
      </c>
      <c r="D36" s="25" t="s">
        <v>19</v>
      </c>
      <c r="E36" s="26">
        <v>6</v>
      </c>
      <c r="F36" s="26">
        <f>H36</f>
        <v>11.798000000000002</v>
      </c>
      <c r="G36" s="26">
        <f>ROUND(F36*E36,2)</f>
        <v>70.790000000000006</v>
      </c>
      <c r="H36" s="375">
        <v>11.798000000000002</v>
      </c>
      <c r="I36" s="2" t="e">
        <f>IF(A36&lt;&gt;0,VLOOKUP(A36,#REF!,2,FALSE),"")</f>
        <v>#REF!</v>
      </c>
      <c r="K36" s="237"/>
    </row>
    <row r="37" spans="1:11" ht="45">
      <c r="A37" s="24">
        <v>94962</v>
      </c>
      <c r="B37" s="78" t="s">
        <v>1773</v>
      </c>
      <c r="C37" s="25" t="s">
        <v>12</v>
      </c>
      <c r="D37" s="25" t="s">
        <v>35</v>
      </c>
      <c r="E37" s="26">
        <v>1</v>
      </c>
      <c r="F37" s="26">
        <f>H37</f>
        <v>258.9015</v>
      </c>
      <c r="G37" s="26">
        <f>ROUND(F37*E37,2)</f>
        <v>258.89999999999998</v>
      </c>
      <c r="H37" s="375">
        <v>258.9015</v>
      </c>
      <c r="I37" s="2" t="e">
        <f>IF(A37&lt;&gt;0,VLOOKUP(A37,#REF!,2,FALSE),"")</f>
        <v>#REF!</v>
      </c>
      <c r="K37" s="237"/>
    </row>
    <row r="38" spans="1:11" ht="15" customHeight="1">
      <c r="A38" s="986" t="s">
        <v>1894</v>
      </c>
      <c r="B38" s="986"/>
      <c r="C38" s="986"/>
      <c r="D38" s="986"/>
      <c r="E38" s="986"/>
      <c r="F38" s="986"/>
      <c r="G38" s="79">
        <f>SUM(G34:G37)</f>
        <v>477.22999999999996</v>
      </c>
      <c r="K38" s="237"/>
    </row>
    <row r="39" spans="1:11" ht="28.5" customHeight="1">
      <c r="A39" s="80"/>
      <c r="B39" s="80"/>
      <c r="C39" s="352"/>
      <c r="D39" s="353"/>
      <c r="E39" s="80"/>
      <c r="F39" s="80"/>
      <c r="G39" s="80"/>
      <c r="K39" s="237"/>
    </row>
    <row r="40" spans="1:11" ht="24" customHeight="1">
      <c r="A40" s="920" t="s">
        <v>2047</v>
      </c>
      <c r="B40" s="921"/>
      <c r="C40" s="921"/>
      <c r="D40" s="921"/>
      <c r="E40" s="929"/>
      <c r="F40" s="75" t="s">
        <v>1915</v>
      </c>
      <c r="G40" s="347"/>
      <c r="K40" s="237"/>
    </row>
    <row r="41" spans="1:11" ht="28.5">
      <c r="A41" s="346" t="s">
        <v>1917</v>
      </c>
      <c r="B41" s="347"/>
      <c r="C41" s="77" t="s">
        <v>3</v>
      </c>
      <c r="D41" s="77" t="s">
        <v>4</v>
      </c>
      <c r="E41" s="77" t="s">
        <v>1826</v>
      </c>
      <c r="F41" s="77" t="s">
        <v>367</v>
      </c>
      <c r="G41" s="77" t="s">
        <v>368</v>
      </c>
      <c r="K41" s="237"/>
    </row>
    <row r="42" spans="1:11" ht="30">
      <c r="A42" s="24">
        <v>4509</v>
      </c>
      <c r="B42" s="78" t="s">
        <v>392</v>
      </c>
      <c r="C42" s="25" t="s">
        <v>12</v>
      </c>
      <c r="D42" s="25" t="s">
        <v>52</v>
      </c>
      <c r="E42" s="26">
        <v>3.5</v>
      </c>
      <c r="F42" s="26">
        <f>H42</f>
        <v>2.7709999999999999</v>
      </c>
      <c r="G42" s="26">
        <f>ROUND(F42*E42,2)</f>
        <v>9.6999999999999993</v>
      </c>
      <c r="H42" s="375">
        <v>2.7709999999999999</v>
      </c>
      <c r="I42" s="2" t="e">
        <f>IF(A42&lt;&gt;0,VLOOKUP(A42,#REF!,2,FALSE),"")</f>
        <v>#REF!</v>
      </c>
      <c r="K42" s="237"/>
    </row>
    <row r="43" spans="1:11" ht="30">
      <c r="A43" s="24">
        <v>5061</v>
      </c>
      <c r="B43" s="78" t="s">
        <v>386</v>
      </c>
      <c r="C43" s="25" t="s">
        <v>12</v>
      </c>
      <c r="D43" s="25" t="s">
        <v>45</v>
      </c>
      <c r="E43" s="26">
        <v>0.15</v>
      </c>
      <c r="F43" s="26">
        <f>H43</f>
        <v>15.725</v>
      </c>
      <c r="G43" s="26">
        <f>ROUND(F43*E43,2)</f>
        <v>2.36</v>
      </c>
      <c r="H43" s="375">
        <v>15.725</v>
      </c>
      <c r="I43" s="2" t="e">
        <f>IF(A43&lt;&gt;0,VLOOKUP(A43,#REF!,2,FALSE),"")</f>
        <v>#REF!</v>
      </c>
      <c r="K43" s="237"/>
    </row>
    <row r="44" spans="1:11" ht="30">
      <c r="A44" s="24">
        <v>6189</v>
      </c>
      <c r="B44" s="78" t="s">
        <v>387</v>
      </c>
      <c r="C44" s="25" t="s">
        <v>12</v>
      </c>
      <c r="D44" s="25" t="s">
        <v>52</v>
      </c>
      <c r="E44" s="26">
        <v>3.4870000000000001</v>
      </c>
      <c r="F44" s="26">
        <f>H44</f>
        <v>17.527000000000001</v>
      </c>
      <c r="G44" s="26">
        <f>ROUND(F44*E44,2)</f>
        <v>61.12</v>
      </c>
      <c r="H44" s="375">
        <v>17.527000000000001</v>
      </c>
      <c r="I44" s="2" t="e">
        <f>IF(A44&lt;&gt;0,VLOOKUP(A44,#REF!,2,FALSE),"")</f>
        <v>#REF!</v>
      </c>
      <c r="K44" s="237"/>
    </row>
    <row r="45" spans="1:11" ht="30">
      <c r="A45" s="24">
        <v>88262</v>
      </c>
      <c r="B45" s="78" t="s">
        <v>376</v>
      </c>
      <c r="C45" s="25" t="s">
        <v>12</v>
      </c>
      <c r="D45" s="25" t="s">
        <v>19</v>
      </c>
      <c r="E45" s="26">
        <v>1.3</v>
      </c>
      <c r="F45" s="26">
        <f>H45</f>
        <v>14.96</v>
      </c>
      <c r="G45" s="26">
        <f>ROUND(F45*E45,2)</f>
        <v>19.45</v>
      </c>
      <c r="H45" s="375">
        <v>14.96</v>
      </c>
      <c r="I45" s="2" t="e">
        <f>IF(A45&lt;&gt;0,VLOOKUP(A45,#REF!,2,FALSE),"")</f>
        <v>#REF!</v>
      </c>
      <c r="K45" s="237"/>
    </row>
    <row r="46" spans="1:11" ht="30">
      <c r="A46" s="24">
        <v>88239</v>
      </c>
      <c r="B46" s="78" t="s">
        <v>393</v>
      </c>
      <c r="C46" s="25" t="s">
        <v>12</v>
      </c>
      <c r="D46" s="25" t="s">
        <v>19</v>
      </c>
      <c r="E46" s="26">
        <v>0.32500000000000001</v>
      </c>
      <c r="F46" s="26">
        <f>H46</f>
        <v>12.622499999999999</v>
      </c>
      <c r="G46" s="26">
        <f>ROUND(F46*E46,2)</f>
        <v>4.0999999999999996</v>
      </c>
      <c r="H46" s="375">
        <v>12.622499999999999</v>
      </c>
      <c r="I46" s="2" t="e">
        <f>IF(A46&lt;&gt;0,VLOOKUP(A46,#REF!,2,FALSE),"")</f>
        <v>#REF!</v>
      </c>
      <c r="K46" s="237"/>
    </row>
    <row r="47" spans="1:11" ht="15" customHeight="1">
      <c r="A47" s="986" t="s">
        <v>1894</v>
      </c>
      <c r="B47" s="986"/>
      <c r="C47" s="986"/>
      <c r="D47" s="986"/>
      <c r="E47" s="986"/>
      <c r="F47" s="986"/>
      <c r="G47" s="79">
        <f>SUM(G42:G46)</f>
        <v>96.72999999999999</v>
      </c>
      <c r="K47" s="237"/>
    </row>
    <row r="48" spans="1:11">
      <c r="A48" s="80"/>
      <c r="B48" s="80"/>
      <c r="C48" s="352"/>
      <c r="D48" s="353"/>
      <c r="E48" s="80"/>
      <c r="F48" s="80"/>
      <c r="G48" s="80"/>
      <c r="K48" s="237"/>
    </row>
    <row r="49" spans="1:11">
      <c r="A49" s="80"/>
      <c r="B49" s="80"/>
      <c r="C49" s="352"/>
      <c r="D49" s="353"/>
      <c r="E49" s="80"/>
      <c r="F49" s="80"/>
      <c r="G49" s="80"/>
      <c r="K49" s="237"/>
    </row>
    <row r="50" spans="1:11" ht="26.25" customHeight="1">
      <c r="A50" s="920" t="s">
        <v>2048</v>
      </c>
      <c r="B50" s="921"/>
      <c r="C50" s="921"/>
      <c r="D50" s="921"/>
      <c r="E50" s="929"/>
      <c r="F50" s="75" t="s">
        <v>1915</v>
      </c>
      <c r="G50" s="347"/>
      <c r="K50" s="237"/>
    </row>
    <row r="51" spans="1:11" ht="28.5">
      <c r="A51" s="346" t="s">
        <v>1917</v>
      </c>
      <c r="B51" s="347"/>
      <c r="C51" s="77" t="s">
        <v>3</v>
      </c>
      <c r="D51" s="77" t="s">
        <v>4</v>
      </c>
      <c r="E51" s="77" t="s">
        <v>1826</v>
      </c>
      <c r="F51" s="77" t="s">
        <v>367</v>
      </c>
      <c r="G51" s="77" t="s">
        <v>368</v>
      </c>
      <c r="K51" s="237"/>
    </row>
    <row r="52" spans="1:11" ht="30">
      <c r="A52" s="24">
        <v>88309</v>
      </c>
      <c r="B52" s="78" t="s">
        <v>390</v>
      </c>
      <c r="C52" s="25" t="s">
        <v>12</v>
      </c>
      <c r="D52" s="25" t="s">
        <v>19</v>
      </c>
      <c r="E52" s="26">
        <v>1.65</v>
      </c>
      <c r="F52" s="26">
        <f>H52</f>
        <v>15.121499999999999</v>
      </c>
      <c r="G52" s="26">
        <f>ROUND(F52*E52,2)</f>
        <v>24.95</v>
      </c>
      <c r="H52" s="375">
        <v>15.121499999999999</v>
      </c>
      <c r="I52" s="2" t="e">
        <f>IF(A52&lt;&gt;0,VLOOKUP(A52,#REF!,2,FALSE),"")</f>
        <v>#REF!</v>
      </c>
      <c r="K52" s="237"/>
    </row>
    <row r="53" spans="1:11" ht="30">
      <c r="A53" s="24">
        <v>88316</v>
      </c>
      <c r="B53" s="78" t="s">
        <v>377</v>
      </c>
      <c r="C53" s="25" t="s">
        <v>12</v>
      </c>
      <c r="D53" s="25" t="s">
        <v>19</v>
      </c>
      <c r="E53" s="26">
        <v>4.5</v>
      </c>
      <c r="F53" s="26">
        <f>H53</f>
        <v>11.798000000000002</v>
      </c>
      <c r="G53" s="26">
        <f>ROUND(F53*E53,2)</f>
        <v>53.09</v>
      </c>
      <c r="H53" s="375">
        <v>11.798000000000002</v>
      </c>
      <c r="I53" s="2" t="e">
        <f>IF(A53&lt;&gt;0,VLOOKUP(A53,#REF!,2,FALSE),"")</f>
        <v>#REF!</v>
      </c>
      <c r="K53" s="237"/>
    </row>
    <row r="54" spans="1:11" ht="45">
      <c r="A54" s="24">
        <v>90586</v>
      </c>
      <c r="B54" s="78" t="s">
        <v>1780</v>
      </c>
      <c r="C54" s="25" t="s">
        <v>12</v>
      </c>
      <c r="D54" s="25" t="s">
        <v>388</v>
      </c>
      <c r="E54" s="26">
        <v>0.3</v>
      </c>
      <c r="F54" s="26">
        <f>H54</f>
        <v>1.4449999999999998</v>
      </c>
      <c r="G54" s="26">
        <f>ROUND(F54*E54,2)</f>
        <v>0.43</v>
      </c>
      <c r="H54" s="375">
        <v>1.4449999999999998</v>
      </c>
      <c r="I54" s="2" t="e">
        <f>IF(A54&lt;&gt;0,VLOOKUP(A54,#REF!,2,FALSE),"")</f>
        <v>#REF!</v>
      </c>
      <c r="K54" s="237"/>
    </row>
    <row r="55" spans="1:11" ht="15" customHeight="1">
      <c r="A55" s="986" t="s">
        <v>1894</v>
      </c>
      <c r="B55" s="986"/>
      <c r="C55" s="986"/>
      <c r="D55" s="986"/>
      <c r="E55" s="986"/>
      <c r="F55" s="986"/>
      <c r="G55" s="79">
        <f>SUM(G52:G54)</f>
        <v>78.470000000000013</v>
      </c>
      <c r="K55" s="237"/>
    </row>
    <row r="56" spans="1:11">
      <c r="A56" s="80"/>
      <c r="B56" s="80"/>
      <c r="C56" s="352"/>
      <c r="D56" s="353"/>
      <c r="E56" s="80"/>
      <c r="F56" s="80"/>
      <c r="G56" s="80"/>
      <c r="K56" s="237"/>
    </row>
    <row r="57" spans="1:11">
      <c r="A57" s="80"/>
      <c r="B57" s="80"/>
      <c r="C57" s="352"/>
      <c r="D57" s="353"/>
      <c r="E57" s="80"/>
      <c r="F57" s="80"/>
      <c r="G57" s="80"/>
      <c r="K57" s="237"/>
    </row>
    <row r="58" spans="1:11" ht="48.75" customHeight="1">
      <c r="A58" s="920" t="s">
        <v>2049</v>
      </c>
      <c r="B58" s="921"/>
      <c r="C58" s="921"/>
      <c r="D58" s="921"/>
      <c r="E58" s="922"/>
      <c r="F58" s="75" t="s">
        <v>1915</v>
      </c>
      <c r="G58" s="347"/>
      <c r="K58" s="237"/>
    </row>
    <row r="59" spans="1:11" ht="28.5">
      <c r="A59" s="346" t="s">
        <v>1917</v>
      </c>
      <c r="B59" s="347"/>
      <c r="C59" s="77" t="s">
        <v>3</v>
      </c>
      <c r="D59" s="77" t="s">
        <v>4</v>
      </c>
      <c r="E59" s="77" t="s">
        <v>1826</v>
      </c>
      <c r="F59" s="77" t="s">
        <v>367</v>
      </c>
      <c r="G59" s="77" t="s">
        <v>368</v>
      </c>
      <c r="K59" s="237"/>
    </row>
    <row r="60" spans="1:11" ht="45">
      <c r="A60" s="24">
        <v>2692</v>
      </c>
      <c r="B60" s="78" t="s">
        <v>399</v>
      </c>
      <c r="C60" s="25" t="s">
        <v>12</v>
      </c>
      <c r="D60" s="25" t="s">
        <v>381</v>
      </c>
      <c r="E60" s="26">
        <v>1.7000000000000001E-2</v>
      </c>
      <c r="F60" s="26">
        <f t="shared" ref="F60:F66" si="0">H60</f>
        <v>5.6355000000000004</v>
      </c>
      <c r="G60" s="26">
        <f t="shared" ref="G60:G66" si="1">ROUND(F60*E60,2)</f>
        <v>0.1</v>
      </c>
      <c r="H60" s="375">
        <v>5.6355000000000004</v>
      </c>
      <c r="I60" s="2" t="e">
        <f>IF(A60&lt;&gt;0,VLOOKUP(A60,#REF!,2,FALSE),"")</f>
        <v>#REF!</v>
      </c>
      <c r="K60" s="237"/>
    </row>
    <row r="61" spans="1:11" ht="30">
      <c r="A61" s="24">
        <v>6193</v>
      </c>
      <c r="B61" s="78" t="s">
        <v>384</v>
      </c>
      <c r="C61" s="25" t="s">
        <v>12</v>
      </c>
      <c r="D61" s="25" t="s">
        <v>52</v>
      </c>
      <c r="E61" s="26">
        <v>3.1120000000000001</v>
      </c>
      <c r="F61" s="26">
        <f t="shared" si="0"/>
        <v>12.0105</v>
      </c>
      <c r="G61" s="26">
        <f t="shared" si="1"/>
        <v>37.380000000000003</v>
      </c>
      <c r="H61" s="375">
        <v>12.0105</v>
      </c>
      <c r="I61" s="2" t="e">
        <f>IF(A61&lt;&gt;0,VLOOKUP(A61,#REF!,2,FALSE),"")</f>
        <v>#REF!</v>
      </c>
      <c r="K61" s="237"/>
    </row>
    <row r="62" spans="1:11" ht="30">
      <c r="A62" s="24">
        <v>40304</v>
      </c>
      <c r="B62" s="78" t="s">
        <v>400</v>
      </c>
      <c r="C62" s="25" t="s">
        <v>12</v>
      </c>
      <c r="D62" s="25" t="s">
        <v>45</v>
      </c>
      <c r="E62" s="26">
        <v>6.5000000000000002E-2</v>
      </c>
      <c r="F62" s="26">
        <f t="shared" si="0"/>
        <v>19.7455</v>
      </c>
      <c r="G62" s="26">
        <f t="shared" si="1"/>
        <v>1.28</v>
      </c>
      <c r="H62" s="375">
        <v>19.7455</v>
      </c>
      <c r="I62" s="2" t="e">
        <f>IF(A62&lt;&gt;0,VLOOKUP(A62,#REF!,2,FALSE),"")</f>
        <v>#REF!</v>
      </c>
      <c r="K62" s="237"/>
    </row>
    <row r="63" spans="1:11" ht="30">
      <c r="A63" s="24">
        <v>88239</v>
      </c>
      <c r="B63" s="78" t="s">
        <v>393</v>
      </c>
      <c r="C63" s="25" t="s">
        <v>12</v>
      </c>
      <c r="D63" s="25" t="s">
        <v>19</v>
      </c>
      <c r="E63" s="26">
        <v>0.81499999999999995</v>
      </c>
      <c r="F63" s="26">
        <f t="shared" si="0"/>
        <v>12.622499999999999</v>
      </c>
      <c r="G63" s="26">
        <f t="shared" si="1"/>
        <v>10.29</v>
      </c>
      <c r="H63" s="375">
        <v>12.622499999999999</v>
      </c>
      <c r="I63" s="2" t="e">
        <f>IF(A63&lt;&gt;0,VLOOKUP(A63,#REF!,2,FALSE),"")</f>
        <v>#REF!</v>
      </c>
      <c r="K63" s="237"/>
    </row>
    <row r="64" spans="1:11" ht="30">
      <c r="A64" s="24">
        <v>88262</v>
      </c>
      <c r="B64" s="78" t="s">
        <v>376</v>
      </c>
      <c r="C64" s="25" t="s">
        <v>12</v>
      </c>
      <c r="D64" s="25" t="s">
        <v>19</v>
      </c>
      <c r="E64" s="26">
        <v>4.4450000000000003</v>
      </c>
      <c r="F64" s="26">
        <f t="shared" si="0"/>
        <v>14.96</v>
      </c>
      <c r="G64" s="26">
        <f t="shared" si="1"/>
        <v>66.5</v>
      </c>
      <c r="H64" s="375">
        <v>14.96</v>
      </c>
      <c r="I64" s="2" t="e">
        <f>IF(A64&lt;&gt;0,VLOOKUP(A64,#REF!,2,FALSE),"")</f>
        <v>#REF!</v>
      </c>
      <c r="K64" s="237"/>
    </row>
    <row r="65" spans="1:11" ht="30">
      <c r="A65" s="24">
        <v>92271</v>
      </c>
      <c r="B65" s="78" t="s">
        <v>1781</v>
      </c>
      <c r="C65" s="25" t="s">
        <v>12</v>
      </c>
      <c r="D65" s="25" t="s">
        <v>26</v>
      </c>
      <c r="E65" s="26">
        <v>1.02</v>
      </c>
      <c r="F65" s="26">
        <f t="shared" si="0"/>
        <v>67.846999999999994</v>
      </c>
      <c r="G65" s="26">
        <f t="shared" si="1"/>
        <v>69.2</v>
      </c>
      <c r="H65" s="375">
        <v>67.846999999999994</v>
      </c>
      <c r="I65" s="2" t="e">
        <f>IF(A65&lt;&gt;0,VLOOKUP(A65,#REF!,2,FALSE),"")</f>
        <v>#REF!</v>
      </c>
      <c r="K65" s="237"/>
    </row>
    <row r="66" spans="1:11" ht="30">
      <c r="A66" s="24">
        <v>92273</v>
      </c>
      <c r="B66" s="78" t="s">
        <v>1782</v>
      </c>
      <c r="C66" s="25" t="s">
        <v>12</v>
      </c>
      <c r="D66" s="25" t="s">
        <v>52</v>
      </c>
      <c r="E66" s="26">
        <v>1.3480000000000001</v>
      </c>
      <c r="F66" s="26">
        <f t="shared" si="0"/>
        <v>9.7580000000000009</v>
      </c>
      <c r="G66" s="26">
        <f t="shared" si="1"/>
        <v>13.15</v>
      </c>
      <c r="H66" s="375">
        <v>9.7580000000000009</v>
      </c>
      <c r="I66" s="2" t="e">
        <f>IF(A66&lt;&gt;0,VLOOKUP(A66,#REF!,2,FALSE),"")</f>
        <v>#REF!</v>
      </c>
      <c r="K66" s="237"/>
    </row>
    <row r="67" spans="1:11" ht="15" customHeight="1">
      <c r="A67" s="986" t="s">
        <v>1894</v>
      </c>
      <c r="B67" s="986"/>
      <c r="C67" s="986"/>
      <c r="D67" s="986"/>
      <c r="E67" s="986"/>
      <c r="F67" s="986"/>
      <c r="G67" s="79">
        <f>SUM(G60:G66)</f>
        <v>197.9</v>
      </c>
      <c r="K67" s="237"/>
    </row>
    <row r="68" spans="1:11">
      <c r="A68" s="80"/>
      <c r="B68" s="80"/>
      <c r="C68" s="352"/>
      <c r="D68" s="353"/>
      <c r="E68" s="80"/>
      <c r="F68" s="80"/>
      <c r="G68" s="80"/>
      <c r="K68" s="237"/>
    </row>
    <row r="69" spans="1:11">
      <c r="A69" s="80"/>
      <c r="B69" s="80"/>
      <c r="C69" s="352"/>
      <c r="D69" s="353"/>
      <c r="E69" s="80"/>
      <c r="F69" s="80"/>
      <c r="G69" s="80"/>
      <c r="K69" s="237"/>
    </row>
    <row r="70" spans="1:11" ht="50.25" customHeight="1">
      <c r="A70" s="920" t="s">
        <v>2050</v>
      </c>
      <c r="B70" s="921"/>
      <c r="C70" s="921"/>
      <c r="D70" s="921"/>
      <c r="E70" s="929"/>
      <c r="F70" s="75" t="s">
        <v>1915</v>
      </c>
      <c r="G70" s="347"/>
      <c r="K70" s="237"/>
    </row>
    <row r="71" spans="1:11" ht="28.5">
      <c r="A71" s="346" t="s">
        <v>1917</v>
      </c>
      <c r="B71" s="347"/>
      <c r="C71" s="77" t="s">
        <v>3</v>
      </c>
      <c r="D71" s="77" t="s">
        <v>4</v>
      </c>
      <c r="E71" s="77" t="s">
        <v>1826</v>
      </c>
      <c r="F71" s="77" t="s">
        <v>367</v>
      </c>
      <c r="G71" s="77" t="s">
        <v>368</v>
      </c>
      <c r="K71" s="237"/>
    </row>
    <row r="72" spans="1:11" ht="60">
      <c r="A72" s="24">
        <v>1525</v>
      </c>
      <c r="B72" s="78" t="s">
        <v>401</v>
      </c>
      <c r="C72" s="25" t="s">
        <v>12</v>
      </c>
      <c r="D72" s="25" t="s">
        <v>35</v>
      </c>
      <c r="E72" s="26">
        <v>1.103</v>
      </c>
      <c r="F72" s="26">
        <f t="shared" ref="F72:F77" si="2">H72</f>
        <v>341.56399999999996</v>
      </c>
      <c r="G72" s="26">
        <f t="shared" ref="G72:G77" si="3">ROUND(F72*E72,2)</f>
        <v>376.75</v>
      </c>
      <c r="H72" s="375">
        <v>341.56399999999996</v>
      </c>
      <c r="I72" s="2" t="e">
        <f>IF(A72&lt;&gt;0,VLOOKUP(A72,#REF!,2,FALSE),"")</f>
        <v>#REF!</v>
      </c>
      <c r="K72" s="237"/>
    </row>
    <row r="73" spans="1:11" ht="30">
      <c r="A73" s="24">
        <v>88262</v>
      </c>
      <c r="B73" s="78" t="s">
        <v>376</v>
      </c>
      <c r="C73" s="25" t="s">
        <v>12</v>
      </c>
      <c r="D73" s="25" t="s">
        <v>19</v>
      </c>
      <c r="E73" s="26">
        <v>9.4E-2</v>
      </c>
      <c r="F73" s="26">
        <f t="shared" si="2"/>
        <v>14.96</v>
      </c>
      <c r="G73" s="26">
        <f t="shared" si="3"/>
        <v>1.41</v>
      </c>
      <c r="H73" s="375">
        <v>14.96</v>
      </c>
      <c r="I73" s="2" t="e">
        <f>IF(A73&lt;&gt;0,VLOOKUP(A73,#REF!,2,FALSE),"")</f>
        <v>#REF!</v>
      </c>
      <c r="K73" s="237"/>
    </row>
    <row r="74" spans="1:11" ht="30">
      <c r="A74" s="24">
        <v>88309</v>
      </c>
      <c r="B74" s="78" t="s">
        <v>390</v>
      </c>
      <c r="C74" s="25" t="s">
        <v>12</v>
      </c>
      <c r="D74" s="25" t="s">
        <v>19</v>
      </c>
      <c r="E74" s="26">
        <v>0.56499999999999995</v>
      </c>
      <c r="F74" s="26">
        <f t="shared" si="2"/>
        <v>15.121499999999999</v>
      </c>
      <c r="G74" s="26">
        <f t="shared" si="3"/>
        <v>8.5399999999999991</v>
      </c>
      <c r="H74" s="375">
        <v>15.121499999999999</v>
      </c>
      <c r="I74" s="2" t="e">
        <f>IF(A74&lt;&gt;0,VLOOKUP(A74,#REF!,2,FALSE),"")</f>
        <v>#REF!</v>
      </c>
      <c r="K74" s="237"/>
    </row>
    <row r="75" spans="1:11" ht="30">
      <c r="A75" s="24">
        <v>88316</v>
      </c>
      <c r="B75" s="78" t="s">
        <v>377</v>
      </c>
      <c r="C75" s="25" t="s">
        <v>12</v>
      </c>
      <c r="D75" s="25" t="s">
        <v>19</v>
      </c>
      <c r="E75" s="26">
        <v>0.63800000000000001</v>
      </c>
      <c r="F75" s="26">
        <f t="shared" si="2"/>
        <v>11.798000000000002</v>
      </c>
      <c r="G75" s="26">
        <f t="shared" si="3"/>
        <v>7.53</v>
      </c>
      <c r="H75" s="375">
        <v>11.798000000000002</v>
      </c>
      <c r="I75" s="2" t="e">
        <f>IF(A75&lt;&gt;0,VLOOKUP(A75,#REF!,2,FALSE),"")</f>
        <v>#REF!</v>
      </c>
      <c r="K75" s="237"/>
    </row>
    <row r="76" spans="1:11" ht="45">
      <c r="A76" s="24">
        <v>90586</v>
      </c>
      <c r="B76" s="78" t="s">
        <v>1780</v>
      </c>
      <c r="C76" s="25" t="s">
        <v>12</v>
      </c>
      <c r="D76" s="25" t="s">
        <v>388</v>
      </c>
      <c r="E76" s="26">
        <v>5.6000000000000001E-2</v>
      </c>
      <c r="F76" s="26">
        <f t="shared" si="2"/>
        <v>1.4449999999999998</v>
      </c>
      <c r="G76" s="26">
        <f t="shared" si="3"/>
        <v>0.08</v>
      </c>
      <c r="H76" s="375">
        <v>1.4449999999999998</v>
      </c>
      <c r="I76" s="2" t="e">
        <f>IF(A76&lt;&gt;0,VLOOKUP(A76,#REF!,2,FALSE),"")</f>
        <v>#REF!</v>
      </c>
      <c r="K76" s="237"/>
    </row>
    <row r="77" spans="1:11" ht="45">
      <c r="A77" s="24">
        <v>90587</v>
      </c>
      <c r="B77" s="78" t="s">
        <v>1783</v>
      </c>
      <c r="C77" s="25" t="s">
        <v>12</v>
      </c>
      <c r="D77" s="25" t="s">
        <v>389</v>
      </c>
      <c r="E77" s="26">
        <v>0.13300000000000001</v>
      </c>
      <c r="F77" s="26">
        <f t="shared" si="2"/>
        <v>0.374</v>
      </c>
      <c r="G77" s="26">
        <f t="shared" si="3"/>
        <v>0.05</v>
      </c>
      <c r="H77" s="375">
        <v>0.374</v>
      </c>
      <c r="I77" s="2" t="e">
        <f>IF(A77&lt;&gt;0,VLOOKUP(A77,#REF!,2,FALSE),"")</f>
        <v>#REF!</v>
      </c>
      <c r="K77" s="237"/>
    </row>
    <row r="78" spans="1:11" ht="15" customHeight="1">
      <c r="A78" s="986" t="s">
        <v>1894</v>
      </c>
      <c r="B78" s="986"/>
      <c r="C78" s="986"/>
      <c r="D78" s="986"/>
      <c r="E78" s="986"/>
      <c r="F78" s="986"/>
      <c r="G78" s="79">
        <f>SUM(G72:G77)</f>
        <v>394.36</v>
      </c>
      <c r="K78" s="237"/>
    </row>
    <row r="79" spans="1:11">
      <c r="A79" s="80"/>
      <c r="B79" s="80"/>
      <c r="C79" s="352"/>
      <c r="D79" s="353"/>
      <c r="E79" s="80"/>
      <c r="F79" s="80"/>
      <c r="G79" s="80"/>
      <c r="K79" s="237"/>
    </row>
    <row r="80" spans="1:11">
      <c r="A80" s="80"/>
      <c r="B80" s="80"/>
      <c r="C80" s="352"/>
      <c r="D80" s="353"/>
      <c r="E80" s="80"/>
      <c r="F80" s="80"/>
      <c r="G80" s="80"/>
      <c r="K80" s="237"/>
    </row>
    <row r="81" spans="1:11" ht="25.5" customHeight="1">
      <c r="A81" s="920" t="s">
        <v>2052</v>
      </c>
      <c r="B81" s="921"/>
      <c r="C81" s="921"/>
      <c r="D81" s="921"/>
      <c r="E81" s="929"/>
      <c r="F81" s="75" t="s">
        <v>1915</v>
      </c>
      <c r="G81" s="347"/>
      <c r="K81" s="237"/>
    </row>
    <row r="82" spans="1:11" ht="28.5">
      <c r="A82" s="346" t="s">
        <v>1917</v>
      </c>
      <c r="B82" s="347"/>
      <c r="C82" s="77" t="s">
        <v>3</v>
      </c>
      <c r="D82" s="77" t="s">
        <v>4</v>
      </c>
      <c r="E82" s="77" t="s">
        <v>1826</v>
      </c>
      <c r="F82" s="77" t="s">
        <v>367</v>
      </c>
      <c r="G82" s="77" t="s">
        <v>368</v>
      </c>
      <c r="K82" s="237"/>
    </row>
    <row r="83" spans="1:11" ht="60">
      <c r="A83" s="24">
        <v>11950</v>
      </c>
      <c r="B83" s="78" t="s">
        <v>404</v>
      </c>
      <c r="C83" s="25" t="s">
        <v>12</v>
      </c>
      <c r="D83" s="25" t="s">
        <v>17</v>
      </c>
      <c r="E83" s="26">
        <v>1</v>
      </c>
      <c r="F83" s="26">
        <f>H83</f>
        <v>0.10199999999999999</v>
      </c>
      <c r="G83" s="26">
        <f>ROUND(F83*E83,2)</f>
        <v>0.1</v>
      </c>
      <c r="H83" s="375">
        <v>0.10199999999999999</v>
      </c>
      <c r="I83" s="2" t="e">
        <f>IF(A83&lt;&gt;0,VLOOKUP(A83,#REF!,2,FALSE),"")</f>
        <v>#REF!</v>
      </c>
      <c r="K83" s="237"/>
    </row>
    <row r="84" spans="1:11" ht="30">
      <c r="A84" s="24">
        <v>39961</v>
      </c>
      <c r="B84" s="78" t="s">
        <v>405</v>
      </c>
      <c r="C84" s="25" t="s">
        <v>12</v>
      </c>
      <c r="D84" s="25" t="s">
        <v>17</v>
      </c>
      <c r="E84" s="26">
        <v>1</v>
      </c>
      <c r="F84" s="26">
        <f>H84</f>
        <v>18.581</v>
      </c>
      <c r="G84" s="26">
        <f>ROUND(F84*E84,2)</f>
        <v>18.579999999999998</v>
      </c>
      <c r="H84" s="375">
        <v>18.581</v>
      </c>
      <c r="I84" s="2" t="e">
        <f>IF(A84&lt;&gt;0,VLOOKUP(A84,#REF!,2,FALSE),"")</f>
        <v>#REF!</v>
      </c>
      <c r="K84" s="237"/>
    </row>
    <row r="85" spans="1:11" ht="45">
      <c r="A85" s="24">
        <v>36888</v>
      </c>
      <c r="B85" s="78" t="s">
        <v>406</v>
      </c>
      <c r="C85" s="25" t="s">
        <v>12</v>
      </c>
      <c r="D85" s="25" t="s">
        <v>52</v>
      </c>
      <c r="E85" s="26">
        <v>1</v>
      </c>
      <c r="F85" s="26">
        <f>H85</f>
        <v>11.202999999999999</v>
      </c>
      <c r="G85" s="26">
        <f>ROUND(F85*E85,2)</f>
        <v>11.2</v>
      </c>
      <c r="H85" s="375">
        <v>11.202999999999999</v>
      </c>
      <c r="I85" s="2" t="e">
        <f>IF(A85&lt;&gt;0,VLOOKUP(A85,#REF!,2,FALSE),"")</f>
        <v>#REF!</v>
      </c>
      <c r="K85" s="237"/>
    </row>
    <row r="86" spans="1:11" ht="30">
      <c r="A86" s="24">
        <v>88309</v>
      </c>
      <c r="B86" s="78" t="s">
        <v>390</v>
      </c>
      <c r="C86" s="25" t="s">
        <v>12</v>
      </c>
      <c r="D86" s="25" t="s">
        <v>19</v>
      </c>
      <c r="E86" s="26">
        <v>0.152</v>
      </c>
      <c r="F86" s="26">
        <f>H86</f>
        <v>15.121499999999999</v>
      </c>
      <c r="G86" s="26">
        <f>ROUND(F86*E86,2)</f>
        <v>2.2999999999999998</v>
      </c>
      <c r="H86" s="375">
        <v>15.121499999999999</v>
      </c>
      <c r="I86" s="2" t="e">
        <f>IF(A86&lt;&gt;0,VLOOKUP(A86,#REF!,2,FALSE),"")</f>
        <v>#REF!</v>
      </c>
      <c r="K86" s="237"/>
    </row>
    <row r="87" spans="1:11" ht="30">
      <c r="A87" s="24">
        <v>88316</v>
      </c>
      <c r="B87" s="78" t="s">
        <v>377</v>
      </c>
      <c r="C87" s="25" t="s">
        <v>12</v>
      </c>
      <c r="D87" s="25" t="s">
        <v>19</v>
      </c>
      <c r="E87" s="26">
        <v>7.5999999999999998E-2</v>
      </c>
      <c r="F87" s="26">
        <f>H87</f>
        <v>11.798000000000002</v>
      </c>
      <c r="G87" s="26">
        <f>ROUND(F87*E87,2)</f>
        <v>0.9</v>
      </c>
      <c r="H87" s="375">
        <v>11.798000000000002</v>
      </c>
      <c r="I87" s="2" t="e">
        <f>IF(A87&lt;&gt;0,VLOOKUP(A87,#REF!,2,FALSE),"")</f>
        <v>#REF!</v>
      </c>
      <c r="K87" s="237"/>
    </row>
    <row r="88" spans="1:11" ht="15" customHeight="1">
      <c r="A88" s="986" t="s">
        <v>1894</v>
      </c>
      <c r="B88" s="986"/>
      <c r="C88" s="986"/>
      <c r="D88" s="986"/>
      <c r="E88" s="986"/>
      <c r="F88" s="986"/>
      <c r="G88" s="79">
        <f>SUM(G83:G87)</f>
        <v>33.08</v>
      </c>
      <c r="K88" s="237"/>
    </row>
    <row r="89" spans="1:11">
      <c r="A89" s="80"/>
      <c r="B89" s="80"/>
      <c r="C89" s="352"/>
      <c r="D89" s="353"/>
      <c r="E89" s="80"/>
      <c r="F89" s="80"/>
      <c r="G89" s="80"/>
      <c r="K89" s="237"/>
    </row>
    <row r="90" spans="1:11">
      <c r="A90" s="80"/>
      <c r="B90" s="80"/>
      <c r="C90" s="352"/>
      <c r="D90" s="353"/>
      <c r="E90" s="80"/>
      <c r="F90" s="80"/>
      <c r="G90" s="80"/>
      <c r="K90" s="237"/>
    </row>
    <row r="91" spans="1:11" ht="55.5" customHeight="1">
      <c r="A91" s="920" t="s">
        <v>2054</v>
      </c>
      <c r="B91" s="921"/>
      <c r="C91" s="921"/>
      <c r="D91" s="921"/>
      <c r="E91" s="929"/>
      <c r="F91" s="75" t="s">
        <v>1915</v>
      </c>
      <c r="G91" s="347"/>
      <c r="K91" s="237"/>
    </row>
    <row r="92" spans="1:11" ht="28.5">
      <c r="A92" s="346" t="s">
        <v>1917</v>
      </c>
      <c r="B92" s="347"/>
      <c r="C92" s="77" t="s">
        <v>3</v>
      </c>
      <c r="D92" s="77" t="s">
        <v>4</v>
      </c>
      <c r="E92" s="77" t="s">
        <v>1826</v>
      </c>
      <c r="F92" s="77" t="s">
        <v>367</v>
      </c>
      <c r="G92" s="77" t="s">
        <v>368</v>
      </c>
      <c r="K92" s="237"/>
    </row>
    <row r="93" spans="1:11">
      <c r="A93" s="24">
        <v>43059</v>
      </c>
      <c r="B93" s="78" t="s">
        <v>407</v>
      </c>
      <c r="C93" s="25" t="s">
        <v>12</v>
      </c>
      <c r="D93" s="25" t="s">
        <v>45</v>
      </c>
      <c r="E93" s="26">
        <v>0.6</v>
      </c>
      <c r="F93" s="26">
        <f t="shared" ref="F93:F98" si="4">H93</f>
        <v>8.9589999999999996</v>
      </c>
      <c r="G93" s="26">
        <f t="shared" ref="G93:G98" si="5">ROUND(F93*E93,2)</f>
        <v>5.38</v>
      </c>
      <c r="H93" s="375">
        <v>8.9589999999999996</v>
      </c>
      <c r="I93" s="2" t="e">
        <f>IF(A93&lt;&gt;0,VLOOKUP(A93,#REF!,2,FALSE),"")</f>
        <v>#REF!</v>
      </c>
      <c r="K93" s="237"/>
    </row>
    <row r="94" spans="1:11" ht="30">
      <c r="A94" s="24">
        <v>716</v>
      </c>
      <c r="B94" s="78" t="s">
        <v>408</v>
      </c>
      <c r="C94" s="25" t="s">
        <v>12</v>
      </c>
      <c r="D94" s="25" t="s">
        <v>17</v>
      </c>
      <c r="E94" s="26">
        <v>25</v>
      </c>
      <c r="F94" s="26">
        <f t="shared" si="4"/>
        <v>14.560499999999999</v>
      </c>
      <c r="G94" s="26">
        <f t="shared" si="5"/>
        <v>364.01</v>
      </c>
      <c r="H94" s="375">
        <v>14.560499999999999</v>
      </c>
      <c r="I94" s="2" t="e">
        <f>IF(A94&lt;&gt;0,VLOOKUP(A94,#REF!,2,FALSE),"")</f>
        <v>#REF!</v>
      </c>
      <c r="K94" s="237"/>
    </row>
    <row r="95" spans="1:11">
      <c r="A95" s="24">
        <v>1380</v>
      </c>
      <c r="B95" s="78" t="s">
        <v>409</v>
      </c>
      <c r="C95" s="25" t="s">
        <v>12</v>
      </c>
      <c r="D95" s="25" t="s">
        <v>45</v>
      </c>
      <c r="E95" s="26">
        <v>0.25</v>
      </c>
      <c r="F95" s="26">
        <f t="shared" si="4"/>
        <v>1.8955</v>
      </c>
      <c r="G95" s="26">
        <f t="shared" si="5"/>
        <v>0.47</v>
      </c>
      <c r="H95" s="375">
        <v>1.8955</v>
      </c>
      <c r="I95" s="2" t="e">
        <f>IF(A95&lt;&gt;0,VLOOKUP(A95,#REF!,2,FALSE),"")</f>
        <v>#REF!</v>
      </c>
      <c r="K95" s="237"/>
    </row>
    <row r="96" spans="1:11" ht="45">
      <c r="A96" s="24">
        <v>87313</v>
      </c>
      <c r="B96" s="78" t="s">
        <v>1786</v>
      </c>
      <c r="C96" s="25" t="s">
        <v>12</v>
      </c>
      <c r="D96" s="25" t="s">
        <v>35</v>
      </c>
      <c r="E96" s="26">
        <v>1.559E-2</v>
      </c>
      <c r="F96" s="26">
        <f t="shared" si="4"/>
        <v>364.76049999999998</v>
      </c>
      <c r="G96" s="26">
        <f t="shared" si="5"/>
        <v>5.69</v>
      </c>
      <c r="H96" s="375">
        <v>364.76049999999998</v>
      </c>
      <c r="I96" s="2" t="e">
        <f>IF(A96&lt;&gt;0,VLOOKUP(A96,#REF!,2,FALSE),"")</f>
        <v>#REF!</v>
      </c>
      <c r="K96" s="237"/>
    </row>
    <row r="97" spans="1:11" ht="30">
      <c r="A97" s="24">
        <v>88309</v>
      </c>
      <c r="B97" s="78" t="s">
        <v>390</v>
      </c>
      <c r="C97" s="25" t="s">
        <v>12</v>
      </c>
      <c r="D97" s="25" t="s">
        <v>19</v>
      </c>
      <c r="E97" s="26">
        <v>4</v>
      </c>
      <c r="F97" s="26">
        <f t="shared" si="4"/>
        <v>15.121499999999999</v>
      </c>
      <c r="G97" s="26">
        <f t="shared" si="5"/>
        <v>60.49</v>
      </c>
      <c r="H97" s="375">
        <v>15.121499999999999</v>
      </c>
      <c r="I97" s="2" t="e">
        <f>IF(A97&lt;&gt;0,VLOOKUP(A97,#REF!,2,FALSE),"")</f>
        <v>#REF!</v>
      </c>
      <c r="K97" s="237"/>
    </row>
    <row r="98" spans="1:11" ht="30">
      <c r="A98" s="24">
        <v>88316</v>
      </c>
      <c r="B98" s="78" t="s">
        <v>377</v>
      </c>
      <c r="C98" s="25" t="s">
        <v>12</v>
      </c>
      <c r="D98" s="25" t="s">
        <v>19</v>
      </c>
      <c r="E98" s="26">
        <v>4.0041000000000002</v>
      </c>
      <c r="F98" s="26">
        <f t="shared" si="4"/>
        <v>11.798000000000002</v>
      </c>
      <c r="G98" s="26">
        <f t="shared" si="5"/>
        <v>47.24</v>
      </c>
      <c r="H98" s="375">
        <v>11.798000000000002</v>
      </c>
      <c r="I98" s="2" t="e">
        <f>IF(A98&lt;&gt;0,VLOOKUP(A98,#REF!,2,FALSE),"")</f>
        <v>#REF!</v>
      </c>
      <c r="K98" s="237"/>
    </row>
    <row r="99" spans="1:11" ht="15" customHeight="1">
      <c r="A99" s="986" t="s">
        <v>1894</v>
      </c>
      <c r="B99" s="986"/>
      <c r="C99" s="986"/>
      <c r="D99" s="986"/>
      <c r="E99" s="986"/>
      <c r="F99" s="986"/>
      <c r="G99" s="79">
        <f>SUM(G93:G98)</f>
        <v>483.28000000000003</v>
      </c>
      <c r="K99" s="237"/>
    </row>
    <row r="100" spans="1:11" ht="22.5" customHeight="1">
      <c r="A100" s="80"/>
      <c r="B100" s="80"/>
      <c r="C100" s="352"/>
      <c r="D100" s="353"/>
      <c r="E100" s="80"/>
      <c r="F100" s="80"/>
      <c r="G100" s="80"/>
      <c r="K100" s="237"/>
    </row>
    <row r="101" spans="1:11" ht="51.75" customHeight="1">
      <c r="A101" s="920" t="s">
        <v>2055</v>
      </c>
      <c r="B101" s="921"/>
      <c r="C101" s="921"/>
      <c r="D101" s="921"/>
      <c r="E101" s="929"/>
      <c r="F101" s="75" t="s">
        <v>1915</v>
      </c>
      <c r="G101" s="347"/>
      <c r="K101" s="237"/>
    </row>
    <row r="102" spans="1:11" ht="28.5">
      <c r="A102" s="77" t="s">
        <v>1917</v>
      </c>
      <c r="B102" s="347"/>
      <c r="C102" s="77" t="s">
        <v>3</v>
      </c>
      <c r="D102" s="77" t="s">
        <v>4</v>
      </c>
      <c r="E102" s="77" t="s">
        <v>1826</v>
      </c>
      <c r="F102" s="77" t="s">
        <v>367</v>
      </c>
      <c r="G102" s="77" t="s">
        <v>368</v>
      </c>
      <c r="K102" s="237"/>
    </row>
    <row r="103" spans="1:11" ht="45">
      <c r="A103" s="24">
        <v>2692</v>
      </c>
      <c r="B103" s="78" t="s">
        <v>399</v>
      </c>
      <c r="C103" s="25" t="s">
        <v>12</v>
      </c>
      <c r="D103" s="25" t="s">
        <v>381</v>
      </c>
      <c r="E103" s="26">
        <v>1.7000000000000001E-2</v>
      </c>
      <c r="F103" s="26">
        <f>H103</f>
        <v>5.6355000000000004</v>
      </c>
      <c r="G103" s="26">
        <f>ROUND(F103*E103,2)</f>
        <v>0.1</v>
      </c>
      <c r="H103" s="375">
        <v>5.6355000000000004</v>
      </c>
      <c r="I103" s="2" t="e">
        <f>IF(A103&lt;&gt;0,VLOOKUP(A103,#REF!,2,FALSE),"")</f>
        <v>#REF!</v>
      </c>
      <c r="K103" s="237"/>
    </row>
    <row r="104" spans="1:11" ht="30">
      <c r="A104" s="24">
        <v>40304</v>
      </c>
      <c r="B104" s="78" t="s">
        <v>400</v>
      </c>
      <c r="C104" s="25" t="s">
        <v>12</v>
      </c>
      <c r="D104" s="25" t="s">
        <v>45</v>
      </c>
      <c r="E104" s="26">
        <v>2.7E-2</v>
      </c>
      <c r="F104" s="26">
        <f>H104</f>
        <v>19.7455</v>
      </c>
      <c r="G104" s="26">
        <f>ROUND(F104*E104,2)</f>
        <v>0.53</v>
      </c>
      <c r="H104" s="375">
        <v>19.7455</v>
      </c>
      <c r="I104" s="2" t="e">
        <f>IF(A104&lt;&gt;0,VLOOKUP(A104,#REF!,2,FALSE),"")</f>
        <v>#REF!</v>
      </c>
      <c r="K104" s="237"/>
    </row>
    <row r="105" spans="1:11" ht="30">
      <c r="A105" s="24">
        <v>88239</v>
      </c>
      <c r="B105" s="78" t="s">
        <v>393</v>
      </c>
      <c r="C105" s="25" t="s">
        <v>12</v>
      </c>
      <c r="D105" s="25" t="s">
        <v>19</v>
      </c>
      <c r="E105" s="26">
        <v>0.628</v>
      </c>
      <c r="F105" s="26">
        <f>H105</f>
        <v>12.622499999999999</v>
      </c>
      <c r="G105" s="26">
        <f>ROUND(F105*E105,2)</f>
        <v>7.93</v>
      </c>
      <c r="H105" s="375">
        <v>12.622499999999999</v>
      </c>
      <c r="I105" s="2" t="e">
        <f>IF(A105&lt;&gt;0,VLOOKUP(A105,#REF!,2,FALSE),"")</f>
        <v>#REF!</v>
      </c>
      <c r="K105" s="237"/>
    </row>
    <row r="106" spans="1:11" ht="30">
      <c r="A106" s="24">
        <v>88262</v>
      </c>
      <c r="B106" s="78" t="s">
        <v>376</v>
      </c>
      <c r="C106" s="25" t="s">
        <v>12</v>
      </c>
      <c r="D106" s="25" t="s">
        <v>19</v>
      </c>
      <c r="E106" s="26">
        <v>3.4220000000000002</v>
      </c>
      <c r="F106" s="26">
        <f>H106</f>
        <v>14.96</v>
      </c>
      <c r="G106" s="26">
        <f>ROUND(F106*E106,2)</f>
        <v>51.19</v>
      </c>
      <c r="H106" s="375">
        <v>14.96</v>
      </c>
      <c r="I106" s="2" t="e">
        <f>IF(A106&lt;&gt;0,VLOOKUP(A106,#REF!,2,FALSE),"")</f>
        <v>#REF!</v>
      </c>
      <c r="K106" s="237"/>
    </row>
    <row r="107" spans="1:11" ht="45">
      <c r="A107" s="24">
        <v>92269</v>
      </c>
      <c r="B107" s="78" t="s">
        <v>1787</v>
      </c>
      <c r="C107" s="25" t="s">
        <v>12</v>
      </c>
      <c r="D107" s="25" t="s">
        <v>26</v>
      </c>
      <c r="E107" s="26">
        <v>1.02</v>
      </c>
      <c r="F107" s="26">
        <f>H107</f>
        <v>139.51050000000001</v>
      </c>
      <c r="G107" s="26">
        <f>ROUND(F107*E107,2)</f>
        <v>142.30000000000001</v>
      </c>
      <c r="H107" s="375">
        <v>139.51050000000001</v>
      </c>
      <c r="I107" s="2" t="e">
        <f>IF(A107&lt;&gt;0,VLOOKUP(A107,#REF!,2,FALSE),"")</f>
        <v>#REF!</v>
      </c>
      <c r="K107" s="237"/>
    </row>
    <row r="108" spans="1:11" ht="15" customHeight="1">
      <c r="A108" s="986" t="s">
        <v>1894</v>
      </c>
      <c r="B108" s="986"/>
      <c r="C108" s="986"/>
      <c r="D108" s="986"/>
      <c r="E108" s="986"/>
      <c r="F108" s="986"/>
      <c r="G108" s="79">
        <f>SUM(G103:G107)</f>
        <v>202.05</v>
      </c>
      <c r="K108" s="237"/>
    </row>
    <row r="109" spans="1:11">
      <c r="A109" s="80"/>
      <c r="B109" s="80"/>
      <c r="C109" s="352"/>
      <c r="D109" s="353"/>
      <c r="E109" s="80"/>
      <c r="F109" s="80"/>
      <c r="G109" s="80"/>
      <c r="K109" s="237"/>
    </row>
    <row r="110" spans="1:11">
      <c r="A110" s="80"/>
      <c r="B110" s="80"/>
      <c r="C110" s="352"/>
      <c r="D110" s="353"/>
      <c r="E110" s="80"/>
      <c r="F110" s="80"/>
      <c r="G110" s="80"/>
      <c r="K110" s="237"/>
    </row>
    <row r="111" spans="1:11" ht="51" customHeight="1">
      <c r="A111" s="920" t="s">
        <v>2056</v>
      </c>
      <c r="B111" s="921"/>
      <c r="C111" s="921"/>
      <c r="D111" s="921"/>
      <c r="E111" s="922"/>
      <c r="F111" s="75" t="s">
        <v>1915</v>
      </c>
      <c r="G111" s="347"/>
      <c r="K111" s="237"/>
    </row>
    <row r="112" spans="1:11" ht="28.5">
      <c r="A112" s="77" t="s">
        <v>1917</v>
      </c>
      <c r="B112" s="347"/>
      <c r="C112" s="77" t="s">
        <v>3</v>
      </c>
      <c r="D112" s="77" t="s">
        <v>4</v>
      </c>
      <c r="E112" s="77" t="s">
        <v>1826</v>
      </c>
      <c r="F112" s="77" t="s">
        <v>367</v>
      </c>
      <c r="G112" s="77" t="s">
        <v>368</v>
      </c>
      <c r="K112" s="237"/>
    </row>
    <row r="113" spans="1:11" ht="60">
      <c r="A113" s="24">
        <v>1525</v>
      </c>
      <c r="B113" s="78" t="s">
        <v>401</v>
      </c>
      <c r="C113" s="25" t="s">
        <v>12</v>
      </c>
      <c r="D113" s="25" t="s">
        <v>35</v>
      </c>
      <c r="E113" s="26">
        <v>1.103</v>
      </c>
      <c r="F113" s="26">
        <f t="shared" ref="F113:F118" si="6">H113</f>
        <v>341.56399999999996</v>
      </c>
      <c r="G113" s="26">
        <f t="shared" ref="G113:G118" si="7">ROUND(F113*E113,2)</f>
        <v>376.75</v>
      </c>
      <c r="H113" s="375">
        <v>341.56399999999996</v>
      </c>
      <c r="I113" s="2" t="e">
        <f>IF(A113&lt;&gt;0,VLOOKUP(A113,#REF!,2,FALSE),"")</f>
        <v>#REF!</v>
      </c>
      <c r="K113" s="237"/>
    </row>
    <row r="114" spans="1:11" ht="30">
      <c r="A114" s="24">
        <v>88262</v>
      </c>
      <c r="B114" s="78" t="s">
        <v>376</v>
      </c>
      <c r="C114" s="25" t="s">
        <v>12</v>
      </c>
      <c r="D114" s="25" t="s">
        <v>19</v>
      </c>
      <c r="E114" s="26">
        <v>0.19900000000000001</v>
      </c>
      <c r="F114" s="26">
        <f t="shared" si="6"/>
        <v>14.96</v>
      </c>
      <c r="G114" s="26">
        <f t="shared" si="7"/>
        <v>2.98</v>
      </c>
      <c r="H114" s="375">
        <v>14.96</v>
      </c>
      <c r="I114" s="2" t="e">
        <f>IF(A114&lt;&gt;0,VLOOKUP(A114,#REF!,2,FALSE),"")</f>
        <v>#REF!</v>
      </c>
      <c r="K114" s="237"/>
    </row>
    <row r="115" spans="1:11" ht="30">
      <c r="A115" s="24">
        <v>88309</v>
      </c>
      <c r="B115" s="78" t="s">
        <v>390</v>
      </c>
      <c r="C115" s="25" t="s">
        <v>12</v>
      </c>
      <c r="D115" s="25" t="s">
        <v>19</v>
      </c>
      <c r="E115" s="26">
        <v>0.19900000000000001</v>
      </c>
      <c r="F115" s="26">
        <f t="shared" si="6"/>
        <v>15.121499999999999</v>
      </c>
      <c r="G115" s="26">
        <f t="shared" si="7"/>
        <v>3.01</v>
      </c>
      <c r="H115" s="375">
        <v>15.121499999999999</v>
      </c>
      <c r="I115" s="2" t="e">
        <f>IF(A115&lt;&gt;0,VLOOKUP(A115,#REF!,2,FALSE),"")</f>
        <v>#REF!</v>
      </c>
      <c r="K115" s="237"/>
    </row>
    <row r="116" spans="1:11" ht="30">
      <c r="A116" s="24">
        <v>88316</v>
      </c>
      <c r="B116" s="78" t="s">
        <v>377</v>
      </c>
      <c r="C116" s="25" t="s">
        <v>12</v>
      </c>
      <c r="D116" s="25" t="s">
        <v>19</v>
      </c>
      <c r="E116" s="26">
        <v>1.1919999999999999</v>
      </c>
      <c r="F116" s="26">
        <f t="shared" si="6"/>
        <v>11.798000000000002</v>
      </c>
      <c r="G116" s="26">
        <f t="shared" si="7"/>
        <v>14.06</v>
      </c>
      <c r="H116" s="375">
        <v>11.798000000000002</v>
      </c>
      <c r="I116" s="2" t="e">
        <f>IF(A116&lt;&gt;0,VLOOKUP(A116,#REF!,2,FALSE),"")</f>
        <v>#REF!</v>
      </c>
      <c r="K116" s="237"/>
    </row>
    <row r="117" spans="1:11" ht="45">
      <c r="A117" s="24">
        <v>90586</v>
      </c>
      <c r="B117" s="78" t="s">
        <v>1780</v>
      </c>
      <c r="C117" s="25" t="s">
        <v>12</v>
      </c>
      <c r="D117" s="25" t="s">
        <v>388</v>
      </c>
      <c r="E117" s="26">
        <v>6.8000000000000005E-2</v>
      </c>
      <c r="F117" s="26">
        <f t="shared" si="6"/>
        <v>1.4449999999999998</v>
      </c>
      <c r="G117" s="26">
        <f t="shared" si="7"/>
        <v>0.1</v>
      </c>
      <c r="H117" s="375">
        <v>1.4449999999999998</v>
      </c>
      <c r="I117" s="2" t="e">
        <f>IF(A117&lt;&gt;0,VLOOKUP(A117,#REF!,2,FALSE),"")</f>
        <v>#REF!</v>
      </c>
      <c r="K117" s="237"/>
    </row>
    <row r="118" spans="1:11" ht="45">
      <c r="A118" s="24">
        <v>90587</v>
      </c>
      <c r="B118" s="78" t="s">
        <v>1783</v>
      </c>
      <c r="C118" s="25" t="s">
        <v>12</v>
      </c>
      <c r="D118" s="25" t="s">
        <v>389</v>
      </c>
      <c r="E118" s="26">
        <v>0.13100000000000001</v>
      </c>
      <c r="F118" s="26">
        <f t="shared" si="6"/>
        <v>0.374</v>
      </c>
      <c r="G118" s="26">
        <f t="shared" si="7"/>
        <v>0.05</v>
      </c>
      <c r="H118" s="375">
        <v>0.374</v>
      </c>
      <c r="I118" s="2" t="e">
        <f>IF(A118&lt;&gt;0,VLOOKUP(A118,#REF!,2,FALSE),"")</f>
        <v>#REF!</v>
      </c>
      <c r="K118" s="237"/>
    </row>
    <row r="119" spans="1:11" ht="15" customHeight="1">
      <c r="A119" s="986" t="s">
        <v>1894</v>
      </c>
      <c r="B119" s="986"/>
      <c r="C119" s="986"/>
      <c r="D119" s="986"/>
      <c r="E119" s="986"/>
      <c r="F119" s="986"/>
      <c r="G119" s="79">
        <f>ROUND(SUM(G113:G118),2)</f>
        <v>396.95</v>
      </c>
      <c r="K119" s="237"/>
    </row>
    <row r="120" spans="1:11">
      <c r="A120" s="80"/>
      <c r="B120" s="80"/>
      <c r="C120" s="352"/>
      <c r="D120" s="353"/>
      <c r="E120" s="80"/>
      <c r="F120" s="80"/>
      <c r="G120" s="80"/>
      <c r="K120" s="237"/>
    </row>
    <row r="121" spans="1:11">
      <c r="A121" s="80"/>
      <c r="B121" s="80"/>
      <c r="C121" s="352"/>
      <c r="D121" s="353"/>
      <c r="E121" s="80"/>
      <c r="F121" s="80"/>
      <c r="G121" s="80"/>
      <c r="K121" s="237"/>
    </row>
    <row r="122" spans="1:11" ht="57.75" customHeight="1">
      <c r="A122" s="920" t="s">
        <v>2057</v>
      </c>
      <c r="B122" s="921"/>
      <c r="C122" s="921"/>
      <c r="D122" s="921"/>
      <c r="E122" s="922"/>
      <c r="F122" s="75" t="s">
        <v>1915</v>
      </c>
      <c r="G122" s="347"/>
      <c r="K122" s="237"/>
    </row>
    <row r="123" spans="1:11" ht="28.5">
      <c r="A123" s="77" t="s">
        <v>1917</v>
      </c>
      <c r="B123" s="347"/>
      <c r="C123" s="77" t="s">
        <v>3</v>
      </c>
      <c r="D123" s="77" t="s">
        <v>4</v>
      </c>
      <c r="E123" s="77" t="s">
        <v>1826</v>
      </c>
      <c r="F123" s="77" t="s">
        <v>367</v>
      </c>
      <c r="G123" s="77" t="s">
        <v>368</v>
      </c>
      <c r="K123" s="237"/>
    </row>
    <row r="124" spans="1:11" ht="60">
      <c r="A124" s="24">
        <v>1525</v>
      </c>
      <c r="B124" s="78" t="s">
        <v>401</v>
      </c>
      <c r="C124" s="25" t="s">
        <v>12</v>
      </c>
      <c r="D124" s="25" t="s">
        <v>35</v>
      </c>
      <c r="E124" s="26">
        <v>1.103</v>
      </c>
      <c r="F124" s="26">
        <f t="shared" ref="F124:F129" si="8">H124</f>
        <v>341.56399999999996</v>
      </c>
      <c r="G124" s="26">
        <f t="shared" ref="G124:G129" si="9">ROUND(F124*E124,2)</f>
        <v>376.75</v>
      </c>
      <c r="H124" s="375">
        <v>341.56399999999996</v>
      </c>
      <c r="I124" s="2" t="e">
        <f>IF(A124&lt;&gt;0,VLOOKUP(A124,#REF!,2,FALSE),"")</f>
        <v>#REF!</v>
      </c>
      <c r="K124" s="237"/>
    </row>
    <row r="125" spans="1:11" ht="30">
      <c r="A125" s="24">
        <v>88262</v>
      </c>
      <c r="B125" s="78" t="s">
        <v>376</v>
      </c>
      <c r="C125" s="25" t="s">
        <v>12</v>
      </c>
      <c r="D125" s="25" t="s">
        <v>19</v>
      </c>
      <c r="E125" s="26">
        <v>9.4E-2</v>
      </c>
      <c r="F125" s="26">
        <f t="shared" si="8"/>
        <v>14.96</v>
      </c>
      <c r="G125" s="26">
        <f t="shared" si="9"/>
        <v>1.41</v>
      </c>
      <c r="H125" s="375">
        <v>14.96</v>
      </c>
      <c r="I125" s="2" t="e">
        <f>IF(A125&lt;&gt;0,VLOOKUP(A125,#REF!,2,FALSE),"")</f>
        <v>#REF!</v>
      </c>
      <c r="K125" s="237"/>
    </row>
    <row r="126" spans="1:11" ht="30">
      <c r="A126" s="24">
        <v>88309</v>
      </c>
      <c r="B126" s="78" t="s">
        <v>390</v>
      </c>
      <c r="C126" s="25" t="s">
        <v>12</v>
      </c>
      <c r="D126" s="25" t="s">
        <v>19</v>
      </c>
      <c r="E126" s="26">
        <v>0.56499999999999995</v>
      </c>
      <c r="F126" s="26">
        <f t="shared" si="8"/>
        <v>15.121499999999999</v>
      </c>
      <c r="G126" s="26">
        <f t="shared" si="9"/>
        <v>8.5399999999999991</v>
      </c>
      <c r="H126" s="375">
        <v>15.121499999999999</v>
      </c>
      <c r="I126" s="2" t="e">
        <f>IF(A126&lt;&gt;0,VLOOKUP(A126,#REF!,2,FALSE),"")</f>
        <v>#REF!</v>
      </c>
      <c r="K126" s="237"/>
    </row>
    <row r="127" spans="1:11" ht="30">
      <c r="A127" s="24">
        <v>88316</v>
      </c>
      <c r="B127" s="78" t="s">
        <v>377</v>
      </c>
      <c r="C127" s="25" t="s">
        <v>12</v>
      </c>
      <c r="D127" s="25" t="s">
        <v>19</v>
      </c>
      <c r="E127" s="26">
        <v>0.63800000000000001</v>
      </c>
      <c r="F127" s="26">
        <f t="shared" si="8"/>
        <v>11.798000000000002</v>
      </c>
      <c r="G127" s="26">
        <f t="shared" si="9"/>
        <v>7.53</v>
      </c>
      <c r="H127" s="375">
        <v>11.798000000000002</v>
      </c>
      <c r="I127" s="2" t="e">
        <f>IF(A127&lt;&gt;0,VLOOKUP(A127,#REF!,2,FALSE),"")</f>
        <v>#REF!</v>
      </c>
      <c r="K127" s="237"/>
    </row>
    <row r="128" spans="1:11" ht="45">
      <c r="A128" s="24">
        <v>90586</v>
      </c>
      <c r="B128" s="78" t="s">
        <v>1780</v>
      </c>
      <c r="C128" s="25" t="s">
        <v>12</v>
      </c>
      <c r="D128" s="25" t="s">
        <v>388</v>
      </c>
      <c r="E128" s="26">
        <v>5.6000000000000001E-2</v>
      </c>
      <c r="F128" s="26">
        <f t="shared" si="8"/>
        <v>1.4449999999999998</v>
      </c>
      <c r="G128" s="26">
        <f t="shared" si="9"/>
        <v>0.08</v>
      </c>
      <c r="H128" s="375">
        <v>1.4449999999999998</v>
      </c>
      <c r="I128" s="2" t="e">
        <f>IF(A128&lt;&gt;0,VLOOKUP(A128,#REF!,2,FALSE),"")</f>
        <v>#REF!</v>
      </c>
      <c r="K128" s="237"/>
    </row>
    <row r="129" spans="1:11" ht="45">
      <c r="A129" s="24">
        <v>90587</v>
      </c>
      <c r="B129" s="78" t="s">
        <v>1783</v>
      </c>
      <c r="C129" s="25" t="s">
        <v>12</v>
      </c>
      <c r="D129" s="25" t="s">
        <v>389</v>
      </c>
      <c r="E129" s="26">
        <v>0.13300000000000001</v>
      </c>
      <c r="F129" s="26">
        <f t="shared" si="8"/>
        <v>0.374</v>
      </c>
      <c r="G129" s="26">
        <f t="shared" si="9"/>
        <v>0.05</v>
      </c>
      <c r="H129" s="375">
        <v>0.374</v>
      </c>
      <c r="I129" s="2" t="e">
        <f>IF(A129&lt;&gt;0,VLOOKUP(A129,#REF!,2,FALSE),"")</f>
        <v>#REF!</v>
      </c>
      <c r="K129" s="237"/>
    </row>
    <row r="130" spans="1:11" ht="15" customHeight="1">
      <c r="A130" s="986" t="s">
        <v>1894</v>
      </c>
      <c r="B130" s="986"/>
      <c r="C130" s="986"/>
      <c r="D130" s="986"/>
      <c r="E130" s="986"/>
      <c r="F130" s="986"/>
      <c r="G130" s="79">
        <f>ROUND(SUM(G124:G129),2)</f>
        <v>394.36</v>
      </c>
      <c r="K130" s="237"/>
    </row>
    <row r="131" spans="1:11" ht="35.25" customHeight="1">
      <c r="A131" s="80"/>
      <c r="B131" s="80"/>
      <c r="C131" s="352"/>
      <c r="D131" s="353"/>
      <c r="E131" s="80"/>
      <c r="F131" s="80"/>
      <c r="G131" s="80"/>
      <c r="K131" s="237"/>
    </row>
    <row r="132" spans="1:11" ht="57.75" customHeight="1">
      <c r="A132" s="920" t="s">
        <v>2058</v>
      </c>
      <c r="B132" s="921"/>
      <c r="C132" s="921"/>
      <c r="D132" s="921"/>
      <c r="E132" s="922"/>
      <c r="F132" s="75" t="s">
        <v>1915</v>
      </c>
      <c r="G132" s="347"/>
      <c r="K132" s="237"/>
    </row>
    <row r="133" spans="1:11" ht="28.5">
      <c r="A133" s="77" t="s">
        <v>1917</v>
      </c>
      <c r="B133" s="347"/>
      <c r="C133" s="77" t="s">
        <v>3</v>
      </c>
      <c r="D133" s="77" t="s">
        <v>4</v>
      </c>
      <c r="E133" s="77" t="s">
        <v>1826</v>
      </c>
      <c r="F133" s="77" t="s">
        <v>367</v>
      </c>
      <c r="G133" s="77" t="s">
        <v>368</v>
      </c>
      <c r="K133" s="237"/>
    </row>
    <row r="134" spans="1:11" ht="45">
      <c r="A134" s="24">
        <v>2692</v>
      </c>
      <c r="B134" s="78" t="s">
        <v>399</v>
      </c>
      <c r="C134" s="25" t="s">
        <v>12</v>
      </c>
      <c r="D134" s="25" t="s">
        <v>381</v>
      </c>
      <c r="E134" s="26">
        <v>8.0000000000000002E-3</v>
      </c>
      <c r="F134" s="26">
        <f t="shared" ref="F134:F140" si="10">H134</f>
        <v>5.6355000000000004</v>
      </c>
      <c r="G134" s="26">
        <f t="shared" ref="G134:G140" si="11">ROUND(F134*E134,2)</f>
        <v>0.05</v>
      </c>
      <c r="H134" s="375">
        <v>5.6355000000000004</v>
      </c>
      <c r="I134" s="2" t="e">
        <f>IF(A134&lt;&gt;0,VLOOKUP(A134,#REF!,2,FALSE),"")</f>
        <v>#REF!</v>
      </c>
      <c r="K134" s="237"/>
    </row>
    <row r="135" spans="1:11" ht="75">
      <c r="A135" s="24">
        <v>10749</v>
      </c>
      <c r="B135" s="78" t="s">
        <v>410</v>
      </c>
      <c r="C135" s="25" t="s">
        <v>12</v>
      </c>
      <c r="D135" s="25" t="s">
        <v>13</v>
      </c>
      <c r="E135" s="26">
        <v>0.39700000000000002</v>
      </c>
      <c r="F135" s="26">
        <f t="shared" si="10"/>
        <v>2.5245000000000002</v>
      </c>
      <c r="G135" s="26">
        <f t="shared" si="11"/>
        <v>1</v>
      </c>
      <c r="H135" s="375">
        <v>2.5245000000000002</v>
      </c>
      <c r="I135" s="2" t="e">
        <f>IF(A135&lt;&gt;0,VLOOKUP(A135,#REF!,2,FALSE),"")</f>
        <v>#REF!</v>
      </c>
      <c r="K135" s="237"/>
    </row>
    <row r="136" spans="1:11" ht="45">
      <c r="A136" s="24">
        <v>40270</v>
      </c>
      <c r="B136" s="78" t="s">
        <v>411</v>
      </c>
      <c r="C136" s="25" t="s">
        <v>12</v>
      </c>
      <c r="D136" s="25" t="s">
        <v>52</v>
      </c>
      <c r="E136" s="26">
        <v>0.03</v>
      </c>
      <c r="F136" s="26">
        <f t="shared" si="10"/>
        <v>59.270500000000006</v>
      </c>
      <c r="G136" s="26">
        <f t="shared" si="11"/>
        <v>1.78</v>
      </c>
      <c r="H136" s="375">
        <v>59.270500000000006</v>
      </c>
      <c r="I136" s="2" t="e">
        <f>IF(A136&lt;&gt;0,VLOOKUP(A136,#REF!,2,FALSE),"")</f>
        <v>#REF!</v>
      </c>
      <c r="K136" s="237"/>
    </row>
    <row r="137" spans="1:11" ht="45">
      <c r="A137" s="24">
        <v>40290</v>
      </c>
      <c r="B137" s="78" t="s">
        <v>412</v>
      </c>
      <c r="C137" s="25" t="s">
        <v>12</v>
      </c>
      <c r="D137" s="25" t="s">
        <v>13</v>
      </c>
      <c r="E137" s="26">
        <v>1.03</v>
      </c>
      <c r="F137" s="26">
        <f t="shared" si="10"/>
        <v>3.6465000000000001</v>
      </c>
      <c r="G137" s="26">
        <f t="shared" si="11"/>
        <v>3.76</v>
      </c>
      <c r="H137" s="375">
        <v>3.6465000000000001</v>
      </c>
      <c r="I137" s="2" t="e">
        <f>IF(A137&lt;&gt;0,VLOOKUP(A137,#REF!,2,FALSE),"")</f>
        <v>#REF!</v>
      </c>
      <c r="K137" s="237"/>
    </row>
    <row r="138" spans="1:11" ht="30">
      <c r="A138" s="24">
        <v>88239</v>
      </c>
      <c r="B138" s="78" t="s">
        <v>393</v>
      </c>
      <c r="C138" s="25" t="s">
        <v>12</v>
      </c>
      <c r="D138" s="25" t="s">
        <v>19</v>
      </c>
      <c r="E138" s="26">
        <v>0.17599999999999999</v>
      </c>
      <c r="F138" s="26">
        <f t="shared" si="10"/>
        <v>12.622499999999999</v>
      </c>
      <c r="G138" s="26">
        <f t="shared" si="11"/>
        <v>2.2200000000000002</v>
      </c>
      <c r="H138" s="375">
        <v>12.622499999999999</v>
      </c>
      <c r="I138" s="2" t="e">
        <f>IF(A138&lt;&gt;0,VLOOKUP(A138,#REF!,2,FALSE),"")</f>
        <v>#REF!</v>
      </c>
      <c r="K138" s="237"/>
    </row>
    <row r="139" spans="1:11" ht="30">
      <c r="A139" s="24">
        <v>88262</v>
      </c>
      <c r="B139" s="78" t="s">
        <v>376</v>
      </c>
      <c r="C139" s="25" t="s">
        <v>12</v>
      </c>
      <c r="D139" s="25" t="s">
        <v>19</v>
      </c>
      <c r="E139" s="26">
        <v>0.96099999999999997</v>
      </c>
      <c r="F139" s="26">
        <f t="shared" si="10"/>
        <v>14.96</v>
      </c>
      <c r="G139" s="26">
        <f t="shared" si="11"/>
        <v>14.38</v>
      </c>
      <c r="H139" s="375">
        <v>14.96</v>
      </c>
      <c r="I139" s="2" t="e">
        <f>IF(A139&lt;&gt;0,VLOOKUP(A139,#REF!,2,FALSE),"")</f>
        <v>#REF!</v>
      </c>
      <c r="K139" s="237"/>
    </row>
    <row r="140" spans="1:11" ht="45">
      <c r="A140" s="24">
        <v>92267</v>
      </c>
      <c r="B140" s="78" t="s">
        <v>1788</v>
      </c>
      <c r="C140" s="25" t="s">
        <v>12</v>
      </c>
      <c r="D140" s="25" t="s">
        <v>26</v>
      </c>
      <c r="E140" s="26">
        <v>0.183</v>
      </c>
      <c r="F140" s="26">
        <f t="shared" si="10"/>
        <v>30.880499999999998</v>
      </c>
      <c r="G140" s="26">
        <f t="shared" si="11"/>
        <v>5.65</v>
      </c>
      <c r="H140" s="375">
        <v>30.880499999999998</v>
      </c>
      <c r="I140" s="2" t="e">
        <f>IF(A140&lt;&gt;0,VLOOKUP(A140,#REF!,2,FALSE),"")</f>
        <v>#REF!</v>
      </c>
      <c r="K140" s="237"/>
    </row>
    <row r="141" spans="1:11" ht="15" customHeight="1">
      <c r="A141" s="986" t="s">
        <v>1894</v>
      </c>
      <c r="B141" s="986"/>
      <c r="C141" s="986"/>
      <c r="D141" s="986"/>
      <c r="E141" s="986"/>
      <c r="F141" s="986"/>
      <c r="G141" s="79">
        <f>ROUND(SUM(G134:G140),2)</f>
        <v>28.84</v>
      </c>
      <c r="K141" s="237"/>
    </row>
    <row r="142" spans="1:11" ht="24" customHeight="1">
      <c r="A142" s="80"/>
      <c r="B142" s="80"/>
      <c r="C142" s="352"/>
      <c r="D142" s="353"/>
      <c r="E142" s="80"/>
      <c r="F142" s="80"/>
      <c r="G142" s="80"/>
      <c r="K142" s="237"/>
    </row>
    <row r="143" spans="1:11" ht="46.5" customHeight="1">
      <c r="A143" s="920" t="s">
        <v>2049</v>
      </c>
      <c r="B143" s="921"/>
      <c r="C143" s="921"/>
      <c r="D143" s="921"/>
      <c r="E143" s="922"/>
      <c r="F143" s="75" t="s">
        <v>1915</v>
      </c>
      <c r="G143" s="347"/>
      <c r="K143" s="237"/>
    </row>
    <row r="144" spans="1:11" ht="28.5">
      <c r="A144" s="77" t="s">
        <v>1917</v>
      </c>
      <c r="B144" s="347"/>
      <c r="C144" s="77" t="s">
        <v>3</v>
      </c>
      <c r="D144" s="77" t="s">
        <v>4</v>
      </c>
      <c r="E144" s="77" t="s">
        <v>1826</v>
      </c>
      <c r="F144" s="77" t="s">
        <v>367</v>
      </c>
      <c r="G144" s="77" t="s">
        <v>368</v>
      </c>
      <c r="K144" s="237"/>
    </row>
    <row r="145" spans="1:11" ht="45">
      <c r="A145" s="24">
        <v>2692</v>
      </c>
      <c r="B145" s="78" t="s">
        <v>399</v>
      </c>
      <c r="C145" s="25" t="s">
        <v>12</v>
      </c>
      <c r="D145" s="25" t="s">
        <v>381</v>
      </c>
      <c r="E145" s="26">
        <v>1.7000000000000001E-2</v>
      </c>
      <c r="F145" s="26">
        <f t="shared" ref="F145:F151" si="12">H145</f>
        <v>5.6355000000000004</v>
      </c>
      <c r="G145" s="26">
        <f t="shared" ref="G145:G151" si="13">ROUND(F145*E145,2)</f>
        <v>0.1</v>
      </c>
      <c r="H145" s="375">
        <v>5.6355000000000004</v>
      </c>
      <c r="I145" s="2" t="e">
        <f>IF(A145&lt;&gt;0,VLOOKUP(A145,#REF!,2,FALSE),"")</f>
        <v>#REF!</v>
      </c>
      <c r="K145" s="237"/>
    </row>
    <row r="146" spans="1:11" ht="30">
      <c r="A146" s="24">
        <v>6193</v>
      </c>
      <c r="B146" s="78" t="s">
        <v>384</v>
      </c>
      <c r="C146" s="25" t="s">
        <v>12</v>
      </c>
      <c r="D146" s="25" t="s">
        <v>52</v>
      </c>
      <c r="E146" s="26">
        <v>3.1120000000000001</v>
      </c>
      <c r="F146" s="26">
        <f t="shared" si="12"/>
        <v>12.0105</v>
      </c>
      <c r="G146" s="26">
        <f t="shared" si="13"/>
        <v>37.380000000000003</v>
      </c>
      <c r="H146" s="375">
        <v>12.0105</v>
      </c>
      <c r="I146" s="2" t="e">
        <f>IF(A146&lt;&gt;0,VLOOKUP(A146,#REF!,2,FALSE),"")</f>
        <v>#REF!</v>
      </c>
      <c r="K146" s="237"/>
    </row>
    <row r="147" spans="1:11" ht="30">
      <c r="A147" s="24">
        <v>40304</v>
      </c>
      <c r="B147" s="78" t="s">
        <v>400</v>
      </c>
      <c r="C147" s="25" t="s">
        <v>12</v>
      </c>
      <c r="D147" s="25" t="s">
        <v>45</v>
      </c>
      <c r="E147" s="26">
        <v>6.5000000000000002E-2</v>
      </c>
      <c r="F147" s="26">
        <f t="shared" si="12"/>
        <v>19.7455</v>
      </c>
      <c r="G147" s="26">
        <f t="shared" si="13"/>
        <v>1.28</v>
      </c>
      <c r="H147" s="375">
        <v>19.7455</v>
      </c>
      <c r="I147" s="2" t="e">
        <f>IF(A147&lt;&gt;0,VLOOKUP(A147,#REF!,2,FALSE),"")</f>
        <v>#REF!</v>
      </c>
      <c r="K147" s="237"/>
    </row>
    <row r="148" spans="1:11" ht="30">
      <c r="A148" s="24">
        <v>88239</v>
      </c>
      <c r="B148" s="78" t="s">
        <v>393</v>
      </c>
      <c r="C148" s="25" t="s">
        <v>12</v>
      </c>
      <c r="D148" s="25" t="s">
        <v>19</v>
      </c>
      <c r="E148" s="26">
        <v>0.81499999999999995</v>
      </c>
      <c r="F148" s="26">
        <f t="shared" si="12"/>
        <v>12.622499999999999</v>
      </c>
      <c r="G148" s="26">
        <f t="shared" si="13"/>
        <v>10.29</v>
      </c>
      <c r="H148" s="375">
        <v>12.622499999999999</v>
      </c>
      <c r="I148" s="2" t="e">
        <f>IF(A148&lt;&gt;0,VLOOKUP(A148,#REF!,2,FALSE),"")</f>
        <v>#REF!</v>
      </c>
      <c r="K148" s="237"/>
    </row>
    <row r="149" spans="1:11" ht="30">
      <c r="A149" s="24">
        <v>88262</v>
      </c>
      <c r="B149" s="78" t="s">
        <v>376</v>
      </c>
      <c r="C149" s="25" t="s">
        <v>12</v>
      </c>
      <c r="D149" s="25" t="s">
        <v>19</v>
      </c>
      <c r="E149" s="26">
        <v>4.4450000000000003</v>
      </c>
      <c r="F149" s="26">
        <f t="shared" si="12"/>
        <v>14.96</v>
      </c>
      <c r="G149" s="26">
        <f t="shared" si="13"/>
        <v>66.5</v>
      </c>
      <c r="H149" s="375">
        <v>14.96</v>
      </c>
      <c r="I149" s="2" t="e">
        <f>IF(A149&lt;&gt;0,VLOOKUP(A149,#REF!,2,FALSE),"")</f>
        <v>#REF!</v>
      </c>
      <c r="K149" s="237"/>
    </row>
    <row r="150" spans="1:11" ht="30">
      <c r="A150" s="24">
        <v>92271</v>
      </c>
      <c r="B150" s="78" t="s">
        <v>1781</v>
      </c>
      <c r="C150" s="25" t="s">
        <v>12</v>
      </c>
      <c r="D150" s="25" t="s">
        <v>26</v>
      </c>
      <c r="E150" s="26">
        <v>1.02</v>
      </c>
      <c r="F150" s="26">
        <f t="shared" si="12"/>
        <v>67.846999999999994</v>
      </c>
      <c r="G150" s="26">
        <f t="shared" si="13"/>
        <v>69.2</v>
      </c>
      <c r="H150" s="375">
        <v>67.846999999999994</v>
      </c>
      <c r="I150" s="2" t="e">
        <f>IF(A150&lt;&gt;0,VLOOKUP(A150,#REF!,2,FALSE),"")</f>
        <v>#REF!</v>
      </c>
      <c r="K150" s="237"/>
    </row>
    <row r="151" spans="1:11" ht="30">
      <c r="A151" s="24">
        <v>92273</v>
      </c>
      <c r="B151" s="78" t="s">
        <v>1782</v>
      </c>
      <c r="C151" s="25" t="s">
        <v>12</v>
      </c>
      <c r="D151" s="25" t="s">
        <v>52</v>
      </c>
      <c r="E151" s="26">
        <v>1.3480000000000001</v>
      </c>
      <c r="F151" s="26">
        <f t="shared" si="12"/>
        <v>9.7580000000000009</v>
      </c>
      <c r="G151" s="26">
        <f t="shared" si="13"/>
        <v>13.15</v>
      </c>
      <c r="H151" s="375">
        <v>9.7580000000000009</v>
      </c>
      <c r="I151" s="2" t="e">
        <f>IF(A151&lt;&gt;0,VLOOKUP(A151,#REF!,2,FALSE),"")</f>
        <v>#REF!</v>
      </c>
      <c r="K151" s="237"/>
    </row>
    <row r="152" spans="1:11" ht="15" customHeight="1">
      <c r="A152" s="986" t="s">
        <v>1894</v>
      </c>
      <c r="B152" s="986"/>
      <c r="C152" s="986"/>
      <c r="D152" s="986"/>
      <c r="E152" s="986"/>
      <c r="F152" s="986"/>
      <c r="G152" s="79">
        <f>ROUND(SUM(G145:G151),2)</f>
        <v>197.9</v>
      </c>
      <c r="K152" s="237"/>
    </row>
    <row r="153" spans="1:11" ht="28.5" customHeight="1">
      <c r="A153" s="80"/>
      <c r="B153" s="80"/>
      <c r="C153" s="352"/>
      <c r="D153" s="353"/>
      <c r="E153" s="80"/>
      <c r="F153" s="80"/>
      <c r="G153" s="80"/>
      <c r="K153" s="237"/>
    </row>
    <row r="154" spans="1:11" ht="33.75" customHeight="1">
      <c r="A154" s="920" t="s">
        <v>2059</v>
      </c>
      <c r="B154" s="921"/>
      <c r="C154" s="921"/>
      <c r="D154" s="921"/>
      <c r="E154" s="922"/>
      <c r="F154" s="75" t="s">
        <v>1915</v>
      </c>
      <c r="G154" s="347"/>
      <c r="K154" s="237"/>
    </row>
    <row r="155" spans="1:11" ht="28.5">
      <c r="A155" s="77" t="s">
        <v>1917</v>
      </c>
      <c r="B155" s="347"/>
      <c r="C155" s="77" t="s">
        <v>3</v>
      </c>
      <c r="D155" s="77" t="s">
        <v>4</v>
      </c>
      <c r="E155" s="77" t="s">
        <v>1826</v>
      </c>
      <c r="F155" s="77" t="s">
        <v>367</v>
      </c>
      <c r="G155" s="77" t="s">
        <v>368</v>
      </c>
      <c r="K155" s="237"/>
    </row>
    <row r="156" spans="1:11" ht="30">
      <c r="A156" s="24">
        <v>43132</v>
      </c>
      <c r="B156" s="78" t="s">
        <v>385</v>
      </c>
      <c r="C156" s="25" t="s">
        <v>12</v>
      </c>
      <c r="D156" s="25" t="s">
        <v>45</v>
      </c>
      <c r="E156" s="26">
        <v>1.4999999999999999E-2</v>
      </c>
      <c r="F156" s="26">
        <f>H156</f>
        <v>17.8415</v>
      </c>
      <c r="G156" s="26">
        <f>ROUND(F156*E156,2)</f>
        <v>0.27</v>
      </c>
      <c r="H156" s="375">
        <v>17.8415</v>
      </c>
      <c r="I156" s="2" t="e">
        <f>IF(A156&lt;&gt;0,VLOOKUP(A156,#REF!,2,FALSE),"")</f>
        <v>#REF!</v>
      </c>
      <c r="K156" s="237"/>
    </row>
    <row r="157" spans="1:11" ht="60">
      <c r="A157" s="24">
        <v>21141</v>
      </c>
      <c r="B157" s="78" t="s">
        <v>413</v>
      </c>
      <c r="C157" s="25" t="s">
        <v>12</v>
      </c>
      <c r="D157" s="25" t="s">
        <v>26</v>
      </c>
      <c r="E157" s="26">
        <v>1.03</v>
      </c>
      <c r="F157" s="26">
        <f>H157</f>
        <v>13.685000000000002</v>
      </c>
      <c r="G157" s="26">
        <f>ROUND(F157*E157,2)</f>
        <v>14.1</v>
      </c>
      <c r="H157" s="375">
        <v>13.685000000000002</v>
      </c>
      <c r="I157" s="2" t="e">
        <f>IF(A157&lt;&gt;0,VLOOKUP(A157,#REF!,2,FALSE),"")</f>
        <v>#REF!</v>
      </c>
      <c r="K157" s="237"/>
    </row>
    <row r="158" spans="1:11" ht="30">
      <c r="A158" s="24">
        <v>88245</v>
      </c>
      <c r="B158" s="78" t="s">
        <v>395</v>
      </c>
      <c r="C158" s="25" t="s">
        <v>12</v>
      </c>
      <c r="D158" s="25" t="s">
        <v>19</v>
      </c>
      <c r="E158" s="26">
        <v>0.03</v>
      </c>
      <c r="F158" s="26">
        <f>H158</f>
        <v>15.045</v>
      </c>
      <c r="G158" s="26">
        <f>ROUND(F158*E158,2)</f>
        <v>0.45</v>
      </c>
      <c r="H158" s="375">
        <v>15.045</v>
      </c>
      <c r="I158" s="2" t="e">
        <f>IF(A158&lt;&gt;0,VLOOKUP(A158,#REF!,2,FALSE),"")</f>
        <v>#REF!</v>
      </c>
      <c r="K158" s="237"/>
    </row>
    <row r="159" spans="1:11" ht="30">
      <c r="A159" s="24">
        <v>88316</v>
      </c>
      <c r="B159" s="78" t="s">
        <v>377</v>
      </c>
      <c r="C159" s="25" t="s">
        <v>12</v>
      </c>
      <c r="D159" s="25" t="s">
        <v>19</v>
      </c>
      <c r="E159" s="26">
        <v>0.06</v>
      </c>
      <c r="F159" s="26">
        <f>H159</f>
        <v>11.798000000000002</v>
      </c>
      <c r="G159" s="26">
        <f>ROUND(F159*E159,2)</f>
        <v>0.71</v>
      </c>
      <c r="H159" s="375">
        <v>11.798000000000002</v>
      </c>
      <c r="I159" s="2" t="e">
        <f>IF(A159&lt;&gt;0,VLOOKUP(A159,#REF!,2,FALSE),"")</f>
        <v>#REF!</v>
      </c>
      <c r="K159" s="237"/>
    </row>
    <row r="160" spans="1:11" ht="15" customHeight="1">
      <c r="A160" s="986" t="s">
        <v>1894</v>
      </c>
      <c r="B160" s="986"/>
      <c r="C160" s="986"/>
      <c r="D160" s="986"/>
      <c r="E160" s="986"/>
      <c r="F160" s="986"/>
      <c r="G160" s="79">
        <f>ROUND(SUM(G156:G159),2)</f>
        <v>15.53</v>
      </c>
      <c r="K160" s="237"/>
    </row>
    <row r="161" spans="1:11" ht="31.5" customHeight="1">
      <c r="A161" s="80"/>
      <c r="B161" s="80"/>
      <c r="C161" s="352"/>
      <c r="D161" s="353"/>
      <c r="E161" s="80"/>
      <c r="F161" s="80"/>
      <c r="G161" s="80"/>
      <c r="K161" s="237"/>
    </row>
    <row r="162" spans="1:11" ht="36" customHeight="1">
      <c r="A162" s="920" t="s">
        <v>2060</v>
      </c>
      <c r="B162" s="921"/>
      <c r="C162" s="921"/>
      <c r="D162" s="921"/>
      <c r="E162" s="929"/>
      <c r="F162" s="75" t="s">
        <v>1915</v>
      </c>
      <c r="G162" s="347"/>
      <c r="K162" s="237"/>
    </row>
    <row r="163" spans="1:11" ht="28.5">
      <c r="A163" s="77" t="s">
        <v>1917</v>
      </c>
      <c r="B163" s="347"/>
      <c r="C163" s="77" t="s">
        <v>3</v>
      </c>
      <c r="D163" s="77" t="s">
        <v>4</v>
      </c>
      <c r="E163" s="77" t="s">
        <v>1826</v>
      </c>
      <c r="F163" s="77" t="s">
        <v>367</v>
      </c>
      <c r="G163" s="77" t="s">
        <v>368</v>
      </c>
      <c r="K163" s="237"/>
    </row>
    <row r="164" spans="1:11" ht="45">
      <c r="A164" s="24">
        <v>2692</v>
      </c>
      <c r="B164" s="78" t="s">
        <v>399</v>
      </c>
      <c r="C164" s="25" t="s">
        <v>12</v>
      </c>
      <c r="D164" s="25" t="s">
        <v>381</v>
      </c>
      <c r="E164" s="26">
        <v>1.7000000000000001E-2</v>
      </c>
      <c r="F164" s="26">
        <f t="shared" ref="F164:F170" si="14">H164</f>
        <v>5.6355000000000004</v>
      </c>
      <c r="G164" s="26">
        <f t="shared" ref="G164:G170" si="15">ROUND(F164*E164,2)</f>
        <v>0.1</v>
      </c>
      <c r="H164" s="375">
        <v>5.6355000000000004</v>
      </c>
      <c r="I164" s="2" t="e">
        <f>IF(A164&lt;&gt;0,VLOOKUP(A164,#REF!,2,FALSE),"")</f>
        <v>#REF!</v>
      </c>
      <c r="K164" s="237"/>
    </row>
    <row r="165" spans="1:11" ht="30">
      <c r="A165" s="24">
        <v>5074</v>
      </c>
      <c r="B165" s="78" t="s">
        <v>414</v>
      </c>
      <c r="C165" s="25" t="s">
        <v>12</v>
      </c>
      <c r="D165" s="25" t="s">
        <v>45</v>
      </c>
      <c r="E165" s="26">
        <v>0.04</v>
      </c>
      <c r="F165" s="26">
        <f t="shared" si="14"/>
        <v>17.917999999999999</v>
      </c>
      <c r="G165" s="26">
        <f t="shared" si="15"/>
        <v>0.72</v>
      </c>
      <c r="H165" s="375">
        <v>17.917999999999999</v>
      </c>
      <c r="I165" s="2" t="e">
        <f>IF(A165&lt;&gt;0,VLOOKUP(A165,#REF!,2,FALSE),"")</f>
        <v>#REF!</v>
      </c>
      <c r="K165" s="237"/>
    </row>
    <row r="166" spans="1:11" ht="30">
      <c r="A166" s="24">
        <v>6193</v>
      </c>
      <c r="B166" s="78" t="s">
        <v>384</v>
      </c>
      <c r="C166" s="25" t="s">
        <v>12</v>
      </c>
      <c r="D166" s="25" t="s">
        <v>52</v>
      </c>
      <c r="E166" s="26">
        <v>0.442</v>
      </c>
      <c r="F166" s="26">
        <f t="shared" si="14"/>
        <v>12.0105</v>
      </c>
      <c r="G166" s="26">
        <f t="shared" si="15"/>
        <v>5.31</v>
      </c>
      <c r="H166" s="375">
        <v>12.0105</v>
      </c>
      <c r="I166" s="2" t="e">
        <f>IF(A166&lt;&gt;0,VLOOKUP(A166,#REF!,2,FALSE),"")</f>
        <v>#REF!</v>
      </c>
      <c r="K166" s="237"/>
    </row>
    <row r="167" spans="1:11" ht="30">
      <c r="A167" s="24">
        <v>88239</v>
      </c>
      <c r="B167" s="78" t="s">
        <v>393</v>
      </c>
      <c r="C167" s="25" t="s">
        <v>12</v>
      </c>
      <c r="D167" s="25" t="s">
        <v>19</v>
      </c>
      <c r="E167" s="26">
        <v>0.55000000000000004</v>
      </c>
      <c r="F167" s="26">
        <f t="shared" si="14"/>
        <v>12.622499999999999</v>
      </c>
      <c r="G167" s="26">
        <f t="shared" si="15"/>
        <v>6.94</v>
      </c>
      <c r="H167" s="375">
        <v>12.622499999999999</v>
      </c>
      <c r="I167" s="2" t="e">
        <f>IF(A167&lt;&gt;0,VLOOKUP(A167,#REF!,2,FALSE),"")</f>
        <v>#REF!</v>
      </c>
      <c r="K167" s="237"/>
    </row>
    <row r="168" spans="1:11" ht="30">
      <c r="A168" s="24">
        <v>88262</v>
      </c>
      <c r="B168" s="78" t="s">
        <v>376</v>
      </c>
      <c r="C168" s="25" t="s">
        <v>12</v>
      </c>
      <c r="D168" s="25" t="s">
        <v>19</v>
      </c>
      <c r="E168" s="26">
        <v>3.29</v>
      </c>
      <c r="F168" s="26">
        <f t="shared" si="14"/>
        <v>14.96</v>
      </c>
      <c r="G168" s="26">
        <f t="shared" si="15"/>
        <v>49.22</v>
      </c>
      <c r="H168" s="375">
        <v>14.96</v>
      </c>
      <c r="I168" s="2" t="e">
        <f>IF(A168&lt;&gt;0,VLOOKUP(A168,#REF!,2,FALSE),"")</f>
        <v>#REF!</v>
      </c>
      <c r="K168" s="237"/>
    </row>
    <row r="169" spans="1:11" ht="30">
      <c r="A169" s="24">
        <v>92273</v>
      </c>
      <c r="B169" s="78" t="s">
        <v>1782</v>
      </c>
      <c r="C169" s="25" t="s">
        <v>12</v>
      </c>
      <c r="D169" s="25" t="s">
        <v>52</v>
      </c>
      <c r="E169" s="26">
        <v>4.3310000000000004</v>
      </c>
      <c r="F169" s="26">
        <f t="shared" si="14"/>
        <v>9.7580000000000009</v>
      </c>
      <c r="G169" s="26">
        <f t="shared" si="15"/>
        <v>42.26</v>
      </c>
      <c r="H169" s="375">
        <v>9.7580000000000009</v>
      </c>
      <c r="I169" s="2" t="e">
        <f>IF(A169&lt;&gt;0,VLOOKUP(A169,#REF!,2,FALSE),"")</f>
        <v>#REF!</v>
      </c>
      <c r="K169" s="237"/>
    </row>
    <row r="170" spans="1:11" ht="45">
      <c r="A170" s="24">
        <v>101973</v>
      </c>
      <c r="B170" s="78" t="s">
        <v>1789</v>
      </c>
      <c r="C170" s="25" t="s">
        <v>12</v>
      </c>
      <c r="D170" s="25" t="s">
        <v>26</v>
      </c>
      <c r="E170" s="26">
        <v>0.93</v>
      </c>
      <c r="F170" s="26">
        <f t="shared" si="14"/>
        <v>130.98499999999999</v>
      </c>
      <c r="G170" s="26">
        <f t="shared" si="15"/>
        <v>121.82</v>
      </c>
      <c r="H170" s="375">
        <v>130.98499999999999</v>
      </c>
      <c r="I170" s="2" t="e">
        <f>IF(A170&lt;&gt;0,VLOOKUP(A170,#REF!,2,FALSE),"")</f>
        <v>#REF!</v>
      </c>
      <c r="K170" s="237"/>
    </row>
    <row r="171" spans="1:11" ht="15" customHeight="1">
      <c r="A171" s="986" t="s">
        <v>1894</v>
      </c>
      <c r="B171" s="986"/>
      <c r="C171" s="986"/>
      <c r="D171" s="986"/>
      <c r="E171" s="986"/>
      <c r="F171" s="986"/>
      <c r="G171" s="79">
        <f>ROUND(SUM(G164:G170),2)</f>
        <v>226.37</v>
      </c>
      <c r="K171" s="237"/>
    </row>
    <row r="172" spans="1:11" ht="27.75" customHeight="1">
      <c r="A172" s="80"/>
      <c r="B172" s="80"/>
      <c r="C172" s="352"/>
      <c r="D172" s="353"/>
      <c r="E172" s="80"/>
      <c r="F172" s="80"/>
      <c r="G172" s="80"/>
      <c r="K172" s="237"/>
    </row>
    <row r="173" spans="1:11" ht="50.25" customHeight="1">
      <c r="A173" s="920" t="s">
        <v>2049</v>
      </c>
      <c r="B173" s="921"/>
      <c r="C173" s="921"/>
      <c r="D173" s="921"/>
      <c r="E173" s="929"/>
      <c r="F173" s="75" t="s">
        <v>1915</v>
      </c>
      <c r="G173" s="347"/>
      <c r="K173" s="237"/>
    </row>
    <row r="174" spans="1:11" ht="28.5">
      <c r="A174" s="77" t="s">
        <v>1917</v>
      </c>
      <c r="B174" s="347"/>
      <c r="C174" s="77" t="s">
        <v>3</v>
      </c>
      <c r="D174" s="77" t="s">
        <v>4</v>
      </c>
      <c r="E174" s="77" t="s">
        <v>1826</v>
      </c>
      <c r="F174" s="77" t="s">
        <v>367</v>
      </c>
      <c r="G174" s="77" t="s">
        <v>368</v>
      </c>
      <c r="K174" s="237"/>
    </row>
    <row r="175" spans="1:11" ht="45">
      <c r="A175" s="24">
        <v>2692</v>
      </c>
      <c r="B175" s="78" t="s">
        <v>399</v>
      </c>
      <c r="C175" s="25" t="s">
        <v>12</v>
      </c>
      <c r="D175" s="25" t="s">
        <v>381</v>
      </c>
      <c r="E175" s="26">
        <v>1.7000000000000001E-2</v>
      </c>
      <c r="F175" s="26">
        <f t="shared" ref="F175:F181" si="16">H175</f>
        <v>5.6355000000000004</v>
      </c>
      <c r="G175" s="26">
        <f t="shared" ref="G175:G181" si="17">ROUND(F175*E175,2)</f>
        <v>0.1</v>
      </c>
      <c r="H175" s="375">
        <v>5.6355000000000004</v>
      </c>
      <c r="I175" s="2" t="e">
        <f>IF(A175&lt;&gt;0,VLOOKUP(A175,#REF!,2,FALSE),"")</f>
        <v>#REF!</v>
      </c>
      <c r="K175" s="237"/>
    </row>
    <row r="176" spans="1:11" ht="30">
      <c r="A176" s="24">
        <v>6193</v>
      </c>
      <c r="B176" s="78" t="s">
        <v>384</v>
      </c>
      <c r="C176" s="25" t="s">
        <v>12</v>
      </c>
      <c r="D176" s="25" t="s">
        <v>52</v>
      </c>
      <c r="E176" s="26">
        <v>3.1120000000000001</v>
      </c>
      <c r="F176" s="26">
        <f t="shared" si="16"/>
        <v>12.0105</v>
      </c>
      <c r="G176" s="26">
        <f t="shared" si="17"/>
        <v>37.380000000000003</v>
      </c>
      <c r="H176" s="375">
        <v>12.0105</v>
      </c>
      <c r="I176" s="2" t="e">
        <f>IF(A176&lt;&gt;0,VLOOKUP(A176,#REF!,2,FALSE),"")</f>
        <v>#REF!</v>
      </c>
      <c r="K176" s="237"/>
    </row>
    <row r="177" spans="1:11" ht="30">
      <c r="A177" s="24">
        <v>40304</v>
      </c>
      <c r="B177" s="78" t="s">
        <v>400</v>
      </c>
      <c r="C177" s="25" t="s">
        <v>12</v>
      </c>
      <c r="D177" s="25" t="s">
        <v>45</v>
      </c>
      <c r="E177" s="26">
        <v>6.5000000000000002E-2</v>
      </c>
      <c r="F177" s="26">
        <f t="shared" si="16"/>
        <v>19.7455</v>
      </c>
      <c r="G177" s="26">
        <f t="shared" si="17"/>
        <v>1.28</v>
      </c>
      <c r="H177" s="375">
        <v>19.7455</v>
      </c>
      <c r="I177" s="2" t="e">
        <f>IF(A177&lt;&gt;0,VLOOKUP(A177,#REF!,2,FALSE),"")</f>
        <v>#REF!</v>
      </c>
      <c r="K177" s="237"/>
    </row>
    <row r="178" spans="1:11" ht="30">
      <c r="A178" s="24">
        <v>88239</v>
      </c>
      <c r="B178" s="78" t="s">
        <v>393</v>
      </c>
      <c r="C178" s="25" t="s">
        <v>12</v>
      </c>
      <c r="D178" s="25" t="s">
        <v>19</v>
      </c>
      <c r="E178" s="26">
        <v>0.81499999999999995</v>
      </c>
      <c r="F178" s="26">
        <f t="shared" si="16"/>
        <v>12.622499999999999</v>
      </c>
      <c r="G178" s="26">
        <f t="shared" si="17"/>
        <v>10.29</v>
      </c>
      <c r="H178" s="375">
        <v>12.622499999999999</v>
      </c>
      <c r="I178" s="2" t="e">
        <f>IF(A178&lt;&gt;0,VLOOKUP(A178,#REF!,2,FALSE),"")</f>
        <v>#REF!</v>
      </c>
      <c r="K178" s="237"/>
    </row>
    <row r="179" spans="1:11" ht="30">
      <c r="A179" s="24">
        <v>88262</v>
      </c>
      <c r="B179" s="78" t="s">
        <v>376</v>
      </c>
      <c r="C179" s="25" t="s">
        <v>12</v>
      </c>
      <c r="D179" s="25" t="s">
        <v>19</v>
      </c>
      <c r="E179" s="26">
        <v>4.4450000000000003</v>
      </c>
      <c r="F179" s="26">
        <f t="shared" si="16"/>
        <v>14.96</v>
      </c>
      <c r="G179" s="26">
        <f t="shared" si="17"/>
        <v>66.5</v>
      </c>
      <c r="H179" s="375">
        <v>14.96</v>
      </c>
      <c r="I179" s="2" t="e">
        <f>IF(A179&lt;&gt;0,VLOOKUP(A179,#REF!,2,FALSE),"")</f>
        <v>#REF!</v>
      </c>
      <c r="K179" s="237"/>
    </row>
    <row r="180" spans="1:11" ht="30">
      <c r="A180" s="24">
        <v>92271</v>
      </c>
      <c r="B180" s="78" t="s">
        <v>1781</v>
      </c>
      <c r="C180" s="25" t="s">
        <v>12</v>
      </c>
      <c r="D180" s="25" t="s">
        <v>26</v>
      </c>
      <c r="E180" s="26">
        <v>1.02</v>
      </c>
      <c r="F180" s="26">
        <f t="shared" si="16"/>
        <v>67.846999999999994</v>
      </c>
      <c r="G180" s="26">
        <f t="shared" si="17"/>
        <v>69.2</v>
      </c>
      <c r="H180" s="375">
        <v>67.846999999999994</v>
      </c>
      <c r="I180" s="2" t="e">
        <f>IF(A180&lt;&gt;0,VLOOKUP(A180,#REF!,2,FALSE),"")</f>
        <v>#REF!</v>
      </c>
      <c r="K180" s="237"/>
    </row>
    <row r="181" spans="1:11" ht="30">
      <c r="A181" s="24">
        <v>92273</v>
      </c>
      <c r="B181" s="78" t="s">
        <v>1782</v>
      </c>
      <c r="C181" s="25" t="s">
        <v>12</v>
      </c>
      <c r="D181" s="25" t="s">
        <v>52</v>
      </c>
      <c r="E181" s="26">
        <v>1.3480000000000001</v>
      </c>
      <c r="F181" s="26">
        <f t="shared" si="16"/>
        <v>9.7580000000000009</v>
      </c>
      <c r="G181" s="26">
        <f t="shared" si="17"/>
        <v>13.15</v>
      </c>
      <c r="H181" s="375">
        <v>9.7580000000000009</v>
      </c>
      <c r="I181" s="2" t="e">
        <f>IF(A181&lt;&gt;0,VLOOKUP(A181,#REF!,2,FALSE),"")</f>
        <v>#REF!</v>
      </c>
      <c r="K181" s="237"/>
    </row>
    <row r="182" spans="1:11" ht="15" customHeight="1">
      <c r="A182" s="986" t="s">
        <v>1894</v>
      </c>
      <c r="B182" s="986"/>
      <c r="C182" s="986"/>
      <c r="D182" s="986"/>
      <c r="E182" s="986"/>
      <c r="F182" s="986"/>
      <c r="G182" s="79">
        <f>ROUND(SUM(G175:G181),2)</f>
        <v>197.9</v>
      </c>
      <c r="K182" s="237"/>
    </row>
    <row r="183" spans="1:11" ht="32.25" customHeight="1">
      <c r="A183" s="80"/>
      <c r="B183" s="80"/>
      <c r="C183" s="352"/>
      <c r="D183" s="353"/>
      <c r="E183" s="80"/>
      <c r="F183" s="80"/>
      <c r="G183" s="80"/>
      <c r="K183" s="237"/>
    </row>
    <row r="184" spans="1:11" ht="60.75" customHeight="1">
      <c r="A184" s="920" t="s">
        <v>3423</v>
      </c>
      <c r="B184" s="921"/>
      <c r="C184" s="921"/>
      <c r="D184" s="921"/>
      <c r="E184" s="922"/>
      <c r="F184" s="75" t="s">
        <v>44</v>
      </c>
      <c r="G184" s="82">
        <v>11914</v>
      </c>
      <c r="K184" s="237"/>
    </row>
    <row r="185" spans="1:11" ht="28.5">
      <c r="A185" s="346" t="s">
        <v>365</v>
      </c>
      <c r="B185" s="347"/>
      <c r="C185" s="77" t="s">
        <v>3</v>
      </c>
      <c r="D185" s="77" t="s">
        <v>4</v>
      </c>
      <c r="E185" s="77" t="s">
        <v>1826</v>
      </c>
      <c r="F185" s="77" t="s">
        <v>367</v>
      </c>
      <c r="G185" s="77" t="s">
        <v>368</v>
      </c>
      <c r="K185" s="237"/>
    </row>
    <row r="186" spans="1:11" s="28" customFormat="1" ht="30">
      <c r="A186" s="24">
        <v>4182</v>
      </c>
      <c r="B186" s="78" t="s">
        <v>417</v>
      </c>
      <c r="C186" s="25" t="s">
        <v>44</v>
      </c>
      <c r="D186" s="25" t="s">
        <v>19</v>
      </c>
      <c r="E186" s="26">
        <v>0.3</v>
      </c>
      <c r="F186" s="26">
        <f>H186</f>
        <v>1.0880000000000001</v>
      </c>
      <c r="G186" s="26">
        <f>ROUND(F186*E186,2)</f>
        <v>0.33</v>
      </c>
      <c r="H186" s="374">
        <v>1.0880000000000001</v>
      </c>
      <c r="I186" s="28" t="e">
        <f>IF(A186&lt;&gt;0,VLOOKUP(A186,#REF!,2,FALSE),"")</f>
        <v>#REF!</v>
      </c>
      <c r="J186" s="374"/>
      <c r="K186" s="237"/>
    </row>
    <row r="187" spans="1:11" s="28" customFormat="1">
      <c r="A187" s="24">
        <v>3510</v>
      </c>
      <c r="B187" s="78" t="s">
        <v>418</v>
      </c>
      <c r="C187" s="25" t="s">
        <v>44</v>
      </c>
      <c r="D187" s="25" t="s">
        <v>17</v>
      </c>
      <c r="E187" s="26">
        <v>0.02</v>
      </c>
      <c r="F187" s="26">
        <f>H187</f>
        <v>5.2700000000000005</v>
      </c>
      <c r="G187" s="26">
        <f>ROUND(F187*E187,2)</f>
        <v>0.11</v>
      </c>
      <c r="H187" s="374">
        <v>5.2700000000000005</v>
      </c>
      <c r="I187" s="28" t="e">
        <f>IF(A187&lt;&gt;0,VLOOKUP(A187,#REF!,2,FALSE),"")</f>
        <v>#REF!</v>
      </c>
      <c r="J187" s="374"/>
      <c r="K187" s="237"/>
    </row>
    <row r="188" spans="1:11" s="28" customFormat="1" ht="30">
      <c r="A188" s="24">
        <v>1734</v>
      </c>
      <c r="B188" s="78" t="s">
        <v>419</v>
      </c>
      <c r="C188" s="25" t="s">
        <v>44</v>
      </c>
      <c r="D188" s="25" t="s">
        <v>52</v>
      </c>
      <c r="E188" s="26">
        <v>3.04</v>
      </c>
      <c r="F188" s="26">
        <f>H188</f>
        <v>35.683</v>
      </c>
      <c r="G188" s="26">
        <f>ROUND(F188*E188,2)</f>
        <v>108.48</v>
      </c>
      <c r="H188" s="374">
        <v>35.683</v>
      </c>
      <c r="I188" s="28" t="e">
        <f>IF(A188&lt;&gt;0,VLOOKUP(A188,#REF!,2,FALSE),"")</f>
        <v>#REF!</v>
      </c>
      <c r="J188" s="374"/>
      <c r="K188" s="237"/>
    </row>
    <row r="189" spans="1:11" ht="30">
      <c r="A189" s="24">
        <v>88315</v>
      </c>
      <c r="B189" s="78" t="s">
        <v>420</v>
      </c>
      <c r="C189" s="25" t="s">
        <v>12</v>
      </c>
      <c r="D189" s="25" t="s">
        <v>19</v>
      </c>
      <c r="E189" s="26">
        <v>0.74</v>
      </c>
      <c r="F189" s="26">
        <f>H189</f>
        <v>15.045</v>
      </c>
      <c r="G189" s="26">
        <f>ROUND(F189*E189,2)</f>
        <v>11.13</v>
      </c>
      <c r="H189" s="375">
        <v>15.045</v>
      </c>
      <c r="I189" s="28" t="e">
        <f>IF(A189&lt;&gt;0,VLOOKUP(A189,#REF!,2,FALSE),"")</f>
        <v>#REF!</v>
      </c>
      <c r="K189" s="237"/>
    </row>
    <row r="190" spans="1:11" ht="30">
      <c r="A190" s="24">
        <v>88316</v>
      </c>
      <c r="B190" s="78" t="s">
        <v>377</v>
      </c>
      <c r="C190" s="25" t="s">
        <v>12</v>
      </c>
      <c r="D190" s="25" t="s">
        <v>19</v>
      </c>
      <c r="E190" s="26">
        <v>0.74</v>
      </c>
      <c r="F190" s="26">
        <f>H190</f>
        <v>11.798000000000002</v>
      </c>
      <c r="G190" s="26">
        <f>ROUND(F190*E190,2)</f>
        <v>8.73</v>
      </c>
      <c r="H190" s="375">
        <v>11.798000000000002</v>
      </c>
      <c r="I190" s="28" t="e">
        <f>IF(A190&lt;&gt;0,VLOOKUP(A190,#REF!,2,FALSE),"")</f>
        <v>#REF!</v>
      </c>
      <c r="K190" s="237"/>
    </row>
    <row r="191" spans="1:11" s="34" customFormat="1">
      <c r="A191" s="25"/>
      <c r="B191" s="78" t="s">
        <v>421</v>
      </c>
      <c r="C191" s="25" t="s">
        <v>2015</v>
      </c>
      <c r="D191" s="25" t="s">
        <v>52</v>
      </c>
      <c r="E191" s="26">
        <v>2.76</v>
      </c>
      <c r="F191" s="81">
        <v>19.591000000000001</v>
      </c>
      <c r="G191" s="81">
        <v>54.07</v>
      </c>
      <c r="H191" s="378">
        <v>16.652350000000002</v>
      </c>
      <c r="J191" s="378"/>
      <c r="K191" s="237"/>
    </row>
    <row r="192" spans="1:11" ht="15" customHeight="1">
      <c r="A192" s="986" t="s">
        <v>1894</v>
      </c>
      <c r="B192" s="986"/>
      <c r="C192" s="986"/>
      <c r="D192" s="986"/>
      <c r="E192" s="986"/>
      <c r="F192" s="986"/>
      <c r="G192" s="79">
        <f>ROUND(SUM(G186:G191),2)</f>
        <v>182.85</v>
      </c>
      <c r="K192" s="237"/>
    </row>
    <row r="193" spans="1:11" ht="24" customHeight="1">
      <c r="A193" s="80"/>
      <c r="B193" s="80"/>
      <c r="C193" s="352"/>
      <c r="D193" s="353"/>
      <c r="E193" s="80"/>
      <c r="F193" s="80"/>
      <c r="G193" s="80"/>
      <c r="K193" s="237"/>
    </row>
    <row r="194" spans="1:11" ht="32.25" customHeight="1">
      <c r="A194" s="920" t="s">
        <v>3424</v>
      </c>
      <c r="B194" s="921"/>
      <c r="C194" s="921"/>
      <c r="D194" s="921"/>
      <c r="E194" s="922"/>
      <c r="F194" s="75" t="s">
        <v>44</v>
      </c>
      <c r="G194" s="82">
        <v>11489</v>
      </c>
      <c r="K194" s="237"/>
    </row>
    <row r="195" spans="1:11" ht="28.5">
      <c r="A195" s="346" t="s">
        <v>364</v>
      </c>
      <c r="B195" s="347"/>
      <c r="C195" s="77" t="s">
        <v>3</v>
      </c>
      <c r="D195" s="77" t="s">
        <v>4</v>
      </c>
      <c r="E195" s="77" t="s">
        <v>1826</v>
      </c>
      <c r="F195" s="77" t="s">
        <v>367</v>
      </c>
      <c r="G195" s="77" t="s">
        <v>368</v>
      </c>
      <c r="K195" s="237"/>
    </row>
    <row r="196" spans="1:11" s="45" customFormat="1" ht="45">
      <c r="A196" s="24">
        <v>12424</v>
      </c>
      <c r="B196" s="78" t="s">
        <v>2401</v>
      </c>
      <c r="C196" s="25" t="s">
        <v>44</v>
      </c>
      <c r="D196" s="25" t="s">
        <v>68</v>
      </c>
      <c r="E196" s="26">
        <v>1</v>
      </c>
      <c r="F196" s="26">
        <f>H196</f>
        <v>382.5</v>
      </c>
      <c r="G196" s="26">
        <f>ROUND(F196*E196,2)</f>
        <v>382.5</v>
      </c>
      <c r="H196" s="364">
        <v>382.5</v>
      </c>
      <c r="I196" s="45" t="e">
        <f>IF(A196&lt;&gt;0,VLOOKUP(A196,#REF!,2,FALSE),"")</f>
        <v>#REF!</v>
      </c>
      <c r="J196" s="364"/>
      <c r="K196" s="237"/>
    </row>
    <row r="197" spans="1:11" ht="15" customHeight="1">
      <c r="A197" s="986" t="s">
        <v>1894</v>
      </c>
      <c r="B197" s="986"/>
      <c r="C197" s="986"/>
      <c r="D197" s="986"/>
      <c r="E197" s="986"/>
      <c r="F197" s="986"/>
      <c r="G197" s="79">
        <f>ROUND(SUM(G196),2)</f>
        <v>382.5</v>
      </c>
      <c r="K197" s="237"/>
    </row>
    <row r="198" spans="1:11" ht="29.25" customHeight="1">
      <c r="A198" s="80"/>
      <c r="B198" s="80"/>
      <c r="C198" s="352"/>
      <c r="D198" s="353"/>
      <c r="E198" s="80"/>
      <c r="F198" s="80"/>
      <c r="G198" s="80"/>
      <c r="K198" s="237"/>
    </row>
    <row r="199" spans="1:11" ht="72" customHeight="1">
      <c r="A199" s="920" t="s">
        <v>2499</v>
      </c>
      <c r="B199" s="921"/>
      <c r="C199" s="921"/>
      <c r="D199" s="921"/>
      <c r="E199" s="922"/>
      <c r="F199" s="75" t="s">
        <v>1915</v>
      </c>
      <c r="G199" s="82" t="s">
        <v>2498</v>
      </c>
      <c r="K199" s="237"/>
    </row>
    <row r="200" spans="1:11" ht="28.5">
      <c r="A200" s="77" t="s">
        <v>1917</v>
      </c>
      <c r="B200" s="347"/>
      <c r="C200" s="77" t="s">
        <v>3</v>
      </c>
      <c r="D200" s="77" t="s">
        <v>4</v>
      </c>
      <c r="E200" s="77" t="s">
        <v>1826</v>
      </c>
      <c r="F200" s="77" t="s">
        <v>367</v>
      </c>
      <c r="G200" s="77" t="s">
        <v>368</v>
      </c>
      <c r="K200" s="237"/>
    </row>
    <row r="201" spans="1:11" s="28" customFormat="1" ht="50.25" customHeight="1">
      <c r="A201" s="172">
        <v>90801</v>
      </c>
      <c r="B201" s="78" t="e">
        <f>I201</f>
        <v>#REF!</v>
      </c>
      <c r="C201" s="25" t="s">
        <v>12</v>
      </c>
      <c r="D201" s="25" t="s">
        <v>17</v>
      </c>
      <c r="E201" s="26">
        <v>1</v>
      </c>
      <c r="F201" s="26">
        <f>H201</f>
        <v>170.595</v>
      </c>
      <c r="G201" s="26">
        <f>ROUND(F201*E201,2)</f>
        <v>170.6</v>
      </c>
      <c r="H201" s="374">
        <v>170.595</v>
      </c>
      <c r="I201" s="28" t="e">
        <f>IF(A201&lt;&gt;0,VLOOKUP(A201,#REF!,2,FALSE),"")</f>
        <v>#REF!</v>
      </c>
      <c r="J201" s="374"/>
      <c r="K201" s="237"/>
    </row>
    <row r="202" spans="1:11" s="28" customFormat="1" ht="48" customHeight="1">
      <c r="A202" s="24">
        <v>100659</v>
      </c>
      <c r="B202" s="78" t="e">
        <f>I202</f>
        <v>#REF!</v>
      </c>
      <c r="C202" s="25" t="s">
        <v>12</v>
      </c>
      <c r="D202" s="25" t="s">
        <v>52</v>
      </c>
      <c r="E202" s="26">
        <v>10</v>
      </c>
      <c r="F202" s="26">
        <f>H202</f>
        <v>5.4994999999999994</v>
      </c>
      <c r="G202" s="26">
        <f>ROUND(F202*E202,2)</f>
        <v>55</v>
      </c>
      <c r="H202" s="374">
        <v>5.4994999999999994</v>
      </c>
      <c r="I202" s="28" t="e">
        <f>IF(A202&lt;&gt;0,VLOOKUP(A202,#REF!,2,FALSE),"")</f>
        <v>#REF!</v>
      </c>
      <c r="J202" s="374"/>
      <c r="K202" s="237"/>
    </row>
    <row r="203" spans="1:11" s="28" customFormat="1" ht="60">
      <c r="A203" s="24">
        <v>91297</v>
      </c>
      <c r="B203" s="78" t="s">
        <v>1790</v>
      </c>
      <c r="C203" s="25" t="s">
        <v>12</v>
      </c>
      <c r="D203" s="25" t="s">
        <v>17</v>
      </c>
      <c r="E203" s="26">
        <v>1</v>
      </c>
      <c r="F203" s="26">
        <f>H203</f>
        <v>319.54899999999998</v>
      </c>
      <c r="G203" s="26">
        <f>ROUND(F203*E203,2)</f>
        <v>319.55</v>
      </c>
      <c r="H203" s="374">
        <v>319.54899999999998</v>
      </c>
      <c r="I203" s="37" t="e">
        <f>IF(A203&lt;&gt;0,VLOOKUP(A203,#REF!,2,FALSE),"")</f>
        <v>#REF!</v>
      </c>
      <c r="J203" s="374"/>
      <c r="K203" s="237"/>
    </row>
    <row r="204" spans="1:11" s="28" customFormat="1" ht="30">
      <c r="A204" s="24">
        <v>1341</v>
      </c>
      <c r="B204" s="78" t="s">
        <v>633</v>
      </c>
      <c r="C204" s="25" t="s">
        <v>12</v>
      </c>
      <c r="D204" s="25" t="s">
        <v>26</v>
      </c>
      <c r="E204" s="26">
        <v>3.56</v>
      </c>
      <c r="F204" s="26">
        <f>H204</f>
        <v>34.0595</v>
      </c>
      <c r="G204" s="26">
        <f>ROUND(F204*E204,2)</f>
        <v>121.25</v>
      </c>
      <c r="H204" s="374">
        <v>34.0595</v>
      </c>
      <c r="I204" s="28" t="e">
        <f>IF(A204&lt;&gt;0,VLOOKUP(A204,#REF!,2,FALSE),"")</f>
        <v>#REF!</v>
      </c>
      <c r="J204" s="374"/>
      <c r="K204" s="237"/>
    </row>
    <row r="205" spans="1:11" s="28" customFormat="1" ht="60">
      <c r="A205" s="24">
        <v>91306</v>
      </c>
      <c r="B205" s="78" t="s">
        <v>1791</v>
      </c>
      <c r="C205" s="25" t="s">
        <v>12</v>
      </c>
      <c r="D205" s="25" t="s">
        <v>17</v>
      </c>
      <c r="E205" s="26">
        <v>1</v>
      </c>
      <c r="F205" s="26">
        <f>H205</f>
        <v>79.49199999999999</v>
      </c>
      <c r="G205" s="26">
        <f>ROUND(F205*E205,2)</f>
        <v>79.489999999999995</v>
      </c>
      <c r="H205" s="374">
        <v>79.49199999999999</v>
      </c>
      <c r="I205" s="28" t="e">
        <f>IF(A205&lt;&gt;0,VLOOKUP(A205,#REF!,2,FALSE),"")</f>
        <v>#REF!</v>
      </c>
      <c r="J205" s="374"/>
      <c r="K205" s="237"/>
    </row>
    <row r="206" spans="1:11">
      <c r="A206" s="986" t="s">
        <v>1894</v>
      </c>
      <c r="B206" s="986"/>
      <c r="C206" s="986"/>
      <c r="D206" s="986"/>
      <c r="E206" s="986"/>
      <c r="F206" s="986"/>
      <c r="G206" s="79">
        <f>ROUND(SUM(G201:G205),2)</f>
        <v>745.89</v>
      </c>
      <c r="K206" s="237"/>
    </row>
    <row r="207" spans="1:11" ht="42.75" customHeight="1">
      <c r="A207" s="80"/>
      <c r="B207" s="80"/>
      <c r="C207" s="352"/>
      <c r="D207" s="353"/>
      <c r="E207" s="80"/>
      <c r="F207" s="80"/>
      <c r="G207" s="80"/>
      <c r="K207" s="237"/>
    </row>
    <row r="208" spans="1:11" ht="80.25" customHeight="1">
      <c r="A208" s="920" t="s">
        <v>2501</v>
      </c>
      <c r="B208" s="921"/>
      <c r="C208" s="921"/>
      <c r="D208" s="921"/>
      <c r="E208" s="929"/>
      <c r="F208" s="75" t="s">
        <v>1915</v>
      </c>
      <c r="G208" s="82" t="s">
        <v>2500</v>
      </c>
      <c r="K208" s="237"/>
    </row>
    <row r="209" spans="1:11" ht="28.5">
      <c r="A209" s="77" t="s">
        <v>1917</v>
      </c>
      <c r="B209" s="347"/>
      <c r="C209" s="77" t="s">
        <v>3</v>
      </c>
      <c r="D209" s="77" t="s">
        <v>4</v>
      </c>
      <c r="E209" s="77" t="s">
        <v>1826</v>
      </c>
      <c r="F209" s="77" t="s">
        <v>367</v>
      </c>
      <c r="G209" s="77" t="s">
        <v>368</v>
      </c>
      <c r="K209" s="237"/>
    </row>
    <row r="210" spans="1:11" ht="45">
      <c r="A210" s="24">
        <v>12759</v>
      </c>
      <c r="B210" s="78" t="s">
        <v>422</v>
      </c>
      <c r="C210" s="25" t="s">
        <v>12</v>
      </c>
      <c r="D210" s="25" t="s">
        <v>26</v>
      </c>
      <c r="E210" s="26">
        <v>0.64</v>
      </c>
      <c r="F210" s="26">
        <f t="shared" ref="F210:F215" si="18">H210</f>
        <v>516.67250000000001</v>
      </c>
      <c r="G210" s="26">
        <f t="shared" ref="G210:G215" si="19">ROUND(F210*E210,2)</f>
        <v>330.67</v>
      </c>
      <c r="H210" s="375">
        <v>516.67250000000001</v>
      </c>
      <c r="I210" s="28" t="e">
        <f>IF(A210&lt;&gt;0,VLOOKUP(A210,#REF!,2,FALSE),"")</f>
        <v>#REF!</v>
      </c>
      <c r="K210" s="467"/>
    </row>
    <row r="211" spans="1:11">
      <c r="A211" s="172">
        <v>90801</v>
      </c>
      <c r="B211" s="78" t="e">
        <f>I211</f>
        <v>#REF!</v>
      </c>
      <c r="C211" s="25" t="s">
        <v>12</v>
      </c>
      <c r="D211" s="25" t="s">
        <v>17</v>
      </c>
      <c r="E211" s="26">
        <v>1</v>
      </c>
      <c r="F211" s="26">
        <f t="shared" si="18"/>
        <v>170.595</v>
      </c>
      <c r="G211" s="26">
        <f t="shared" si="19"/>
        <v>170.6</v>
      </c>
      <c r="H211" s="375">
        <v>170.595</v>
      </c>
      <c r="I211" s="28" t="e">
        <f>IF(A211&lt;&gt;0,VLOOKUP(A211,#REF!,2,FALSE),"")</f>
        <v>#REF!</v>
      </c>
      <c r="K211" s="467"/>
    </row>
    <row r="212" spans="1:11">
      <c r="A212" s="24">
        <v>100659</v>
      </c>
      <c r="B212" s="78" t="e">
        <f>I212</f>
        <v>#REF!</v>
      </c>
      <c r="C212" s="25" t="s">
        <v>12</v>
      </c>
      <c r="D212" s="25" t="s">
        <v>52</v>
      </c>
      <c r="E212" s="26">
        <v>10</v>
      </c>
      <c r="F212" s="26">
        <f>H212</f>
        <v>5.4994999999999994</v>
      </c>
      <c r="G212" s="26">
        <f>ROUND(F212*E212,2)</f>
        <v>55</v>
      </c>
      <c r="H212" s="375">
        <v>5.4994999999999994</v>
      </c>
      <c r="I212" s="28" t="e">
        <f>IF(A212&lt;&gt;0,VLOOKUP(A212,#REF!,2,FALSE),"")</f>
        <v>#REF!</v>
      </c>
      <c r="K212" s="237"/>
    </row>
    <row r="213" spans="1:11" ht="60">
      <c r="A213" s="24">
        <v>91297</v>
      </c>
      <c r="B213" s="78" t="s">
        <v>1790</v>
      </c>
      <c r="C213" s="25" t="s">
        <v>12</v>
      </c>
      <c r="D213" s="25" t="s">
        <v>17</v>
      </c>
      <c r="E213" s="26">
        <v>1</v>
      </c>
      <c r="F213" s="26">
        <f t="shared" si="18"/>
        <v>319.54899999999998</v>
      </c>
      <c r="G213" s="26">
        <f t="shared" si="19"/>
        <v>319.55</v>
      </c>
      <c r="H213" s="375">
        <v>319.54899999999998</v>
      </c>
      <c r="I213" s="28" t="e">
        <f>IF(A213&lt;&gt;0,VLOOKUP(A213,#REF!,2,FALSE),"")</f>
        <v>#REF!</v>
      </c>
      <c r="K213" s="237"/>
    </row>
    <row r="214" spans="1:11" ht="30">
      <c r="A214" s="24">
        <v>1341</v>
      </c>
      <c r="B214" s="78" t="s">
        <v>633</v>
      </c>
      <c r="C214" s="25" t="s">
        <v>12</v>
      </c>
      <c r="D214" s="25" t="s">
        <v>26</v>
      </c>
      <c r="E214" s="26">
        <v>3.56</v>
      </c>
      <c r="F214" s="26">
        <f t="shared" si="18"/>
        <v>34.0595</v>
      </c>
      <c r="G214" s="26">
        <f t="shared" si="19"/>
        <v>121.25</v>
      </c>
      <c r="H214" s="375">
        <v>34.0595</v>
      </c>
      <c r="I214" s="28" t="e">
        <f>IF(A214&lt;&gt;0,VLOOKUP(A214,#REF!,2,FALSE),"")</f>
        <v>#REF!</v>
      </c>
      <c r="K214" s="237"/>
    </row>
    <row r="215" spans="1:11" ht="60">
      <c r="A215" s="24">
        <v>91306</v>
      </c>
      <c r="B215" s="78" t="s">
        <v>1791</v>
      </c>
      <c r="C215" s="25" t="s">
        <v>12</v>
      </c>
      <c r="D215" s="25" t="s">
        <v>17</v>
      </c>
      <c r="E215" s="26">
        <v>1</v>
      </c>
      <c r="F215" s="26">
        <f t="shared" si="18"/>
        <v>79.49199999999999</v>
      </c>
      <c r="G215" s="26">
        <f t="shared" si="19"/>
        <v>79.489999999999995</v>
      </c>
      <c r="H215" s="375">
        <v>79.49199999999999</v>
      </c>
      <c r="I215" s="28" t="e">
        <f>IF(A215&lt;&gt;0,VLOOKUP(A215,#REF!,2,FALSE),"")</f>
        <v>#REF!</v>
      </c>
      <c r="K215" s="237"/>
    </row>
    <row r="216" spans="1:11" ht="15" customHeight="1">
      <c r="A216" s="986" t="s">
        <v>1894</v>
      </c>
      <c r="B216" s="986"/>
      <c r="C216" s="986"/>
      <c r="D216" s="986"/>
      <c r="E216" s="986"/>
      <c r="F216" s="986"/>
      <c r="G216" s="79">
        <f>ROUND(SUM(G210:G215),2)</f>
        <v>1076.56</v>
      </c>
      <c r="K216" s="237"/>
    </row>
    <row r="217" spans="1:11" ht="28.5" customHeight="1">
      <c r="A217" s="80"/>
      <c r="B217" s="80"/>
      <c r="C217" s="352"/>
      <c r="D217" s="353"/>
      <c r="E217" s="80"/>
      <c r="F217" s="80"/>
      <c r="G217" s="80"/>
      <c r="K217" s="237"/>
    </row>
    <row r="218" spans="1:11" ht="53.25" customHeight="1">
      <c r="A218" s="920" t="s">
        <v>2630</v>
      </c>
      <c r="B218" s="921"/>
      <c r="C218" s="921"/>
      <c r="D218" s="921"/>
      <c r="E218" s="922"/>
      <c r="F218" s="75" t="s">
        <v>1915</v>
      </c>
      <c r="G218" s="83" t="s">
        <v>2629</v>
      </c>
      <c r="K218" s="237"/>
    </row>
    <row r="219" spans="1:11" ht="28.5">
      <c r="A219" s="77" t="s">
        <v>1917</v>
      </c>
      <c r="B219" s="347"/>
      <c r="C219" s="77" t="s">
        <v>3</v>
      </c>
      <c r="D219" s="77" t="s">
        <v>4</v>
      </c>
      <c r="E219" s="77" t="s">
        <v>1826</v>
      </c>
      <c r="F219" s="77" t="s">
        <v>367</v>
      </c>
      <c r="G219" s="77" t="s">
        <v>368</v>
      </c>
      <c r="K219" s="237"/>
    </row>
    <row r="220" spans="1:11" ht="45">
      <c r="A220" s="24">
        <v>142</v>
      </c>
      <c r="B220" s="78" t="s">
        <v>423</v>
      </c>
      <c r="C220" s="25" t="s">
        <v>12</v>
      </c>
      <c r="D220" s="25" t="s">
        <v>424</v>
      </c>
      <c r="E220" s="26">
        <v>0.88290000000000002</v>
      </c>
      <c r="F220" s="26">
        <f t="shared" ref="F220:F225" si="20">H220</f>
        <v>28.126500000000004</v>
      </c>
      <c r="G220" s="26">
        <f t="shared" ref="G220:G225" si="21">ROUND(F220*E220,2)</f>
        <v>24.83</v>
      </c>
      <c r="H220" s="375">
        <v>28.126500000000004</v>
      </c>
      <c r="I220" s="28" t="e">
        <f>IF(A220&lt;&gt;0,VLOOKUP(A220,#REF!,2,FALSE),"")</f>
        <v>#REF!</v>
      </c>
      <c r="K220" s="237"/>
    </row>
    <row r="221" spans="1:11" ht="60">
      <c r="A221" s="24">
        <v>7568</v>
      </c>
      <c r="B221" s="78" t="s">
        <v>425</v>
      </c>
      <c r="C221" s="25" t="s">
        <v>12</v>
      </c>
      <c r="D221" s="25" t="s">
        <v>17</v>
      </c>
      <c r="E221" s="26">
        <v>4.8166000000000002</v>
      </c>
      <c r="F221" s="26">
        <f t="shared" si="20"/>
        <v>0.30599999999999999</v>
      </c>
      <c r="G221" s="26">
        <f t="shared" si="21"/>
        <v>1.47</v>
      </c>
      <c r="H221" s="375">
        <v>0.30599999999999999</v>
      </c>
      <c r="I221" s="28" t="e">
        <f>IF(A221&lt;&gt;0,VLOOKUP(A221,#REF!,2,FALSE),"")</f>
        <v>#REF!</v>
      </c>
      <c r="K221" s="237"/>
    </row>
    <row r="222" spans="1:11" ht="75">
      <c r="A222" s="24">
        <v>39024</v>
      </c>
      <c r="B222" s="78" t="s">
        <v>426</v>
      </c>
      <c r="C222" s="25" t="s">
        <v>12</v>
      </c>
      <c r="D222" s="25" t="s">
        <v>17</v>
      </c>
      <c r="E222" s="26">
        <v>1.84</v>
      </c>
      <c r="F222" s="26">
        <f t="shared" si="20"/>
        <v>555.25400000000002</v>
      </c>
      <c r="G222" s="26">
        <f t="shared" si="21"/>
        <v>1021.67</v>
      </c>
      <c r="H222" s="375">
        <v>555.25400000000002</v>
      </c>
      <c r="I222" s="28" t="e">
        <f>IF(A222&lt;&gt;0,VLOOKUP(A222,#REF!,2,FALSE),"")</f>
        <v>#REF!</v>
      </c>
      <c r="K222" s="237"/>
    </row>
    <row r="223" spans="1:11" ht="45">
      <c r="A223" s="24">
        <v>36888</v>
      </c>
      <c r="B223" s="78" t="s">
        <v>406</v>
      </c>
      <c r="C223" s="25" t="s">
        <v>12</v>
      </c>
      <c r="D223" s="25" t="s">
        <v>52</v>
      </c>
      <c r="E223" s="26">
        <v>6.8503999999999996</v>
      </c>
      <c r="F223" s="26">
        <f t="shared" si="20"/>
        <v>11.202999999999999</v>
      </c>
      <c r="G223" s="26">
        <f t="shared" si="21"/>
        <v>76.75</v>
      </c>
      <c r="H223" s="375">
        <v>11.202999999999999</v>
      </c>
      <c r="I223" s="28" t="e">
        <f>IF(A223&lt;&gt;0,VLOOKUP(A223,#REF!,2,FALSE),"")</f>
        <v>#REF!</v>
      </c>
      <c r="K223" s="237"/>
    </row>
    <row r="224" spans="1:11" ht="30">
      <c r="A224" s="24">
        <v>88309</v>
      </c>
      <c r="B224" s="78" t="s">
        <v>390</v>
      </c>
      <c r="C224" s="25" t="s">
        <v>12</v>
      </c>
      <c r="D224" s="25" t="s">
        <v>19</v>
      </c>
      <c r="E224" s="26">
        <v>0.35630000000000001</v>
      </c>
      <c r="F224" s="26">
        <f t="shared" si="20"/>
        <v>15.121499999999999</v>
      </c>
      <c r="G224" s="26">
        <f t="shared" si="21"/>
        <v>5.39</v>
      </c>
      <c r="H224" s="375">
        <v>15.121499999999999</v>
      </c>
      <c r="I224" s="28" t="e">
        <f>IF(A224&lt;&gt;0,VLOOKUP(A224,#REF!,2,FALSE),"")</f>
        <v>#REF!</v>
      </c>
      <c r="K224" s="237"/>
    </row>
    <row r="225" spans="1:11" ht="30">
      <c r="A225" s="24">
        <v>88316</v>
      </c>
      <c r="B225" s="78" t="s">
        <v>377</v>
      </c>
      <c r="C225" s="25" t="s">
        <v>12</v>
      </c>
      <c r="D225" s="25" t="s">
        <v>19</v>
      </c>
      <c r="E225" s="26">
        <v>0.1779</v>
      </c>
      <c r="F225" s="26">
        <f t="shared" si="20"/>
        <v>11.798000000000002</v>
      </c>
      <c r="G225" s="26">
        <f t="shared" si="21"/>
        <v>2.1</v>
      </c>
      <c r="H225" s="375">
        <v>11.798000000000002</v>
      </c>
      <c r="I225" s="28" t="e">
        <f>IF(A225&lt;&gt;0,VLOOKUP(A225,#REF!,2,FALSE),"")</f>
        <v>#REF!</v>
      </c>
      <c r="K225" s="237"/>
    </row>
    <row r="226" spans="1:11" ht="15" customHeight="1">
      <c r="A226" s="986" t="s">
        <v>1894</v>
      </c>
      <c r="B226" s="986"/>
      <c r="C226" s="986"/>
      <c r="D226" s="986"/>
      <c r="E226" s="986"/>
      <c r="F226" s="986"/>
      <c r="G226" s="79">
        <f>ROUND(SUM(G220:G225),2)</f>
        <v>1132.21</v>
      </c>
      <c r="K226" s="237"/>
    </row>
    <row r="227" spans="1:11" ht="27" customHeight="1">
      <c r="A227" s="80"/>
      <c r="B227" s="80"/>
      <c r="C227" s="352"/>
      <c r="D227" s="353"/>
      <c r="E227" s="80"/>
      <c r="F227" s="80"/>
      <c r="G227" s="80"/>
      <c r="K227" s="237"/>
    </row>
    <row r="228" spans="1:11" ht="36.75" customHeight="1">
      <c r="A228" s="920" t="s">
        <v>3425</v>
      </c>
      <c r="B228" s="921"/>
      <c r="C228" s="921"/>
      <c r="D228" s="921"/>
      <c r="E228" s="922"/>
      <c r="F228" s="75" t="s">
        <v>1915</v>
      </c>
      <c r="G228" s="82">
        <v>90838</v>
      </c>
      <c r="K228" s="237"/>
    </row>
    <row r="229" spans="1:11" ht="28.5">
      <c r="A229" s="77" t="s">
        <v>1917</v>
      </c>
      <c r="B229" s="347"/>
      <c r="C229" s="77" t="s">
        <v>3</v>
      </c>
      <c r="D229" s="77" t="s">
        <v>4</v>
      </c>
      <c r="E229" s="77" t="s">
        <v>1826</v>
      </c>
      <c r="F229" s="77" t="s">
        <v>367</v>
      </c>
      <c r="G229" s="77" t="s">
        <v>368</v>
      </c>
      <c r="K229" s="237"/>
    </row>
    <row r="230" spans="1:11" ht="45">
      <c r="A230" s="24">
        <v>11154</v>
      </c>
      <c r="B230" s="78" t="s">
        <v>427</v>
      </c>
      <c r="C230" s="25" t="s">
        <v>12</v>
      </c>
      <c r="D230" s="25" t="s">
        <v>17</v>
      </c>
      <c r="E230" s="26">
        <v>1.11111111</v>
      </c>
      <c r="F230" s="26">
        <f>H230</f>
        <v>612.82450000000006</v>
      </c>
      <c r="G230" s="26">
        <f>ROUND(F230*E230,2)</f>
        <v>680.92</v>
      </c>
      <c r="H230" s="375">
        <v>612.82450000000006</v>
      </c>
      <c r="I230" s="28" t="e">
        <f>IF(A230&lt;&gt;0,VLOOKUP(A230,#REF!,2,FALSE),"")</f>
        <v>#REF!</v>
      </c>
      <c r="K230" s="237"/>
    </row>
    <row r="231" spans="1:11" ht="30">
      <c r="A231" s="24">
        <v>39621</v>
      </c>
      <c r="B231" s="78" t="s">
        <v>428</v>
      </c>
      <c r="C231" s="25" t="s">
        <v>12</v>
      </c>
      <c r="D231" s="25" t="s">
        <v>337</v>
      </c>
      <c r="E231" s="26">
        <v>1</v>
      </c>
      <c r="F231" s="26">
        <f>H231</f>
        <v>620.16000000000008</v>
      </c>
      <c r="G231" s="26">
        <f>ROUND(F231*E231,2)</f>
        <v>620.16</v>
      </c>
      <c r="H231" s="375">
        <v>620.16000000000008</v>
      </c>
      <c r="I231" s="28" t="e">
        <f>IF(A231&lt;&gt;0,VLOOKUP(A231,#REF!,2,FALSE),"")</f>
        <v>#REF!</v>
      </c>
      <c r="K231" s="237"/>
    </row>
    <row r="232" spans="1:11" ht="30">
      <c r="A232" s="24">
        <v>88309</v>
      </c>
      <c r="B232" s="78" t="s">
        <v>390</v>
      </c>
      <c r="C232" s="25" t="s">
        <v>12</v>
      </c>
      <c r="D232" s="25" t="s">
        <v>19</v>
      </c>
      <c r="E232" s="26">
        <v>3.464</v>
      </c>
      <c r="F232" s="26">
        <f>H232</f>
        <v>15.121499999999999</v>
      </c>
      <c r="G232" s="26">
        <f>ROUND(F232*E232,2)</f>
        <v>52.38</v>
      </c>
      <c r="H232" s="375">
        <v>15.121499999999999</v>
      </c>
      <c r="I232" s="28" t="e">
        <f>IF(A232&lt;&gt;0,VLOOKUP(A232,#REF!,2,FALSE),"")</f>
        <v>#REF!</v>
      </c>
      <c r="K232" s="237"/>
    </row>
    <row r="233" spans="1:11" ht="30">
      <c r="A233" s="24">
        <v>88316</v>
      </c>
      <c r="B233" s="78" t="s">
        <v>377</v>
      </c>
      <c r="C233" s="25" t="s">
        <v>12</v>
      </c>
      <c r="D233" s="25" t="s">
        <v>19</v>
      </c>
      <c r="E233" s="26">
        <v>1.732</v>
      </c>
      <c r="F233" s="26">
        <f>H233</f>
        <v>11.798000000000002</v>
      </c>
      <c r="G233" s="26">
        <f>ROUND(F233*E233,2)</f>
        <v>20.43</v>
      </c>
      <c r="H233" s="375">
        <v>11.798000000000002</v>
      </c>
      <c r="I233" s="28" t="e">
        <f>IF(A233&lt;&gt;0,VLOOKUP(A233,#REF!,2,FALSE),"")</f>
        <v>#REF!</v>
      </c>
      <c r="K233" s="237"/>
    </row>
    <row r="234" spans="1:11" ht="30">
      <c r="A234" s="24">
        <v>88629</v>
      </c>
      <c r="B234" s="78" t="s">
        <v>1785</v>
      </c>
      <c r="C234" s="25" t="s">
        <v>12</v>
      </c>
      <c r="D234" s="25" t="s">
        <v>35</v>
      </c>
      <c r="E234" s="26">
        <v>4.2200000000000001E-2</v>
      </c>
      <c r="F234" s="26">
        <f>H234</f>
        <v>438.04750000000001</v>
      </c>
      <c r="G234" s="26">
        <f>ROUND(F234*E234,2)</f>
        <v>18.489999999999998</v>
      </c>
      <c r="H234" s="375">
        <v>438.04750000000001</v>
      </c>
      <c r="I234" s="28" t="e">
        <f>IF(A234&lt;&gt;0,VLOOKUP(A234,#REF!,2,FALSE),"")</f>
        <v>#REF!</v>
      </c>
      <c r="K234" s="237"/>
    </row>
    <row r="235" spans="1:11" ht="15" customHeight="1">
      <c r="A235" s="986" t="s">
        <v>1894</v>
      </c>
      <c r="B235" s="986"/>
      <c r="C235" s="986"/>
      <c r="D235" s="986"/>
      <c r="E235" s="986"/>
      <c r="F235" s="986"/>
      <c r="G235" s="79">
        <f>ROUND(SUM(G230:G234),2)</f>
        <v>1392.38</v>
      </c>
      <c r="K235" s="237"/>
    </row>
    <row r="236" spans="1:11" ht="29.25" customHeight="1">
      <c r="A236" s="80"/>
      <c r="B236" s="80"/>
      <c r="C236" s="352"/>
      <c r="D236" s="353"/>
      <c r="E236" s="80"/>
      <c r="F236" s="80"/>
      <c r="G236" s="80"/>
      <c r="K236" s="237"/>
    </row>
    <row r="237" spans="1:11" ht="39.75" customHeight="1">
      <c r="A237" s="920" t="s">
        <v>2633</v>
      </c>
      <c r="B237" s="921"/>
      <c r="C237" s="921"/>
      <c r="D237" s="921"/>
      <c r="E237" s="929"/>
      <c r="F237" s="75" t="s">
        <v>1915</v>
      </c>
      <c r="G237" s="347"/>
      <c r="K237" s="237"/>
    </row>
    <row r="238" spans="1:11" ht="28.5">
      <c r="A238" s="77" t="s">
        <v>1917</v>
      </c>
      <c r="B238" s="347"/>
      <c r="C238" s="77" t="s">
        <v>3</v>
      </c>
      <c r="D238" s="77" t="s">
        <v>4</v>
      </c>
      <c r="E238" s="77" t="s">
        <v>1826</v>
      </c>
      <c r="F238" s="77" t="s">
        <v>367</v>
      </c>
      <c r="G238" s="77" t="s">
        <v>368</v>
      </c>
      <c r="K238" s="237"/>
    </row>
    <row r="239" spans="1:11" ht="60">
      <c r="A239" s="24">
        <v>11577</v>
      </c>
      <c r="B239" s="78" t="s">
        <v>429</v>
      </c>
      <c r="C239" s="25" t="s">
        <v>12</v>
      </c>
      <c r="D239" s="25" t="s">
        <v>17</v>
      </c>
      <c r="E239" s="26">
        <v>2</v>
      </c>
      <c r="F239" s="26">
        <f t="shared" ref="F239:F248" si="22">H239</f>
        <v>7.7519999999999989</v>
      </c>
      <c r="G239" s="26">
        <f t="shared" ref="G239:G248" si="23">ROUND(F239*E239,2)</f>
        <v>15.5</v>
      </c>
      <c r="H239" s="375">
        <v>7.7519999999999989</v>
      </c>
      <c r="I239" s="28" t="e">
        <f>IF(A239&lt;&gt;0,VLOOKUP(A239,#REF!,2,FALSE),"")</f>
        <v>#REF!</v>
      </c>
      <c r="K239" s="237"/>
    </row>
    <row r="240" spans="1:11" ht="75">
      <c r="A240" s="24">
        <v>3081</v>
      </c>
      <c r="B240" s="78" t="s">
        <v>430</v>
      </c>
      <c r="C240" s="25" t="s">
        <v>12</v>
      </c>
      <c r="D240" s="25" t="s">
        <v>383</v>
      </c>
      <c r="E240" s="26">
        <v>1</v>
      </c>
      <c r="F240" s="26">
        <f t="shared" si="22"/>
        <v>70.626500000000007</v>
      </c>
      <c r="G240" s="26">
        <f t="shared" si="23"/>
        <v>70.63</v>
      </c>
      <c r="H240" s="375">
        <v>70.626500000000007</v>
      </c>
      <c r="I240" s="28" t="e">
        <f>IF(A240&lt;&gt;0,VLOOKUP(A240,#REF!,2,FALSE),"")</f>
        <v>#REF!</v>
      </c>
      <c r="K240" s="237"/>
    </row>
    <row r="241" spans="1:11" ht="60">
      <c r="A241" s="24">
        <v>4982</v>
      </c>
      <c r="B241" s="78" t="s">
        <v>431</v>
      </c>
      <c r="C241" s="25" t="s">
        <v>12</v>
      </c>
      <c r="D241" s="25" t="s">
        <v>17</v>
      </c>
      <c r="E241" s="26">
        <v>1.74</v>
      </c>
      <c r="F241" s="26">
        <f t="shared" si="22"/>
        <v>278.46000000000004</v>
      </c>
      <c r="G241" s="26">
        <f t="shared" si="23"/>
        <v>484.52</v>
      </c>
      <c r="H241" s="375">
        <v>278.46000000000004</v>
      </c>
      <c r="I241" s="28" t="e">
        <f>IF(A241&lt;&gt;0,VLOOKUP(A241,#REF!,2,FALSE),"")</f>
        <v>#REF!</v>
      </c>
      <c r="K241" s="237"/>
    </row>
    <row r="242" spans="1:11" ht="45">
      <c r="A242" s="24">
        <v>2432</v>
      </c>
      <c r="B242" s="78" t="s">
        <v>432</v>
      </c>
      <c r="C242" s="25" t="s">
        <v>12</v>
      </c>
      <c r="D242" s="25" t="s">
        <v>17</v>
      </c>
      <c r="E242" s="26">
        <v>6</v>
      </c>
      <c r="F242" s="26">
        <f t="shared" si="22"/>
        <v>13.209</v>
      </c>
      <c r="G242" s="26">
        <f t="shared" si="23"/>
        <v>79.25</v>
      </c>
      <c r="H242" s="375">
        <v>13.209</v>
      </c>
      <c r="I242" s="28" t="e">
        <f>IF(A242&lt;&gt;0,VLOOKUP(A242,#REF!,2,FALSE),"")</f>
        <v>#REF!</v>
      </c>
      <c r="K242" s="237"/>
    </row>
    <row r="243" spans="1:11" ht="45">
      <c r="A243" s="24">
        <v>11055</v>
      </c>
      <c r="B243" s="78" t="s">
        <v>433</v>
      </c>
      <c r="C243" s="25" t="s">
        <v>12</v>
      </c>
      <c r="D243" s="25" t="s">
        <v>17</v>
      </c>
      <c r="E243" s="26">
        <v>19</v>
      </c>
      <c r="F243" s="26">
        <f t="shared" si="22"/>
        <v>3.4000000000000002E-2</v>
      </c>
      <c r="G243" s="26">
        <f t="shared" si="23"/>
        <v>0.65</v>
      </c>
      <c r="H243" s="375">
        <v>3.4000000000000002E-2</v>
      </c>
      <c r="I243" s="28" t="e">
        <f>IF(A243&lt;&gt;0,VLOOKUP(A243,#REF!,2,FALSE),"")</f>
        <v>#REF!</v>
      </c>
      <c r="K243" s="237"/>
    </row>
    <row r="244" spans="1:11" ht="30">
      <c r="A244" s="24">
        <v>39615</v>
      </c>
      <c r="B244" s="78" t="s">
        <v>434</v>
      </c>
      <c r="C244" s="25" t="s">
        <v>12</v>
      </c>
      <c r="D244" s="25" t="s">
        <v>17</v>
      </c>
      <c r="E244" s="26">
        <v>2</v>
      </c>
      <c r="F244" s="26">
        <f t="shared" si="22"/>
        <v>276.43700000000001</v>
      </c>
      <c r="G244" s="26">
        <f t="shared" si="23"/>
        <v>552.87</v>
      </c>
      <c r="H244" s="375">
        <v>276.43700000000001</v>
      </c>
      <c r="I244" s="28" t="e">
        <f>IF(A244&lt;&gt;0,VLOOKUP(A244,#REF!,2,FALSE),"")</f>
        <v>#REF!</v>
      </c>
      <c r="K244" s="237"/>
    </row>
    <row r="245" spans="1:11" ht="56.25" customHeight="1">
      <c r="A245" s="24">
        <v>183</v>
      </c>
      <c r="B245" s="78" t="s">
        <v>1792</v>
      </c>
      <c r="C245" s="25" t="s">
        <v>12</v>
      </c>
      <c r="D245" s="25" t="s">
        <v>17</v>
      </c>
      <c r="E245" s="26">
        <v>1.67</v>
      </c>
      <c r="F245" s="26">
        <f t="shared" si="22"/>
        <v>114.75</v>
      </c>
      <c r="G245" s="26">
        <f t="shared" si="23"/>
        <v>191.63</v>
      </c>
      <c r="H245" s="375">
        <v>114.75</v>
      </c>
      <c r="I245" s="28" t="e">
        <f>IF(A245&lt;&gt;0,VLOOKUP(A245,#REF!,2,FALSE),"")</f>
        <v>#REF!</v>
      </c>
      <c r="K245" s="237"/>
    </row>
    <row r="246" spans="1:11">
      <c r="A246" s="24">
        <v>100659</v>
      </c>
      <c r="B246" s="78" t="e">
        <f>I246</f>
        <v>#REF!</v>
      </c>
      <c r="C246" s="25" t="s">
        <v>12</v>
      </c>
      <c r="D246" s="25" t="s">
        <v>52</v>
      </c>
      <c r="E246" s="26">
        <v>12</v>
      </c>
      <c r="F246" s="26">
        <f>H246</f>
        <v>5.4994999999999994</v>
      </c>
      <c r="G246" s="26">
        <f>ROUND(F246*E246,2)</f>
        <v>65.989999999999995</v>
      </c>
      <c r="H246" s="375">
        <v>5.4994999999999994</v>
      </c>
      <c r="I246" s="28" t="e">
        <f>IF(A246&lt;&gt;0,VLOOKUP(A246,#REF!,2,FALSE),"")</f>
        <v>#REF!</v>
      </c>
      <c r="K246" s="237"/>
    </row>
    <row r="247" spans="1:11" ht="30">
      <c r="A247" s="24">
        <v>88261</v>
      </c>
      <c r="B247" s="78" t="s">
        <v>435</v>
      </c>
      <c r="C247" s="25" t="s">
        <v>12</v>
      </c>
      <c r="D247" s="25" t="s">
        <v>19</v>
      </c>
      <c r="E247" s="26">
        <v>1.6878</v>
      </c>
      <c r="F247" s="26">
        <f t="shared" si="22"/>
        <v>14.314</v>
      </c>
      <c r="G247" s="26">
        <f t="shared" si="23"/>
        <v>24.16</v>
      </c>
      <c r="H247" s="375">
        <v>14.314</v>
      </c>
      <c r="I247" s="28" t="e">
        <f>IF(A247&lt;&gt;0,VLOOKUP(A247,#REF!,2,FALSE),"")</f>
        <v>#REF!</v>
      </c>
      <c r="K247" s="237"/>
    </row>
    <row r="248" spans="1:11" ht="30">
      <c r="A248" s="24">
        <v>88316</v>
      </c>
      <c r="B248" s="78" t="s">
        <v>377</v>
      </c>
      <c r="C248" s="25" t="s">
        <v>12</v>
      </c>
      <c r="D248" s="25" t="s">
        <v>19</v>
      </c>
      <c r="E248" s="26">
        <v>0.83899999999999997</v>
      </c>
      <c r="F248" s="26">
        <f t="shared" si="22"/>
        <v>11.798000000000002</v>
      </c>
      <c r="G248" s="26">
        <f t="shared" si="23"/>
        <v>9.9</v>
      </c>
      <c r="H248" s="375">
        <v>11.798000000000002</v>
      </c>
      <c r="I248" s="28" t="e">
        <f>IF(A248&lt;&gt;0,VLOOKUP(A248,#REF!,2,FALSE),"")</f>
        <v>#REF!</v>
      </c>
      <c r="K248" s="237"/>
    </row>
    <row r="249" spans="1:11" ht="15" customHeight="1">
      <c r="A249" s="986" t="s">
        <v>1894</v>
      </c>
      <c r="B249" s="986"/>
      <c r="C249" s="986"/>
      <c r="D249" s="986"/>
      <c r="E249" s="986"/>
      <c r="F249" s="986"/>
      <c r="G249" s="79">
        <f>ROUND(SUM(G239:G248),2)</f>
        <v>1495.1</v>
      </c>
      <c r="K249" s="237"/>
    </row>
    <row r="250" spans="1:11" ht="29.25" customHeight="1">
      <c r="A250" s="80"/>
      <c r="B250" s="80"/>
      <c r="C250" s="352"/>
      <c r="D250" s="353"/>
      <c r="E250" s="80"/>
      <c r="F250" s="80"/>
      <c r="G250" s="80"/>
      <c r="K250" s="237"/>
    </row>
    <row r="251" spans="1:11" ht="35.25" customHeight="1">
      <c r="A251" s="920" t="s">
        <v>2634</v>
      </c>
      <c r="B251" s="921"/>
      <c r="C251" s="921"/>
      <c r="D251" s="921"/>
      <c r="E251" s="922"/>
      <c r="F251" s="75" t="s">
        <v>1915</v>
      </c>
      <c r="G251" s="347"/>
      <c r="K251" s="237"/>
    </row>
    <row r="252" spans="1:11" ht="28.5">
      <c r="A252" s="77" t="s">
        <v>1917</v>
      </c>
      <c r="B252" s="347"/>
      <c r="C252" s="77" t="s">
        <v>3</v>
      </c>
      <c r="D252" s="77" t="s">
        <v>4</v>
      </c>
      <c r="E252" s="77" t="s">
        <v>1826</v>
      </c>
      <c r="F252" s="77" t="s">
        <v>367</v>
      </c>
      <c r="G252" s="77" t="s">
        <v>368</v>
      </c>
      <c r="K252" s="237"/>
    </row>
    <row r="253" spans="1:11" ht="60">
      <c r="A253" s="24">
        <v>11577</v>
      </c>
      <c r="B253" s="78" t="s">
        <v>429</v>
      </c>
      <c r="C253" s="25" t="s">
        <v>12</v>
      </c>
      <c r="D253" s="25" t="s">
        <v>17</v>
      </c>
      <c r="E253" s="26">
        <v>2</v>
      </c>
      <c r="F253" s="26">
        <f t="shared" ref="F253:F262" si="24">H253</f>
        <v>7.7519999999999989</v>
      </c>
      <c r="G253" s="26">
        <f t="shared" ref="G253:G262" si="25">ROUND(F253*E253,2)</f>
        <v>15.5</v>
      </c>
      <c r="H253" s="375">
        <v>7.7519999999999989</v>
      </c>
      <c r="I253" s="28" t="e">
        <f>IF(A253&lt;&gt;0,VLOOKUP(A253,#REF!,2,FALSE),"")</f>
        <v>#REF!</v>
      </c>
      <c r="K253" s="237"/>
    </row>
    <row r="254" spans="1:11" ht="75">
      <c r="A254" s="24">
        <v>3081</v>
      </c>
      <c r="B254" s="78" t="s">
        <v>430</v>
      </c>
      <c r="C254" s="25" t="s">
        <v>12</v>
      </c>
      <c r="D254" s="25" t="s">
        <v>383</v>
      </c>
      <c r="E254" s="26">
        <v>1</v>
      </c>
      <c r="F254" s="26">
        <f t="shared" si="24"/>
        <v>70.626500000000007</v>
      </c>
      <c r="G254" s="26">
        <f t="shared" si="25"/>
        <v>70.63</v>
      </c>
      <c r="H254" s="375">
        <v>70.626500000000007</v>
      </c>
      <c r="I254" s="28" t="e">
        <f>IF(A254&lt;&gt;0,VLOOKUP(A254,#REF!,2,FALSE),"")</f>
        <v>#REF!</v>
      </c>
      <c r="K254" s="237"/>
    </row>
    <row r="255" spans="1:11" ht="60">
      <c r="A255" s="24">
        <v>4982</v>
      </c>
      <c r="B255" s="78" t="s">
        <v>431</v>
      </c>
      <c r="C255" s="25" t="s">
        <v>12</v>
      </c>
      <c r="D255" s="25" t="s">
        <v>17</v>
      </c>
      <c r="E255" s="26">
        <v>2.23</v>
      </c>
      <c r="F255" s="26">
        <f t="shared" si="24"/>
        <v>278.46000000000004</v>
      </c>
      <c r="G255" s="26">
        <f t="shared" si="25"/>
        <v>620.97</v>
      </c>
      <c r="H255" s="375">
        <v>278.46000000000004</v>
      </c>
      <c r="I255" s="28" t="e">
        <f>IF(A255&lt;&gt;0,VLOOKUP(A255,#REF!,2,FALSE),"")</f>
        <v>#REF!</v>
      </c>
      <c r="K255" s="237"/>
    </row>
    <row r="256" spans="1:11" ht="45">
      <c r="A256" s="24">
        <v>2432</v>
      </c>
      <c r="B256" s="78" t="s">
        <v>432</v>
      </c>
      <c r="C256" s="25" t="s">
        <v>12</v>
      </c>
      <c r="D256" s="25" t="s">
        <v>17</v>
      </c>
      <c r="E256" s="26">
        <v>6</v>
      </c>
      <c r="F256" s="26">
        <f t="shared" si="24"/>
        <v>13.209</v>
      </c>
      <c r="G256" s="26">
        <f t="shared" si="25"/>
        <v>79.25</v>
      </c>
      <c r="H256" s="375">
        <v>13.209</v>
      </c>
      <c r="I256" s="28" t="e">
        <f>IF(A256&lt;&gt;0,VLOOKUP(A256,#REF!,2,FALSE),"")</f>
        <v>#REF!</v>
      </c>
      <c r="K256" s="237"/>
    </row>
    <row r="257" spans="1:11" ht="45">
      <c r="A257" s="24">
        <v>11055</v>
      </c>
      <c r="B257" s="78" t="s">
        <v>433</v>
      </c>
      <c r="C257" s="25" t="s">
        <v>12</v>
      </c>
      <c r="D257" s="25" t="s">
        <v>17</v>
      </c>
      <c r="E257" s="26">
        <v>19</v>
      </c>
      <c r="F257" s="26">
        <f t="shared" si="24"/>
        <v>3.4000000000000002E-2</v>
      </c>
      <c r="G257" s="26">
        <f t="shared" si="25"/>
        <v>0.65</v>
      </c>
      <c r="H257" s="375">
        <v>3.4000000000000002E-2</v>
      </c>
      <c r="I257" s="28" t="e">
        <f>IF(A257&lt;&gt;0,VLOOKUP(A257,#REF!,2,FALSE),"")</f>
        <v>#REF!</v>
      </c>
      <c r="K257" s="237"/>
    </row>
    <row r="258" spans="1:11" ht="30">
      <c r="A258" s="24">
        <v>39615</v>
      </c>
      <c r="B258" s="78" t="s">
        <v>434</v>
      </c>
      <c r="C258" s="25" t="s">
        <v>12</v>
      </c>
      <c r="D258" s="25" t="s">
        <v>17</v>
      </c>
      <c r="E258" s="26">
        <v>2</v>
      </c>
      <c r="F258" s="26">
        <f t="shared" si="24"/>
        <v>276.43700000000001</v>
      </c>
      <c r="G258" s="26">
        <f t="shared" si="25"/>
        <v>552.87</v>
      </c>
      <c r="H258" s="375">
        <v>276.43700000000001</v>
      </c>
      <c r="I258" s="28" t="e">
        <f>IF(A258&lt;&gt;0,VLOOKUP(A258,#REF!,2,FALSE),"")</f>
        <v>#REF!</v>
      </c>
      <c r="K258" s="237"/>
    </row>
    <row r="259" spans="1:11">
      <c r="A259" s="24">
        <v>183</v>
      </c>
      <c r="B259" s="78" t="e">
        <f>I259</f>
        <v>#REF!</v>
      </c>
      <c r="C259" s="25" t="s">
        <v>12</v>
      </c>
      <c r="D259" s="25" t="s">
        <v>17</v>
      </c>
      <c r="E259" s="26">
        <v>1.67</v>
      </c>
      <c r="F259" s="26">
        <f t="shared" si="24"/>
        <v>114.75</v>
      </c>
      <c r="G259" s="26">
        <f t="shared" si="25"/>
        <v>191.63</v>
      </c>
      <c r="H259" s="375">
        <v>114.75</v>
      </c>
      <c r="I259" s="28" t="e">
        <f>IF(A259&lt;&gt;0,VLOOKUP(A259,#REF!,2,FALSE),"")</f>
        <v>#REF!</v>
      </c>
      <c r="K259" s="237"/>
    </row>
    <row r="260" spans="1:11">
      <c r="A260" s="24">
        <v>100659</v>
      </c>
      <c r="B260" s="78" t="e">
        <f>I260</f>
        <v>#REF!</v>
      </c>
      <c r="C260" s="25" t="s">
        <v>12</v>
      </c>
      <c r="D260" s="25" t="s">
        <v>52</v>
      </c>
      <c r="E260" s="26">
        <v>12</v>
      </c>
      <c r="F260" s="26">
        <f>H260</f>
        <v>5.4994999999999994</v>
      </c>
      <c r="G260" s="26">
        <f>ROUND(F260*E260,2)</f>
        <v>65.989999999999995</v>
      </c>
      <c r="H260" s="375">
        <v>5.4994999999999994</v>
      </c>
      <c r="I260" s="28" t="e">
        <f>IF(A260&lt;&gt;0,VLOOKUP(A260,#REF!,2,FALSE),"")</f>
        <v>#REF!</v>
      </c>
      <c r="K260" s="237"/>
    </row>
    <row r="261" spans="1:11" ht="30">
      <c r="A261" s="24">
        <v>88261</v>
      </c>
      <c r="B261" s="78" t="s">
        <v>435</v>
      </c>
      <c r="C261" s="25" t="s">
        <v>12</v>
      </c>
      <c r="D261" s="25" t="s">
        <v>19</v>
      </c>
      <c r="E261" s="26">
        <v>1.6878</v>
      </c>
      <c r="F261" s="26">
        <f t="shared" si="24"/>
        <v>14.314</v>
      </c>
      <c r="G261" s="26">
        <f t="shared" si="25"/>
        <v>24.16</v>
      </c>
      <c r="H261" s="375">
        <v>14.314</v>
      </c>
      <c r="I261" s="28" t="e">
        <f>IF(A261&lt;&gt;0,VLOOKUP(A261,#REF!,2,FALSE),"")</f>
        <v>#REF!</v>
      </c>
      <c r="K261" s="237"/>
    </row>
    <row r="262" spans="1:11" ht="30">
      <c r="A262" s="24">
        <v>88316</v>
      </c>
      <c r="B262" s="78" t="s">
        <v>377</v>
      </c>
      <c r="C262" s="25" t="s">
        <v>12</v>
      </c>
      <c r="D262" s="25" t="s">
        <v>19</v>
      </c>
      <c r="E262" s="26">
        <v>0.83899999999999997</v>
      </c>
      <c r="F262" s="26">
        <f t="shared" si="24"/>
        <v>11.798000000000002</v>
      </c>
      <c r="G262" s="26">
        <f t="shared" si="25"/>
        <v>9.9</v>
      </c>
      <c r="H262" s="375">
        <v>11.798000000000002</v>
      </c>
      <c r="I262" s="28" t="e">
        <f>IF(A262&lt;&gt;0,VLOOKUP(A262,#REF!,2,FALSE),"")</f>
        <v>#REF!</v>
      </c>
      <c r="K262" s="237"/>
    </row>
    <row r="263" spans="1:11" ht="15" customHeight="1">
      <c r="A263" s="986" t="s">
        <v>1894</v>
      </c>
      <c r="B263" s="986"/>
      <c r="C263" s="986"/>
      <c r="D263" s="986"/>
      <c r="E263" s="986"/>
      <c r="F263" s="986"/>
      <c r="G263" s="79">
        <f>ROUND(SUM(G253:G262),2)</f>
        <v>1631.55</v>
      </c>
      <c r="K263" s="237"/>
    </row>
    <row r="264" spans="1:11" ht="32.25" customHeight="1">
      <c r="A264" s="80"/>
      <c r="B264" s="80"/>
      <c r="C264" s="352"/>
      <c r="D264" s="353"/>
      <c r="E264" s="80"/>
      <c r="F264" s="80"/>
      <c r="G264" s="80"/>
      <c r="K264" s="237"/>
    </row>
    <row r="265" spans="1:11" ht="33" customHeight="1">
      <c r="A265" s="920" t="s">
        <v>2636</v>
      </c>
      <c r="B265" s="921"/>
      <c r="C265" s="921"/>
      <c r="D265" s="921"/>
      <c r="E265" s="922"/>
      <c r="F265" s="75" t="s">
        <v>1915</v>
      </c>
      <c r="G265" s="347"/>
      <c r="K265" s="237"/>
    </row>
    <row r="266" spans="1:11" ht="28.5">
      <c r="A266" s="77" t="s">
        <v>1917</v>
      </c>
      <c r="B266" s="347"/>
      <c r="C266" s="77" t="s">
        <v>3</v>
      </c>
      <c r="D266" s="77" t="s">
        <v>4</v>
      </c>
      <c r="E266" s="77" t="s">
        <v>1826</v>
      </c>
      <c r="F266" s="77" t="s">
        <v>367</v>
      </c>
      <c r="G266" s="77" t="s">
        <v>368</v>
      </c>
      <c r="K266" s="237"/>
    </row>
    <row r="267" spans="1:11" ht="60">
      <c r="A267" s="24">
        <v>11577</v>
      </c>
      <c r="B267" s="78" t="s">
        <v>429</v>
      </c>
      <c r="C267" s="25" t="s">
        <v>12</v>
      </c>
      <c r="D267" s="25" t="s">
        <v>17</v>
      </c>
      <c r="E267" s="26">
        <v>2</v>
      </c>
      <c r="F267" s="26">
        <f>H267</f>
        <v>7.7519999999999989</v>
      </c>
      <c r="G267" s="26">
        <f>ROUND(F267*E267,2)</f>
        <v>15.5</v>
      </c>
      <c r="H267" s="375">
        <v>7.7519999999999989</v>
      </c>
      <c r="I267" s="28" t="e">
        <f>IF(A267&lt;&gt;0,VLOOKUP(A267,#REF!,2,FALSE),"")</f>
        <v>#REF!</v>
      </c>
      <c r="K267" s="237"/>
    </row>
    <row r="268" spans="1:11" ht="75">
      <c r="A268" s="24">
        <v>3081</v>
      </c>
      <c r="B268" s="78" t="s">
        <v>430</v>
      </c>
      <c r="C268" s="25" t="s">
        <v>12</v>
      </c>
      <c r="D268" s="25" t="s">
        <v>383</v>
      </c>
      <c r="E268" s="26">
        <v>1</v>
      </c>
      <c r="F268" s="26">
        <f t="shared" ref="F268:F276" si="26">H268</f>
        <v>70.626500000000007</v>
      </c>
      <c r="G268" s="26">
        <f t="shared" ref="G268:G276" si="27">ROUND(F268*E268,2)</f>
        <v>70.63</v>
      </c>
      <c r="H268" s="375">
        <v>70.626500000000007</v>
      </c>
      <c r="I268" s="28" t="e">
        <f>IF(A268&lt;&gt;0,VLOOKUP(A268,#REF!,2,FALSE),"")</f>
        <v>#REF!</v>
      </c>
      <c r="K268" s="237"/>
    </row>
    <row r="269" spans="1:11" ht="60">
      <c r="A269" s="24">
        <v>4982</v>
      </c>
      <c r="B269" s="78" t="s">
        <v>431</v>
      </c>
      <c r="C269" s="25" t="s">
        <v>12</v>
      </c>
      <c r="D269" s="25" t="s">
        <v>17</v>
      </c>
      <c r="E269" s="26">
        <v>1.5</v>
      </c>
      <c r="F269" s="26">
        <f t="shared" si="26"/>
        <v>278.46000000000004</v>
      </c>
      <c r="G269" s="26">
        <f t="shared" si="27"/>
        <v>417.69</v>
      </c>
      <c r="H269" s="375">
        <v>278.46000000000004</v>
      </c>
      <c r="I269" s="28" t="e">
        <f>IF(A269&lt;&gt;0,VLOOKUP(A269,#REF!,2,FALSE),"")</f>
        <v>#REF!</v>
      </c>
      <c r="K269" s="237"/>
    </row>
    <row r="270" spans="1:11" ht="45">
      <c r="A270" s="24">
        <v>2432</v>
      </c>
      <c r="B270" s="78" t="s">
        <v>432</v>
      </c>
      <c r="C270" s="25" t="s">
        <v>12</v>
      </c>
      <c r="D270" s="25" t="s">
        <v>17</v>
      </c>
      <c r="E270" s="26">
        <v>6</v>
      </c>
      <c r="F270" s="26">
        <f t="shared" si="26"/>
        <v>13.209</v>
      </c>
      <c r="G270" s="26">
        <f t="shared" si="27"/>
        <v>79.25</v>
      </c>
      <c r="H270" s="375">
        <v>13.209</v>
      </c>
      <c r="I270" s="28" t="e">
        <f>IF(A270&lt;&gt;0,VLOOKUP(A270,#REF!,2,FALSE),"")</f>
        <v>#REF!</v>
      </c>
      <c r="K270" s="237"/>
    </row>
    <row r="271" spans="1:11" ht="45">
      <c r="A271" s="24">
        <v>11055</v>
      </c>
      <c r="B271" s="78" t="s">
        <v>433</v>
      </c>
      <c r="C271" s="25" t="s">
        <v>12</v>
      </c>
      <c r="D271" s="25" t="s">
        <v>17</v>
      </c>
      <c r="E271" s="26">
        <v>19</v>
      </c>
      <c r="F271" s="26">
        <f t="shared" si="26"/>
        <v>3.4000000000000002E-2</v>
      </c>
      <c r="G271" s="26">
        <f t="shared" si="27"/>
        <v>0.65</v>
      </c>
      <c r="H271" s="375">
        <v>3.4000000000000002E-2</v>
      </c>
      <c r="I271" s="28" t="e">
        <f>IF(A271&lt;&gt;0,VLOOKUP(A271,#REF!,2,FALSE),"")</f>
        <v>#REF!</v>
      </c>
      <c r="K271" s="237"/>
    </row>
    <row r="272" spans="1:11" ht="30">
      <c r="A272" s="24">
        <v>39615</v>
      </c>
      <c r="B272" s="78" t="s">
        <v>434</v>
      </c>
      <c r="C272" s="25" t="s">
        <v>12</v>
      </c>
      <c r="D272" s="25" t="s">
        <v>17</v>
      </c>
      <c r="E272" s="26">
        <v>2</v>
      </c>
      <c r="F272" s="26">
        <f t="shared" si="26"/>
        <v>276.43700000000001</v>
      </c>
      <c r="G272" s="26">
        <f t="shared" si="27"/>
        <v>552.87</v>
      </c>
      <c r="H272" s="375">
        <v>276.43700000000001</v>
      </c>
      <c r="I272" s="28" t="e">
        <f>IF(A272&lt;&gt;0,VLOOKUP(A272,#REF!,2,FALSE),"")</f>
        <v>#REF!</v>
      </c>
      <c r="K272" s="237"/>
    </row>
    <row r="273" spans="1:11" ht="45">
      <c r="A273" s="24">
        <v>183</v>
      </c>
      <c r="B273" s="78" t="s">
        <v>1792</v>
      </c>
      <c r="C273" s="25" t="s">
        <v>12</v>
      </c>
      <c r="D273" s="25" t="s">
        <v>17</v>
      </c>
      <c r="E273" s="26">
        <v>1.67</v>
      </c>
      <c r="F273" s="26">
        <f t="shared" si="26"/>
        <v>114.75</v>
      </c>
      <c r="G273" s="26">
        <f t="shared" si="27"/>
        <v>191.63</v>
      </c>
      <c r="H273" s="375">
        <v>114.75</v>
      </c>
      <c r="I273" s="28" t="e">
        <f>IF(A273&lt;&gt;0,VLOOKUP(A273,#REF!,2,FALSE),"")</f>
        <v>#REF!</v>
      </c>
      <c r="K273" s="237"/>
    </row>
    <row r="274" spans="1:11">
      <c r="A274" s="24">
        <v>100659</v>
      </c>
      <c r="B274" s="78" t="e">
        <f>I274</f>
        <v>#REF!</v>
      </c>
      <c r="C274" s="25" t="s">
        <v>12</v>
      </c>
      <c r="D274" s="25" t="s">
        <v>52</v>
      </c>
      <c r="E274" s="26">
        <v>12</v>
      </c>
      <c r="F274" s="26">
        <f>H274</f>
        <v>5.4994999999999994</v>
      </c>
      <c r="G274" s="26">
        <f>ROUND(F274*E274,2)</f>
        <v>65.989999999999995</v>
      </c>
      <c r="H274" s="375">
        <v>5.4994999999999994</v>
      </c>
      <c r="I274" s="28" t="e">
        <f>IF(A274&lt;&gt;0,VLOOKUP(A274,#REF!,2,FALSE),"")</f>
        <v>#REF!</v>
      </c>
      <c r="K274" s="237"/>
    </row>
    <row r="275" spans="1:11" ht="30">
      <c r="A275" s="24">
        <v>88261</v>
      </c>
      <c r="B275" s="78" t="s">
        <v>435</v>
      </c>
      <c r="C275" s="25" t="s">
        <v>12</v>
      </c>
      <c r="D275" s="25" t="s">
        <v>19</v>
      </c>
      <c r="E275" s="26">
        <v>1.6878</v>
      </c>
      <c r="F275" s="26">
        <f t="shared" si="26"/>
        <v>14.314</v>
      </c>
      <c r="G275" s="26">
        <f t="shared" si="27"/>
        <v>24.16</v>
      </c>
      <c r="H275" s="375">
        <v>14.314</v>
      </c>
      <c r="I275" s="28" t="e">
        <f>IF(A275&lt;&gt;0,VLOOKUP(A275,#REF!,2,FALSE),"")</f>
        <v>#REF!</v>
      </c>
      <c r="K275" s="237"/>
    </row>
    <row r="276" spans="1:11" ht="30">
      <c r="A276" s="24">
        <v>88316</v>
      </c>
      <c r="B276" s="78" t="s">
        <v>377</v>
      </c>
      <c r="C276" s="25" t="s">
        <v>12</v>
      </c>
      <c r="D276" s="25" t="s">
        <v>19</v>
      </c>
      <c r="E276" s="26">
        <v>0.83899999999999997</v>
      </c>
      <c r="F276" s="26">
        <f t="shared" si="26"/>
        <v>11.798000000000002</v>
      </c>
      <c r="G276" s="26">
        <f t="shared" si="27"/>
        <v>9.9</v>
      </c>
      <c r="H276" s="375">
        <v>11.798000000000002</v>
      </c>
      <c r="I276" s="28" t="e">
        <f>IF(A276&lt;&gt;0,VLOOKUP(A276,#REF!,2,FALSE),"")</f>
        <v>#REF!</v>
      </c>
      <c r="K276" s="237"/>
    </row>
    <row r="277" spans="1:11" ht="15" customHeight="1">
      <c r="A277" s="986" t="s">
        <v>1894</v>
      </c>
      <c r="B277" s="986"/>
      <c r="C277" s="986"/>
      <c r="D277" s="986"/>
      <c r="E277" s="986"/>
      <c r="F277" s="986"/>
      <c r="G277" s="79">
        <f>ROUND(SUM(G267:G276),2)</f>
        <v>1428.27</v>
      </c>
      <c r="K277" s="237"/>
    </row>
    <row r="278" spans="1:11" ht="27.75" customHeight="1">
      <c r="A278" s="80"/>
      <c r="B278" s="80"/>
      <c r="C278" s="352"/>
      <c r="D278" s="353"/>
      <c r="E278" s="80"/>
      <c r="F278" s="80"/>
      <c r="G278" s="80"/>
      <c r="K278" s="237"/>
    </row>
    <row r="279" spans="1:11" ht="51.75" customHeight="1">
      <c r="A279" s="920" t="s">
        <v>2062</v>
      </c>
      <c r="B279" s="921"/>
      <c r="C279" s="921"/>
      <c r="D279" s="921"/>
      <c r="E279" s="929"/>
      <c r="F279" s="75" t="s">
        <v>1915</v>
      </c>
      <c r="G279" s="347"/>
      <c r="K279" s="237"/>
    </row>
    <row r="280" spans="1:11" ht="28.5">
      <c r="A280" s="77" t="s">
        <v>1917</v>
      </c>
      <c r="B280" s="347"/>
      <c r="C280" s="77" t="s">
        <v>3</v>
      </c>
      <c r="D280" s="77" t="s">
        <v>4</v>
      </c>
      <c r="E280" s="77" t="s">
        <v>1826</v>
      </c>
      <c r="F280" s="77" t="s">
        <v>367</v>
      </c>
      <c r="G280" s="77" t="s">
        <v>368</v>
      </c>
      <c r="K280" s="237"/>
    </row>
    <row r="281" spans="1:11" ht="60">
      <c r="A281" s="84">
        <v>4930</v>
      </c>
      <c r="B281" s="85" t="s">
        <v>436</v>
      </c>
      <c r="C281" s="86" t="s">
        <v>12</v>
      </c>
      <c r="D281" s="86" t="s">
        <v>26</v>
      </c>
      <c r="E281" s="81">
        <v>1.89</v>
      </c>
      <c r="F281" s="26">
        <f t="shared" ref="F281:F287" si="28">H281</f>
        <v>296.24199999999996</v>
      </c>
      <c r="G281" s="26">
        <f t="shared" ref="G281:G287" si="29">ROUND(F281*E281,2)</f>
        <v>559.9</v>
      </c>
      <c r="H281" s="375">
        <v>296.24199999999996</v>
      </c>
      <c r="I281" s="28" t="e">
        <f>IF(A281&lt;&gt;0,VLOOKUP(A281,#REF!,2,FALSE),"")</f>
        <v>#REF!</v>
      </c>
      <c r="K281" s="237"/>
    </row>
    <row r="282" spans="1:11" ht="60">
      <c r="A282" s="84">
        <v>11577</v>
      </c>
      <c r="B282" s="85" t="s">
        <v>429</v>
      </c>
      <c r="C282" s="86" t="s">
        <v>12</v>
      </c>
      <c r="D282" s="86" t="s">
        <v>17</v>
      </c>
      <c r="E282" s="81">
        <v>1</v>
      </c>
      <c r="F282" s="26">
        <f t="shared" si="28"/>
        <v>7.7519999999999989</v>
      </c>
      <c r="G282" s="26">
        <f t="shared" si="29"/>
        <v>7.75</v>
      </c>
      <c r="H282" s="375">
        <v>7.7519999999999989</v>
      </c>
      <c r="I282" s="28" t="e">
        <f>IF(A282&lt;&gt;0,VLOOKUP(A282,#REF!,2,FALSE),"")</f>
        <v>#REF!</v>
      </c>
      <c r="K282" s="237"/>
    </row>
    <row r="283" spans="1:11" ht="59.25" customHeight="1">
      <c r="A283" s="84">
        <v>5080</v>
      </c>
      <c r="B283" s="85" t="s">
        <v>437</v>
      </c>
      <c r="C283" s="86" t="s">
        <v>12</v>
      </c>
      <c r="D283" s="86" t="s">
        <v>17</v>
      </c>
      <c r="E283" s="81">
        <v>1</v>
      </c>
      <c r="F283" s="26">
        <f t="shared" si="28"/>
        <v>13.616999999999999</v>
      </c>
      <c r="G283" s="26">
        <f t="shared" si="29"/>
        <v>13.62</v>
      </c>
      <c r="H283" s="375">
        <v>13.616999999999999</v>
      </c>
      <c r="I283" s="28" t="e">
        <f>IF(A283&lt;&gt;0,VLOOKUP(A283,#REF!,2,FALSE),"")</f>
        <v>#REF!</v>
      </c>
      <c r="K283" s="237"/>
    </row>
    <row r="284" spans="1:11" ht="30">
      <c r="A284" s="84">
        <v>88309</v>
      </c>
      <c r="B284" s="85" t="s">
        <v>390</v>
      </c>
      <c r="C284" s="86" t="s">
        <v>12</v>
      </c>
      <c r="D284" s="86" t="s">
        <v>19</v>
      </c>
      <c r="E284" s="81">
        <v>0.8</v>
      </c>
      <c r="F284" s="26">
        <f t="shared" si="28"/>
        <v>15.121499999999999</v>
      </c>
      <c r="G284" s="26">
        <f t="shared" si="29"/>
        <v>12.1</v>
      </c>
      <c r="H284" s="375">
        <v>15.121499999999999</v>
      </c>
      <c r="I284" s="28" t="e">
        <f>IF(A284&lt;&gt;0,VLOOKUP(A284,#REF!,2,FALSE),"")</f>
        <v>#REF!</v>
      </c>
      <c r="K284" s="237"/>
    </row>
    <row r="285" spans="1:11" ht="30">
      <c r="A285" s="84">
        <v>88315</v>
      </c>
      <c r="B285" s="85" t="s">
        <v>420</v>
      </c>
      <c r="C285" s="86" t="s">
        <v>12</v>
      </c>
      <c r="D285" s="86" t="s">
        <v>19</v>
      </c>
      <c r="E285" s="81">
        <v>1.6</v>
      </c>
      <c r="F285" s="26">
        <f t="shared" si="28"/>
        <v>15.045</v>
      </c>
      <c r="G285" s="26">
        <f t="shared" si="29"/>
        <v>24.07</v>
      </c>
      <c r="H285" s="375">
        <v>15.045</v>
      </c>
      <c r="I285" s="28" t="e">
        <f>IF(A285&lt;&gt;0,VLOOKUP(A285,#REF!,2,FALSE),"")</f>
        <v>#REF!</v>
      </c>
      <c r="K285" s="237"/>
    </row>
    <row r="286" spans="1:11" ht="30">
      <c r="A286" s="84">
        <v>88316</v>
      </c>
      <c r="B286" s="85" t="s">
        <v>377</v>
      </c>
      <c r="C286" s="86" t="s">
        <v>12</v>
      </c>
      <c r="D286" s="86" t="s">
        <v>19</v>
      </c>
      <c r="E286" s="81">
        <v>2.8</v>
      </c>
      <c r="F286" s="26">
        <f t="shared" si="28"/>
        <v>11.798000000000002</v>
      </c>
      <c r="G286" s="26">
        <f t="shared" si="29"/>
        <v>33.03</v>
      </c>
      <c r="H286" s="375">
        <v>11.798000000000002</v>
      </c>
      <c r="I286" s="28" t="e">
        <f>IF(A286&lt;&gt;0,VLOOKUP(A286,#REF!,2,FALSE),"")</f>
        <v>#REF!</v>
      </c>
      <c r="K286" s="237"/>
    </row>
    <row r="287" spans="1:11" ht="45">
      <c r="A287" s="84">
        <v>88627</v>
      </c>
      <c r="B287" s="85" t="s">
        <v>1793</v>
      </c>
      <c r="C287" s="86" t="s">
        <v>12</v>
      </c>
      <c r="D287" s="86" t="s">
        <v>35</v>
      </c>
      <c r="E287" s="81">
        <v>6.0000000000000001E-3</v>
      </c>
      <c r="F287" s="26">
        <f t="shared" si="28"/>
        <v>414.29849999999999</v>
      </c>
      <c r="G287" s="26">
        <f t="shared" si="29"/>
        <v>2.4900000000000002</v>
      </c>
      <c r="H287" s="375">
        <v>414.29849999999999</v>
      </c>
      <c r="I287" s="28" t="e">
        <f>IF(A287&lt;&gt;0,VLOOKUP(A287,#REF!,2,FALSE),"")</f>
        <v>#REF!</v>
      </c>
      <c r="K287" s="237"/>
    </row>
    <row r="288" spans="1:11" ht="15" customHeight="1">
      <c r="A288" s="986" t="s">
        <v>1894</v>
      </c>
      <c r="B288" s="986"/>
      <c r="C288" s="986"/>
      <c r="D288" s="986"/>
      <c r="E288" s="986"/>
      <c r="F288" s="986"/>
      <c r="G288" s="79">
        <f>ROUND(SUM(G281:G287),2)</f>
        <v>652.96</v>
      </c>
      <c r="K288" s="237"/>
    </row>
    <row r="289" spans="1:11" ht="36" customHeight="1">
      <c r="A289" s="80"/>
      <c r="B289" s="80"/>
      <c r="C289" s="352"/>
      <c r="D289" s="353"/>
      <c r="E289" s="80"/>
      <c r="F289" s="80"/>
      <c r="G289" s="80"/>
      <c r="K289" s="237"/>
    </row>
    <row r="290" spans="1:11" ht="35.25" customHeight="1">
      <c r="A290" s="920" t="s">
        <v>2065</v>
      </c>
      <c r="B290" s="921"/>
      <c r="C290" s="921"/>
      <c r="D290" s="921"/>
      <c r="E290" s="929"/>
      <c r="F290" s="75" t="s">
        <v>1915</v>
      </c>
      <c r="G290" s="347"/>
      <c r="K290" s="237"/>
    </row>
    <row r="291" spans="1:11" ht="28.5">
      <c r="A291" s="77" t="s">
        <v>1917</v>
      </c>
      <c r="B291" s="347"/>
      <c r="C291" s="77" t="s">
        <v>3</v>
      </c>
      <c r="D291" s="77" t="s">
        <v>4</v>
      </c>
      <c r="E291" s="77" t="s">
        <v>1826</v>
      </c>
      <c r="F291" s="77" t="s">
        <v>367</v>
      </c>
      <c r="G291" s="77" t="s">
        <v>368</v>
      </c>
      <c r="K291" s="237"/>
    </row>
    <row r="292" spans="1:11" ht="45">
      <c r="A292" s="24">
        <v>142</v>
      </c>
      <c r="B292" s="78" t="s">
        <v>423</v>
      </c>
      <c r="C292" s="25" t="s">
        <v>12</v>
      </c>
      <c r="D292" s="25" t="s">
        <v>424</v>
      </c>
      <c r="E292" s="26">
        <v>0.59030000000000005</v>
      </c>
      <c r="F292" s="26">
        <f t="shared" ref="F292" si="30">H292</f>
        <v>28.126500000000004</v>
      </c>
      <c r="G292" s="26">
        <f t="shared" ref="G292" si="31">ROUND(F292*E292,2)</f>
        <v>16.600000000000001</v>
      </c>
      <c r="H292" s="375">
        <v>28.126500000000004</v>
      </c>
      <c r="I292" s="28" t="e">
        <f>IF(A292&lt;&gt;0,VLOOKUP(A292,#REF!,2,FALSE),"")</f>
        <v>#REF!</v>
      </c>
      <c r="K292" s="237"/>
    </row>
    <row r="293" spans="1:11" ht="45">
      <c r="A293" s="24">
        <v>34381</v>
      </c>
      <c r="B293" s="78" t="s">
        <v>438</v>
      </c>
      <c r="C293" s="25" t="s">
        <v>12</v>
      </c>
      <c r="D293" s="25" t="s">
        <v>26</v>
      </c>
      <c r="E293" s="26">
        <v>1.0001</v>
      </c>
      <c r="F293" s="26">
        <f t="shared" ref="F293:F296" si="32">H293</f>
        <v>258.96100000000001</v>
      </c>
      <c r="G293" s="26">
        <f t="shared" ref="G293:G296" si="33">ROUND(F293*E293,2)</f>
        <v>258.99</v>
      </c>
      <c r="H293" s="375">
        <v>258.96100000000001</v>
      </c>
      <c r="I293" s="28" t="e">
        <f>IF(A293&lt;&gt;0,VLOOKUP(A293,#REF!,2,FALSE),"")</f>
        <v>#REF!</v>
      </c>
      <c r="K293" s="237"/>
    </row>
    <row r="294" spans="1:11" ht="60">
      <c r="A294" s="24">
        <v>11950</v>
      </c>
      <c r="B294" s="78" t="s">
        <v>404</v>
      </c>
      <c r="C294" s="25" t="s">
        <v>12</v>
      </c>
      <c r="D294" s="25" t="s">
        <v>17</v>
      </c>
      <c r="E294" s="26">
        <v>24.4</v>
      </c>
      <c r="F294" s="26">
        <f t="shared" si="32"/>
        <v>0.10199999999999999</v>
      </c>
      <c r="G294" s="26">
        <f t="shared" si="33"/>
        <v>2.4900000000000002</v>
      </c>
      <c r="H294" s="375">
        <v>0.10199999999999999</v>
      </c>
      <c r="I294" s="28" t="e">
        <f>IF(A294&lt;&gt;0,VLOOKUP(A294,#REF!,2,FALSE),"")</f>
        <v>#REF!</v>
      </c>
      <c r="K294" s="237"/>
    </row>
    <row r="295" spans="1:11" ht="30">
      <c r="A295" s="24">
        <v>88309</v>
      </c>
      <c r="B295" s="78" t="s">
        <v>390</v>
      </c>
      <c r="C295" s="25" t="s">
        <v>12</v>
      </c>
      <c r="D295" s="25" t="s">
        <v>19</v>
      </c>
      <c r="E295" s="26">
        <v>2</v>
      </c>
      <c r="F295" s="26">
        <f t="shared" si="32"/>
        <v>15.121499999999999</v>
      </c>
      <c r="G295" s="26">
        <f t="shared" si="33"/>
        <v>30.24</v>
      </c>
      <c r="H295" s="375">
        <v>15.121499999999999</v>
      </c>
      <c r="I295" s="28" t="e">
        <f>IF(A295&lt;&gt;0,VLOOKUP(A295,#REF!,2,FALSE),"")</f>
        <v>#REF!</v>
      </c>
      <c r="K295" s="237"/>
    </row>
    <row r="296" spans="1:11" ht="30">
      <c r="A296" s="24">
        <v>88316</v>
      </c>
      <c r="B296" s="78" t="s">
        <v>377</v>
      </c>
      <c r="C296" s="25" t="s">
        <v>12</v>
      </c>
      <c r="D296" s="25" t="s">
        <v>19</v>
      </c>
      <c r="E296" s="26">
        <v>1</v>
      </c>
      <c r="F296" s="26">
        <f t="shared" si="32"/>
        <v>11.798000000000002</v>
      </c>
      <c r="G296" s="26">
        <f t="shared" si="33"/>
        <v>11.8</v>
      </c>
      <c r="H296" s="375">
        <v>11.798000000000002</v>
      </c>
      <c r="I296" s="28" t="e">
        <f>IF(A296&lt;&gt;0,VLOOKUP(A296,#REF!,2,FALSE),"")</f>
        <v>#REF!</v>
      </c>
      <c r="K296" s="237"/>
    </row>
    <row r="297" spans="1:11">
      <c r="A297" s="24">
        <v>88325</v>
      </c>
      <c r="B297" s="78" t="e">
        <f>I297</f>
        <v>#REF!</v>
      </c>
      <c r="C297" s="25" t="s">
        <v>12</v>
      </c>
      <c r="D297" s="25" t="s">
        <v>19</v>
      </c>
      <c r="E297" s="26">
        <v>1</v>
      </c>
      <c r="F297" s="26">
        <f t="shared" ref="F297:F298" si="34">H297</f>
        <v>12.699</v>
      </c>
      <c r="G297" s="26">
        <f t="shared" ref="G297:G298" si="35">ROUND(F297*E297,2)</f>
        <v>12.7</v>
      </c>
      <c r="H297" s="375">
        <v>12.699</v>
      </c>
      <c r="I297" s="28" t="e">
        <f>IF(A297&lt;&gt;0,VLOOKUP(A297,#REF!,2,FALSE),"")</f>
        <v>#REF!</v>
      </c>
      <c r="K297" s="237"/>
    </row>
    <row r="298" spans="1:11">
      <c r="A298" s="24">
        <v>10498</v>
      </c>
      <c r="B298" s="78" t="e">
        <f>I298</f>
        <v>#REF!</v>
      </c>
      <c r="C298" s="25" t="s">
        <v>12</v>
      </c>
      <c r="D298" s="25" t="s">
        <v>45</v>
      </c>
      <c r="E298" s="26">
        <v>1.5</v>
      </c>
      <c r="F298" s="26">
        <f t="shared" si="34"/>
        <v>8.6445000000000007</v>
      </c>
      <c r="G298" s="26">
        <f t="shared" si="35"/>
        <v>12.97</v>
      </c>
      <c r="H298" s="375">
        <v>8.6445000000000007</v>
      </c>
      <c r="I298" s="28" t="e">
        <f>IF(A298&lt;&gt;0,VLOOKUP(A298,#REF!,2,FALSE),"")</f>
        <v>#REF!</v>
      </c>
      <c r="K298" s="237"/>
    </row>
    <row r="299" spans="1:11" ht="17.25" customHeight="1">
      <c r="A299" s="986" t="s">
        <v>1894</v>
      </c>
      <c r="B299" s="986"/>
      <c r="C299" s="986"/>
      <c r="D299" s="986"/>
      <c r="E299" s="986"/>
      <c r="F299" s="986"/>
      <c r="G299" s="79">
        <f>ROUND(SUM(G292:G298),2)</f>
        <v>345.79</v>
      </c>
      <c r="K299" s="237"/>
    </row>
    <row r="300" spans="1:11" ht="33" customHeight="1">
      <c r="A300" s="80"/>
      <c r="B300" s="80"/>
      <c r="C300" s="352"/>
      <c r="D300" s="353"/>
      <c r="E300" s="80"/>
      <c r="F300" s="80"/>
      <c r="G300" s="80"/>
      <c r="K300" s="237"/>
    </row>
    <row r="301" spans="1:11" ht="38.25" customHeight="1">
      <c r="A301" s="920" t="s">
        <v>2638</v>
      </c>
      <c r="B301" s="921"/>
      <c r="C301" s="921"/>
      <c r="D301" s="921"/>
      <c r="E301" s="929"/>
      <c r="F301" s="75" t="s">
        <v>1915</v>
      </c>
      <c r="G301" s="347"/>
      <c r="K301" s="237"/>
    </row>
    <row r="302" spans="1:11" ht="28.5">
      <c r="A302" s="77" t="s">
        <v>1917</v>
      </c>
      <c r="B302" s="347"/>
      <c r="C302" s="77" t="s">
        <v>3</v>
      </c>
      <c r="D302" s="77" t="s">
        <v>4</v>
      </c>
      <c r="E302" s="77" t="s">
        <v>1826</v>
      </c>
      <c r="F302" s="77" t="s">
        <v>367</v>
      </c>
      <c r="G302" s="77" t="s">
        <v>368</v>
      </c>
      <c r="K302" s="237"/>
    </row>
    <row r="303" spans="1:11" ht="45">
      <c r="A303" s="24">
        <v>599</v>
      </c>
      <c r="B303" s="78" t="s">
        <v>439</v>
      </c>
      <c r="C303" s="25" t="s">
        <v>12</v>
      </c>
      <c r="D303" s="25" t="s">
        <v>26</v>
      </c>
      <c r="E303" s="26">
        <v>0.5</v>
      </c>
      <c r="F303" s="26">
        <f t="shared" ref="F303" si="36">H303</f>
        <v>383.16300000000001</v>
      </c>
      <c r="G303" s="26">
        <f t="shared" ref="G303" si="37">ROUND(F303*E303,2)</f>
        <v>191.58</v>
      </c>
      <c r="H303" s="375">
        <v>383.16300000000001</v>
      </c>
      <c r="I303" s="28" t="e">
        <f>IF(A303&lt;&gt;0,VLOOKUP(A303,#REF!,2,FALSE),"")</f>
        <v>#REF!</v>
      </c>
      <c r="K303" s="237"/>
    </row>
    <row r="304" spans="1:11" s="45" customFormat="1" ht="30">
      <c r="A304" s="24">
        <v>2583</v>
      </c>
      <c r="B304" s="78" t="s">
        <v>440</v>
      </c>
      <c r="C304" s="25" t="s">
        <v>44</v>
      </c>
      <c r="D304" s="25" t="s">
        <v>26</v>
      </c>
      <c r="E304" s="26">
        <v>1</v>
      </c>
      <c r="F304" s="26">
        <f t="shared" ref="F304:F311" si="38">H304</f>
        <v>31.058999999999997</v>
      </c>
      <c r="G304" s="26">
        <f t="shared" ref="G304:G311" si="39">ROUND(F304*E304,2)</f>
        <v>31.06</v>
      </c>
      <c r="H304" s="364">
        <v>31.058999999999997</v>
      </c>
      <c r="I304" s="45" t="e">
        <f>IF(A304&lt;&gt;0,VLOOKUP(A304,#REF!,2,FALSE),"")</f>
        <v>#REF!</v>
      </c>
      <c r="J304" s="364"/>
      <c r="K304" s="237"/>
    </row>
    <row r="305" spans="1:11" ht="30">
      <c r="A305" s="24">
        <v>88309</v>
      </c>
      <c r="B305" s="78" t="s">
        <v>390</v>
      </c>
      <c r="C305" s="25" t="s">
        <v>12</v>
      </c>
      <c r="D305" s="25" t="s">
        <v>19</v>
      </c>
      <c r="E305" s="26">
        <v>0.3</v>
      </c>
      <c r="F305" s="26">
        <f t="shared" si="38"/>
        <v>15.121499999999999</v>
      </c>
      <c r="G305" s="26">
        <f t="shared" si="39"/>
        <v>4.54</v>
      </c>
      <c r="H305" s="375">
        <v>15.121499999999999</v>
      </c>
      <c r="I305" s="28" t="e">
        <f>IF(A305&lt;&gt;0,VLOOKUP(A305,#REF!,2,FALSE),"")</f>
        <v>#REF!</v>
      </c>
      <c r="K305" s="237"/>
    </row>
    <row r="306" spans="1:11" ht="30">
      <c r="A306" s="24">
        <v>88315</v>
      </c>
      <c r="B306" s="78" t="s">
        <v>420</v>
      </c>
      <c r="C306" s="25" t="s">
        <v>12</v>
      </c>
      <c r="D306" s="25" t="s">
        <v>19</v>
      </c>
      <c r="E306" s="26">
        <v>0.8</v>
      </c>
      <c r="F306" s="26">
        <f t="shared" si="38"/>
        <v>15.045</v>
      </c>
      <c r="G306" s="26">
        <f t="shared" si="39"/>
        <v>12.04</v>
      </c>
      <c r="H306" s="375">
        <v>15.045</v>
      </c>
      <c r="I306" s="28" t="e">
        <f>IF(A306&lt;&gt;0,VLOOKUP(A306,#REF!,2,FALSE),"")</f>
        <v>#REF!</v>
      </c>
      <c r="K306" s="237"/>
    </row>
    <row r="307" spans="1:11" ht="30">
      <c r="A307" s="24">
        <v>88316</v>
      </c>
      <c r="B307" s="78" t="s">
        <v>377</v>
      </c>
      <c r="C307" s="25" t="s">
        <v>12</v>
      </c>
      <c r="D307" s="25" t="s">
        <v>19</v>
      </c>
      <c r="E307" s="26">
        <v>1.2</v>
      </c>
      <c r="F307" s="26">
        <f t="shared" si="38"/>
        <v>11.798000000000002</v>
      </c>
      <c r="G307" s="26">
        <f t="shared" si="39"/>
        <v>14.16</v>
      </c>
      <c r="H307" s="375">
        <v>11.798000000000002</v>
      </c>
      <c r="I307" s="28" t="e">
        <f>IF(A307&lt;&gt;0,VLOOKUP(A307,#REF!,2,FALSE),"")</f>
        <v>#REF!</v>
      </c>
      <c r="K307" s="237"/>
    </row>
    <row r="308" spans="1:11">
      <c r="A308" s="24">
        <v>88325</v>
      </c>
      <c r="B308" s="78" t="e">
        <f>I308</f>
        <v>#REF!</v>
      </c>
      <c r="C308" s="25" t="s">
        <v>12</v>
      </c>
      <c r="D308" s="25" t="s">
        <v>19</v>
      </c>
      <c r="E308" s="26">
        <v>1</v>
      </c>
      <c r="F308" s="26">
        <f t="shared" si="38"/>
        <v>12.699</v>
      </c>
      <c r="G308" s="26">
        <f t="shared" si="39"/>
        <v>12.7</v>
      </c>
      <c r="H308" s="375">
        <v>12.699</v>
      </c>
      <c r="I308" s="28" t="e">
        <f>IF(A308&lt;&gt;0,VLOOKUP(A308,#REF!,2,FALSE),"")</f>
        <v>#REF!</v>
      </c>
      <c r="K308" s="237"/>
    </row>
    <row r="309" spans="1:11" ht="45">
      <c r="A309" s="24">
        <v>88627</v>
      </c>
      <c r="B309" s="78" t="s">
        <v>1793</v>
      </c>
      <c r="C309" s="25" t="s">
        <v>12</v>
      </c>
      <c r="D309" s="25" t="s">
        <v>35</v>
      </c>
      <c r="E309" s="26">
        <v>6.0000000000000001E-3</v>
      </c>
      <c r="F309" s="26">
        <f t="shared" si="38"/>
        <v>414.29849999999999</v>
      </c>
      <c r="G309" s="26">
        <f t="shared" si="39"/>
        <v>2.4900000000000002</v>
      </c>
      <c r="H309" s="375">
        <v>414.29849999999999</v>
      </c>
      <c r="I309" s="28" t="e">
        <f>IF(A309&lt;&gt;0,VLOOKUP(A309,#REF!,2,FALSE),"")</f>
        <v>#REF!</v>
      </c>
      <c r="K309" s="237"/>
    </row>
    <row r="310" spans="1:11" ht="60">
      <c r="A310" s="24">
        <v>94569</v>
      </c>
      <c r="B310" s="78" t="s">
        <v>1794</v>
      </c>
      <c r="C310" s="25" t="s">
        <v>12</v>
      </c>
      <c r="D310" s="25" t="s">
        <v>26</v>
      </c>
      <c r="E310" s="26">
        <v>0.5</v>
      </c>
      <c r="F310" s="26">
        <f t="shared" si="38"/>
        <v>600.58450000000005</v>
      </c>
      <c r="G310" s="26">
        <f t="shared" si="39"/>
        <v>300.29000000000002</v>
      </c>
      <c r="H310" s="375">
        <v>600.58450000000005</v>
      </c>
      <c r="I310" s="28" t="e">
        <f>IF(A310&lt;&gt;0,VLOOKUP(A310,#REF!,2,FALSE),"")</f>
        <v>#REF!</v>
      </c>
      <c r="K310" s="237"/>
    </row>
    <row r="311" spans="1:11">
      <c r="A311" s="24">
        <v>10498</v>
      </c>
      <c r="B311" s="78" t="e">
        <f>I311</f>
        <v>#REF!</v>
      </c>
      <c r="C311" s="25" t="s">
        <v>12</v>
      </c>
      <c r="D311" s="25" t="s">
        <v>45</v>
      </c>
      <c r="E311" s="26">
        <v>1.5</v>
      </c>
      <c r="F311" s="26">
        <f t="shared" si="38"/>
        <v>8.6445000000000007</v>
      </c>
      <c r="G311" s="26">
        <f t="shared" si="39"/>
        <v>12.97</v>
      </c>
      <c r="H311" s="375">
        <v>8.6445000000000007</v>
      </c>
      <c r="I311" s="28" t="e">
        <f>IF(A311&lt;&gt;0,VLOOKUP(A311,#REF!,2,FALSE),"")</f>
        <v>#REF!</v>
      </c>
      <c r="K311" s="237"/>
    </row>
    <row r="312" spans="1:11">
      <c r="A312" s="24">
        <v>10506</v>
      </c>
      <c r="B312" s="78" t="e">
        <f>I312</f>
        <v>#REF!</v>
      </c>
      <c r="C312" s="25" t="s">
        <v>12</v>
      </c>
      <c r="D312" s="25" t="s">
        <v>26</v>
      </c>
      <c r="E312" s="26">
        <v>0.5</v>
      </c>
      <c r="F312" s="26">
        <f t="shared" ref="F312" si="40">H312</f>
        <v>254.24350000000001</v>
      </c>
      <c r="G312" s="26">
        <f t="shared" ref="G312" si="41">ROUND(F312*E312,2)</f>
        <v>127.12</v>
      </c>
      <c r="H312" s="375">
        <v>254.24350000000001</v>
      </c>
      <c r="I312" s="28" t="e">
        <f>IF(A312&lt;&gt;0,VLOOKUP(A312,#REF!,2,FALSE),"")</f>
        <v>#REF!</v>
      </c>
      <c r="K312" s="237"/>
    </row>
    <row r="313" spans="1:11" ht="15" customHeight="1">
      <c r="A313" s="986" t="s">
        <v>1894</v>
      </c>
      <c r="B313" s="986"/>
      <c r="C313" s="986"/>
      <c r="D313" s="986"/>
      <c r="E313" s="986"/>
      <c r="F313" s="986"/>
      <c r="G313" s="79">
        <f>ROUND(SUM(G303:G312),2)</f>
        <v>708.95</v>
      </c>
      <c r="K313" s="237"/>
    </row>
    <row r="314" spans="1:11" ht="23.25" customHeight="1">
      <c r="A314" s="80"/>
      <c r="B314" s="80"/>
      <c r="C314" s="352"/>
      <c r="D314" s="353"/>
      <c r="E314" s="80"/>
      <c r="F314" s="80"/>
      <c r="G314" s="80"/>
      <c r="K314" s="237"/>
    </row>
    <row r="315" spans="1:11" ht="38.25" customHeight="1">
      <c r="A315" s="920" t="s">
        <v>2066</v>
      </c>
      <c r="B315" s="921"/>
      <c r="C315" s="921"/>
      <c r="D315" s="921"/>
      <c r="E315" s="929"/>
      <c r="F315" s="75" t="s">
        <v>1915</v>
      </c>
      <c r="G315" s="347"/>
      <c r="K315" s="237"/>
    </row>
    <row r="316" spans="1:11" ht="28.5">
      <c r="A316" s="77" t="s">
        <v>1917</v>
      </c>
      <c r="B316" s="347"/>
      <c r="C316" s="77" t="s">
        <v>3</v>
      </c>
      <c r="D316" s="77" t="s">
        <v>4</v>
      </c>
      <c r="E316" s="77" t="s">
        <v>1826</v>
      </c>
      <c r="F316" s="77" t="s">
        <v>367</v>
      </c>
      <c r="G316" s="77" t="s">
        <v>368</v>
      </c>
      <c r="K316" s="237"/>
    </row>
    <row r="317" spans="1:11" ht="45">
      <c r="A317" s="24">
        <v>599</v>
      </c>
      <c r="B317" s="78" t="s">
        <v>439</v>
      </c>
      <c r="C317" s="25" t="s">
        <v>12</v>
      </c>
      <c r="D317" s="25" t="s">
        <v>26</v>
      </c>
      <c r="E317" s="26">
        <v>1</v>
      </c>
      <c r="F317" s="26">
        <f t="shared" ref="F317:F322" si="42">H317</f>
        <v>383.16300000000001</v>
      </c>
      <c r="G317" s="26">
        <f t="shared" ref="G317:G322" si="43">ROUND(F317*E317,2)</f>
        <v>383.16</v>
      </c>
      <c r="H317" s="375">
        <v>383.16300000000001</v>
      </c>
      <c r="I317" s="28" t="e">
        <f>IF(A317&lt;&gt;0,VLOOKUP(A317,#REF!,2,FALSE),"")</f>
        <v>#REF!</v>
      </c>
      <c r="K317" s="237"/>
    </row>
    <row r="318" spans="1:11" ht="30">
      <c r="A318" s="24">
        <v>88309</v>
      </c>
      <c r="B318" s="78" t="s">
        <v>390</v>
      </c>
      <c r="C318" s="25" t="s">
        <v>12</v>
      </c>
      <c r="D318" s="25" t="s">
        <v>19</v>
      </c>
      <c r="E318" s="26">
        <v>0.3</v>
      </c>
      <c r="F318" s="26">
        <f t="shared" si="42"/>
        <v>15.121499999999999</v>
      </c>
      <c r="G318" s="26">
        <f t="shared" si="43"/>
        <v>4.54</v>
      </c>
      <c r="H318" s="375">
        <v>15.121499999999999</v>
      </c>
      <c r="I318" s="28" t="e">
        <f>IF(A318&lt;&gt;0,VLOOKUP(A318,#REF!,2,FALSE),"")</f>
        <v>#REF!</v>
      </c>
      <c r="K318" s="237"/>
    </row>
    <row r="319" spans="1:11" ht="30">
      <c r="A319" s="24">
        <v>88315</v>
      </c>
      <c r="B319" s="78" t="s">
        <v>420</v>
      </c>
      <c r="C319" s="25" t="s">
        <v>12</v>
      </c>
      <c r="D319" s="25" t="s">
        <v>19</v>
      </c>
      <c r="E319" s="26">
        <v>0.8</v>
      </c>
      <c r="F319" s="26">
        <f t="shared" si="42"/>
        <v>15.045</v>
      </c>
      <c r="G319" s="26">
        <f t="shared" si="43"/>
        <v>12.04</v>
      </c>
      <c r="H319" s="375">
        <v>15.045</v>
      </c>
      <c r="I319" s="28" t="e">
        <f>IF(A319&lt;&gt;0,VLOOKUP(A319,#REF!,2,FALSE),"")</f>
        <v>#REF!</v>
      </c>
      <c r="K319" s="237"/>
    </row>
    <row r="320" spans="1:11" ht="30">
      <c r="A320" s="24">
        <v>88316</v>
      </c>
      <c r="B320" s="78" t="s">
        <v>377</v>
      </c>
      <c r="C320" s="25" t="s">
        <v>12</v>
      </c>
      <c r="D320" s="25" t="s">
        <v>19</v>
      </c>
      <c r="E320" s="26">
        <v>1.2</v>
      </c>
      <c r="F320" s="26">
        <f t="shared" si="42"/>
        <v>11.798000000000002</v>
      </c>
      <c r="G320" s="26">
        <f t="shared" si="43"/>
        <v>14.16</v>
      </c>
      <c r="H320" s="375">
        <v>11.798000000000002</v>
      </c>
      <c r="I320" s="28" t="e">
        <f>IF(A320&lt;&gt;0,VLOOKUP(A320,#REF!,2,FALSE),"")</f>
        <v>#REF!</v>
      </c>
      <c r="K320" s="237"/>
    </row>
    <row r="321" spans="1:11">
      <c r="A321" s="24">
        <v>88325</v>
      </c>
      <c r="B321" s="78" t="e">
        <f>I321</f>
        <v>#REF!</v>
      </c>
      <c r="C321" s="25" t="s">
        <v>12</v>
      </c>
      <c r="D321" s="25" t="s">
        <v>19</v>
      </c>
      <c r="E321" s="26">
        <v>1</v>
      </c>
      <c r="F321" s="26">
        <f t="shared" si="42"/>
        <v>12.699</v>
      </c>
      <c r="G321" s="26">
        <f t="shared" si="43"/>
        <v>12.7</v>
      </c>
      <c r="H321" s="375">
        <v>12.699</v>
      </c>
      <c r="I321" s="28" t="e">
        <f>IF(A321&lt;&gt;0,VLOOKUP(A321,#REF!,2,FALSE),"")</f>
        <v>#REF!</v>
      </c>
      <c r="K321" s="237"/>
    </row>
    <row r="322" spans="1:11" ht="45">
      <c r="A322" s="24">
        <v>88627</v>
      </c>
      <c r="B322" s="78" t="s">
        <v>1793</v>
      </c>
      <c r="C322" s="25" t="s">
        <v>12</v>
      </c>
      <c r="D322" s="25" t="s">
        <v>35</v>
      </c>
      <c r="E322" s="26">
        <v>6.0000000000000001E-3</v>
      </c>
      <c r="F322" s="26">
        <f t="shared" si="42"/>
        <v>414.29849999999999</v>
      </c>
      <c r="G322" s="26">
        <f t="shared" si="43"/>
        <v>2.4900000000000002</v>
      </c>
      <c r="H322" s="375">
        <v>414.29849999999999</v>
      </c>
      <c r="I322" s="28" t="e">
        <f>IF(A322&lt;&gt;0,VLOOKUP(A322,#REF!,2,FALSE),"")</f>
        <v>#REF!</v>
      </c>
      <c r="K322" s="237"/>
    </row>
    <row r="323" spans="1:11" s="28" customFormat="1">
      <c r="A323" s="24">
        <v>100716</v>
      </c>
      <c r="B323" s="78" t="s">
        <v>441</v>
      </c>
      <c r="C323" s="25" t="s">
        <v>12</v>
      </c>
      <c r="D323" s="25" t="s">
        <v>26</v>
      </c>
      <c r="E323" s="26">
        <v>1</v>
      </c>
      <c r="F323" s="26">
        <f t="shared" ref="F323:F324" si="44">H323</f>
        <v>20.587</v>
      </c>
      <c r="G323" s="26">
        <f t="shared" ref="G323:G324" si="45">ROUND(F323*E323,2)</f>
        <v>20.59</v>
      </c>
      <c r="H323" s="374">
        <v>20.587</v>
      </c>
      <c r="I323" s="28" t="e">
        <f>IF(A323&lt;&gt;0,VLOOKUP(A323,#REF!,2,FALSE),"")</f>
        <v>#REF!</v>
      </c>
      <c r="J323" s="374"/>
      <c r="K323" s="237"/>
    </row>
    <row r="324" spans="1:11">
      <c r="A324" s="24">
        <v>10498</v>
      </c>
      <c r="B324" s="78" t="e">
        <f>I324</f>
        <v>#REF!</v>
      </c>
      <c r="C324" s="25" t="s">
        <v>12</v>
      </c>
      <c r="D324" s="25" t="s">
        <v>45</v>
      </c>
      <c r="E324" s="26">
        <v>1.5</v>
      </c>
      <c r="F324" s="26">
        <f t="shared" si="44"/>
        <v>8.6445000000000007</v>
      </c>
      <c r="G324" s="26">
        <f t="shared" si="45"/>
        <v>12.97</v>
      </c>
      <c r="H324" s="375">
        <v>8.6445000000000007</v>
      </c>
      <c r="I324" s="28" t="e">
        <f>IF(A324&lt;&gt;0,VLOOKUP(A324,#REF!,2,FALSE),"")</f>
        <v>#REF!</v>
      </c>
      <c r="K324" s="237"/>
    </row>
    <row r="325" spans="1:11" ht="15" customHeight="1">
      <c r="A325" s="986" t="s">
        <v>1894</v>
      </c>
      <c r="B325" s="986"/>
      <c r="C325" s="986"/>
      <c r="D325" s="986"/>
      <c r="E325" s="986"/>
      <c r="F325" s="986"/>
      <c r="G325" s="79">
        <f>ROUND(SUM(G317:G324),2)</f>
        <v>462.65</v>
      </c>
      <c r="K325" s="237"/>
    </row>
    <row r="326" spans="1:11" ht="24" customHeight="1">
      <c r="A326" s="80"/>
      <c r="B326" s="80"/>
      <c r="C326" s="352"/>
      <c r="D326" s="353"/>
      <c r="E326" s="80"/>
      <c r="F326" s="80"/>
      <c r="G326" s="80"/>
      <c r="K326" s="237"/>
    </row>
    <row r="327" spans="1:11" ht="44.25" customHeight="1">
      <c r="A327" s="920" t="s">
        <v>2685</v>
      </c>
      <c r="B327" s="921"/>
      <c r="C327" s="921"/>
      <c r="D327" s="921"/>
      <c r="E327" s="929"/>
      <c r="F327" s="75" t="s">
        <v>1915</v>
      </c>
      <c r="G327" s="347"/>
      <c r="K327" s="237"/>
    </row>
    <row r="328" spans="1:11" ht="28.5">
      <c r="A328" s="77" t="s">
        <v>1917</v>
      </c>
      <c r="B328" s="347"/>
      <c r="C328" s="77" t="s">
        <v>3</v>
      </c>
      <c r="D328" s="77" t="s">
        <v>4</v>
      </c>
      <c r="E328" s="77" t="s">
        <v>1826</v>
      </c>
      <c r="F328" s="77" t="s">
        <v>367</v>
      </c>
      <c r="G328" s="77" t="s">
        <v>368</v>
      </c>
      <c r="K328" s="237"/>
    </row>
    <row r="329" spans="1:11" ht="60">
      <c r="A329" s="84">
        <v>4377</v>
      </c>
      <c r="B329" s="85" t="s">
        <v>442</v>
      </c>
      <c r="C329" s="86" t="s">
        <v>12</v>
      </c>
      <c r="D329" s="86" t="s">
        <v>17</v>
      </c>
      <c r="E329" s="81">
        <v>9.1999999999999993</v>
      </c>
      <c r="F329" s="26">
        <f t="shared" ref="F329" si="46">H329</f>
        <v>8.5000000000000006E-2</v>
      </c>
      <c r="G329" s="26">
        <f t="shared" ref="G329" si="47">ROUND(F329*E329,2)</f>
        <v>0.78</v>
      </c>
      <c r="H329" s="375">
        <v>8.5000000000000006E-2</v>
      </c>
      <c r="I329" s="28" t="e">
        <f>IF(A329&lt;&gt;0,VLOOKUP(A329,#REF!,2,FALSE),"")</f>
        <v>#REF!</v>
      </c>
      <c r="K329" s="237"/>
    </row>
    <row r="330" spans="1:11" ht="30">
      <c r="A330" s="84">
        <v>39961</v>
      </c>
      <c r="B330" s="85" t="s">
        <v>405</v>
      </c>
      <c r="C330" s="86" t="s">
        <v>12</v>
      </c>
      <c r="D330" s="86" t="s">
        <v>17</v>
      </c>
      <c r="E330" s="81">
        <v>0.62329999999999997</v>
      </c>
      <c r="F330" s="26">
        <f t="shared" ref="F330:F334" si="48">H330</f>
        <v>18.581</v>
      </c>
      <c r="G330" s="26">
        <f t="shared" ref="G330:G334" si="49">ROUND(F330*E330,2)</f>
        <v>11.58</v>
      </c>
      <c r="H330" s="375">
        <v>18.581</v>
      </c>
      <c r="I330" s="28" t="e">
        <f>IF(A330&lt;&gt;0,VLOOKUP(A330,#REF!,2,FALSE),"")</f>
        <v>#REF!</v>
      </c>
      <c r="K330" s="237"/>
    </row>
    <row r="331" spans="1:11" ht="45">
      <c r="A331" s="173">
        <v>599</v>
      </c>
      <c r="B331" s="174" t="s">
        <v>439</v>
      </c>
      <c r="C331" s="86" t="s">
        <v>12</v>
      </c>
      <c r="D331" s="86" t="s">
        <v>26</v>
      </c>
      <c r="E331" s="81">
        <v>1</v>
      </c>
      <c r="F331" s="26">
        <f t="shared" si="48"/>
        <v>383.16300000000001</v>
      </c>
      <c r="G331" s="26">
        <f t="shared" si="49"/>
        <v>383.16</v>
      </c>
      <c r="H331" s="375">
        <v>383.16300000000001</v>
      </c>
      <c r="I331" s="28" t="e">
        <f>IF(A331&lt;&gt;0,VLOOKUP(A331,#REF!,2,FALSE),"")</f>
        <v>#REF!</v>
      </c>
      <c r="K331" s="237"/>
    </row>
    <row r="332" spans="1:11" ht="30">
      <c r="A332" s="84">
        <v>88309</v>
      </c>
      <c r="B332" s="85" t="s">
        <v>390</v>
      </c>
      <c r="C332" s="86" t="s">
        <v>12</v>
      </c>
      <c r="D332" s="86" t="s">
        <v>19</v>
      </c>
      <c r="E332" s="81">
        <v>0.51900000000000002</v>
      </c>
      <c r="F332" s="26">
        <f t="shared" si="48"/>
        <v>15.121499999999999</v>
      </c>
      <c r="G332" s="26">
        <f t="shared" si="49"/>
        <v>7.85</v>
      </c>
      <c r="H332" s="375">
        <v>15.121499999999999</v>
      </c>
      <c r="I332" s="28" t="e">
        <f>IF(A332&lt;&gt;0,VLOOKUP(A332,#REF!,2,FALSE),"")</f>
        <v>#REF!</v>
      </c>
      <c r="K332" s="237"/>
    </row>
    <row r="333" spans="1:11" ht="30">
      <c r="A333" s="84">
        <v>88316</v>
      </c>
      <c r="B333" s="85" t="s">
        <v>377</v>
      </c>
      <c r="C333" s="86" t="s">
        <v>12</v>
      </c>
      <c r="D333" s="86" t="s">
        <v>19</v>
      </c>
      <c r="E333" s="81">
        <v>0.25900000000000001</v>
      </c>
      <c r="F333" s="26">
        <f t="shared" si="48"/>
        <v>11.798000000000002</v>
      </c>
      <c r="G333" s="26">
        <f t="shared" si="49"/>
        <v>3.06</v>
      </c>
      <c r="H333" s="375">
        <v>11.798000000000002</v>
      </c>
      <c r="I333" s="28" t="e">
        <f>IF(A333&lt;&gt;0,VLOOKUP(A333,#REF!,2,FALSE),"")</f>
        <v>#REF!</v>
      </c>
      <c r="K333" s="237"/>
    </row>
    <row r="334" spans="1:11">
      <c r="A334" s="24">
        <v>88325</v>
      </c>
      <c r="B334" s="78" t="e">
        <f>I334</f>
        <v>#REF!</v>
      </c>
      <c r="C334" s="25" t="s">
        <v>12</v>
      </c>
      <c r="D334" s="25" t="s">
        <v>19</v>
      </c>
      <c r="E334" s="26">
        <v>1</v>
      </c>
      <c r="F334" s="26">
        <f t="shared" si="48"/>
        <v>12.699</v>
      </c>
      <c r="G334" s="26">
        <f t="shared" si="49"/>
        <v>12.7</v>
      </c>
      <c r="H334" s="375">
        <v>12.699</v>
      </c>
      <c r="I334" s="28" t="e">
        <f>IF(A334&lt;&gt;0,VLOOKUP(A334,#REF!,2,FALSE),"")</f>
        <v>#REF!</v>
      </c>
      <c r="K334" s="237"/>
    </row>
    <row r="335" spans="1:11">
      <c r="A335" s="24">
        <v>10505</v>
      </c>
      <c r="B335" s="85" t="e">
        <f>I335</f>
        <v>#REF!</v>
      </c>
      <c r="C335" s="86" t="s">
        <v>12</v>
      </c>
      <c r="D335" s="86" t="s">
        <v>26</v>
      </c>
      <c r="E335" s="81">
        <v>1</v>
      </c>
      <c r="F335" s="26">
        <f t="shared" ref="F335:F336" si="50">H335</f>
        <v>194.76050000000001</v>
      </c>
      <c r="G335" s="26">
        <f t="shared" ref="G335:G336" si="51">ROUND(F335*E335,2)</f>
        <v>194.76</v>
      </c>
      <c r="H335" s="375">
        <v>194.76050000000001</v>
      </c>
      <c r="I335" s="28" t="e">
        <f>IF(A335&lt;&gt;0,VLOOKUP(A335,#REF!,2,FALSE),"")</f>
        <v>#REF!</v>
      </c>
      <c r="K335" s="237"/>
    </row>
    <row r="336" spans="1:11">
      <c r="A336" s="24">
        <v>10498</v>
      </c>
      <c r="B336" s="78" t="e">
        <f>I336</f>
        <v>#REF!</v>
      </c>
      <c r="C336" s="25" t="s">
        <v>12</v>
      </c>
      <c r="D336" s="25" t="s">
        <v>45</v>
      </c>
      <c r="E336" s="26">
        <v>1.5</v>
      </c>
      <c r="F336" s="26">
        <f t="shared" si="50"/>
        <v>8.6445000000000007</v>
      </c>
      <c r="G336" s="26">
        <f t="shared" si="51"/>
        <v>12.97</v>
      </c>
      <c r="H336" s="375">
        <v>8.6445000000000007</v>
      </c>
      <c r="I336" s="28" t="e">
        <f>IF(A336&lt;&gt;0,VLOOKUP(A336,#REF!,2,FALSE),"")</f>
        <v>#REF!</v>
      </c>
      <c r="K336" s="237"/>
    </row>
    <row r="337" spans="1:11" ht="15" customHeight="1">
      <c r="A337" s="917" t="s">
        <v>1894</v>
      </c>
      <c r="B337" s="918"/>
      <c r="C337" s="918"/>
      <c r="D337" s="918"/>
      <c r="E337" s="918"/>
      <c r="F337" s="926"/>
      <c r="G337" s="79">
        <f>ROUND(SUM(G329:G336),2)</f>
        <v>626.86</v>
      </c>
      <c r="I337" s="28"/>
      <c r="K337" s="237"/>
    </row>
    <row r="338" spans="1:11" ht="35.25" customHeight="1">
      <c r="A338" s="80"/>
      <c r="B338" s="80"/>
      <c r="C338" s="352"/>
      <c r="D338" s="353"/>
      <c r="E338" s="80"/>
      <c r="F338" s="80"/>
      <c r="G338" s="80"/>
      <c r="K338" s="237"/>
    </row>
    <row r="339" spans="1:11" ht="48" customHeight="1">
      <c r="A339" s="920" t="s">
        <v>2069</v>
      </c>
      <c r="B339" s="921"/>
      <c r="C339" s="921"/>
      <c r="D339" s="921"/>
      <c r="E339" s="929"/>
      <c r="F339" s="75" t="s">
        <v>1915</v>
      </c>
      <c r="G339" s="347"/>
      <c r="K339" s="237"/>
    </row>
    <row r="340" spans="1:11" ht="28.5">
      <c r="A340" s="77" t="s">
        <v>1917</v>
      </c>
      <c r="B340" s="347"/>
      <c r="C340" s="77" t="s">
        <v>3</v>
      </c>
      <c r="D340" s="77" t="s">
        <v>4</v>
      </c>
      <c r="E340" s="77" t="s">
        <v>1826</v>
      </c>
      <c r="F340" s="77" t="s">
        <v>367</v>
      </c>
      <c r="G340" s="77" t="s">
        <v>368</v>
      </c>
      <c r="K340" s="237"/>
    </row>
    <row r="341" spans="1:11" ht="60">
      <c r="A341" s="84">
        <v>4377</v>
      </c>
      <c r="B341" s="85" t="s">
        <v>442</v>
      </c>
      <c r="C341" s="86" t="s">
        <v>12</v>
      </c>
      <c r="D341" s="86" t="s">
        <v>17</v>
      </c>
      <c r="E341" s="81">
        <v>9.1999999999999993</v>
      </c>
      <c r="F341" s="26">
        <f t="shared" ref="F341" si="52">H341</f>
        <v>8.5000000000000006E-2</v>
      </c>
      <c r="G341" s="26">
        <f t="shared" ref="G341" si="53">ROUND(F341*E341,2)</f>
        <v>0.78</v>
      </c>
      <c r="H341" s="375">
        <v>8.5000000000000006E-2</v>
      </c>
      <c r="I341" s="28" t="e">
        <f>IF(A341&lt;&gt;0,VLOOKUP(A341,#REF!,2,FALSE),"")</f>
        <v>#REF!</v>
      </c>
      <c r="K341" s="237"/>
    </row>
    <row r="342" spans="1:11" ht="30">
      <c r="A342" s="84">
        <v>39961</v>
      </c>
      <c r="B342" s="85" t="s">
        <v>405</v>
      </c>
      <c r="C342" s="86" t="s">
        <v>12</v>
      </c>
      <c r="D342" s="86" t="s">
        <v>17</v>
      </c>
      <c r="E342" s="81">
        <v>0.62329999999999997</v>
      </c>
      <c r="F342" s="26">
        <f t="shared" ref="F342:F348" si="54">H342</f>
        <v>18.581</v>
      </c>
      <c r="G342" s="26">
        <f t="shared" ref="G342:G348" si="55">ROUND(F342*E342,2)</f>
        <v>11.58</v>
      </c>
      <c r="H342" s="375">
        <v>18.581</v>
      </c>
      <c r="I342" s="28" t="e">
        <f>IF(A342&lt;&gt;0,VLOOKUP(A342,#REF!,2,FALSE),"")</f>
        <v>#REF!</v>
      </c>
      <c r="K342" s="237"/>
    </row>
    <row r="343" spans="1:11" ht="45">
      <c r="A343" s="84">
        <v>599</v>
      </c>
      <c r="B343" s="85" t="s">
        <v>439</v>
      </c>
      <c r="C343" s="86" t="s">
        <v>12</v>
      </c>
      <c r="D343" s="86" t="s">
        <v>26</v>
      </c>
      <c r="E343" s="81">
        <v>1</v>
      </c>
      <c r="F343" s="26">
        <f t="shared" si="54"/>
        <v>383.16300000000001</v>
      </c>
      <c r="G343" s="26">
        <f t="shared" si="55"/>
        <v>383.16</v>
      </c>
      <c r="H343" s="375">
        <v>383.16300000000001</v>
      </c>
      <c r="I343" s="28" t="e">
        <f>IF(A343&lt;&gt;0,VLOOKUP(A343,#REF!,2,FALSE),"")</f>
        <v>#REF!</v>
      </c>
      <c r="K343" s="237"/>
    </row>
    <row r="344" spans="1:11" ht="30">
      <c r="A344" s="84">
        <v>88309</v>
      </c>
      <c r="B344" s="85" t="s">
        <v>390</v>
      </c>
      <c r="C344" s="86" t="s">
        <v>12</v>
      </c>
      <c r="D344" s="86" t="s">
        <v>19</v>
      </c>
      <c r="E344" s="81">
        <v>0.51900000000000002</v>
      </c>
      <c r="F344" s="26">
        <f t="shared" si="54"/>
        <v>15.121499999999999</v>
      </c>
      <c r="G344" s="26">
        <f t="shared" si="55"/>
        <v>7.85</v>
      </c>
      <c r="H344" s="375">
        <v>15.121499999999999</v>
      </c>
      <c r="I344" s="28" t="e">
        <f>IF(A344&lt;&gt;0,VLOOKUP(A344,#REF!,2,FALSE),"")</f>
        <v>#REF!</v>
      </c>
      <c r="K344" s="237"/>
    </row>
    <row r="345" spans="1:11" ht="30">
      <c r="A345" s="84">
        <v>88316</v>
      </c>
      <c r="B345" s="85" t="s">
        <v>377</v>
      </c>
      <c r="C345" s="86" t="s">
        <v>12</v>
      </c>
      <c r="D345" s="86" t="s">
        <v>19</v>
      </c>
      <c r="E345" s="81">
        <v>0.25900000000000001</v>
      </c>
      <c r="F345" s="26">
        <f t="shared" si="54"/>
        <v>11.798000000000002</v>
      </c>
      <c r="G345" s="26">
        <f t="shared" si="55"/>
        <v>3.06</v>
      </c>
      <c r="H345" s="375">
        <v>11.798000000000002</v>
      </c>
      <c r="I345" s="28" t="e">
        <f>IF(A345&lt;&gt;0,VLOOKUP(A345,#REF!,2,FALSE),"")</f>
        <v>#REF!</v>
      </c>
      <c r="K345" s="237"/>
    </row>
    <row r="346" spans="1:11">
      <c r="A346" s="24">
        <v>88325</v>
      </c>
      <c r="B346" s="78" t="e">
        <f>I346</f>
        <v>#REF!</v>
      </c>
      <c r="C346" s="25" t="s">
        <v>12</v>
      </c>
      <c r="D346" s="25" t="s">
        <v>19</v>
      </c>
      <c r="E346" s="26">
        <v>1</v>
      </c>
      <c r="F346" s="26">
        <f t="shared" si="54"/>
        <v>12.699</v>
      </c>
      <c r="G346" s="26">
        <f t="shared" si="55"/>
        <v>12.7</v>
      </c>
      <c r="H346" s="375">
        <v>12.699</v>
      </c>
      <c r="I346" s="28" t="e">
        <f>IF(A346&lt;&gt;0,VLOOKUP(A346,#REF!,2,FALSE),"")</f>
        <v>#REF!</v>
      </c>
      <c r="K346" s="237"/>
    </row>
    <row r="347" spans="1:11">
      <c r="A347" s="24">
        <v>10506</v>
      </c>
      <c r="B347" s="78" t="e">
        <f>I347</f>
        <v>#REF!</v>
      </c>
      <c r="C347" s="25" t="s">
        <v>12</v>
      </c>
      <c r="D347" s="25" t="s">
        <v>26</v>
      </c>
      <c r="E347" s="26">
        <v>1</v>
      </c>
      <c r="F347" s="26">
        <f t="shared" si="54"/>
        <v>254.24350000000001</v>
      </c>
      <c r="G347" s="26">
        <f t="shared" si="55"/>
        <v>254.24</v>
      </c>
      <c r="H347" s="375">
        <v>254.24350000000001</v>
      </c>
      <c r="I347" s="28" t="e">
        <f>IF(A347&lt;&gt;0,VLOOKUP(A347,#REF!,2,FALSE),"")</f>
        <v>#REF!</v>
      </c>
      <c r="K347" s="237"/>
    </row>
    <row r="348" spans="1:11">
      <c r="A348" s="24">
        <v>10498</v>
      </c>
      <c r="B348" s="78" t="e">
        <f>I348</f>
        <v>#REF!</v>
      </c>
      <c r="C348" s="25" t="s">
        <v>12</v>
      </c>
      <c r="D348" s="25" t="s">
        <v>45</v>
      </c>
      <c r="E348" s="26">
        <v>1.5</v>
      </c>
      <c r="F348" s="26">
        <f t="shared" si="54"/>
        <v>8.6445000000000007</v>
      </c>
      <c r="G348" s="26">
        <f t="shared" si="55"/>
        <v>12.97</v>
      </c>
      <c r="H348" s="375">
        <v>8.6445000000000007</v>
      </c>
      <c r="I348" s="28" t="e">
        <f>IF(A348&lt;&gt;0,VLOOKUP(A348,#REF!,2,FALSE),"")</f>
        <v>#REF!</v>
      </c>
      <c r="K348" s="237"/>
    </row>
    <row r="349" spans="1:11" ht="15" customHeight="1">
      <c r="A349" s="986" t="s">
        <v>1894</v>
      </c>
      <c r="B349" s="986"/>
      <c r="C349" s="986"/>
      <c r="D349" s="986"/>
      <c r="E349" s="986"/>
      <c r="F349" s="986"/>
      <c r="G349" s="79">
        <f>ROUND(SUM(G341:G348),2)</f>
        <v>686.34</v>
      </c>
      <c r="K349" s="237"/>
    </row>
    <row r="350" spans="1:11" ht="26.25" customHeight="1">
      <c r="A350" s="80"/>
      <c r="B350" s="80"/>
      <c r="C350" s="352"/>
      <c r="D350" s="353"/>
      <c r="E350" s="80"/>
      <c r="F350" s="80"/>
      <c r="G350" s="80"/>
      <c r="K350" s="237"/>
    </row>
    <row r="351" spans="1:11" s="28" customFormat="1" ht="32.25" customHeight="1">
      <c r="A351" s="920" t="s">
        <v>3417</v>
      </c>
      <c r="B351" s="921"/>
      <c r="C351" s="921"/>
      <c r="D351" s="921"/>
      <c r="E351" s="929"/>
      <c r="F351" s="75" t="s">
        <v>44</v>
      </c>
      <c r="G351" s="82">
        <v>11347</v>
      </c>
      <c r="H351" s="374"/>
      <c r="J351" s="374"/>
      <c r="K351" s="237"/>
    </row>
    <row r="352" spans="1:11" ht="28.5">
      <c r="A352" s="77" t="s">
        <v>1917</v>
      </c>
      <c r="B352" s="347"/>
      <c r="C352" s="77" t="s">
        <v>3</v>
      </c>
      <c r="D352" s="77" t="s">
        <v>4</v>
      </c>
      <c r="E352" s="77" t="s">
        <v>1826</v>
      </c>
      <c r="F352" s="77" t="s">
        <v>367</v>
      </c>
      <c r="G352" s="77" t="s">
        <v>368</v>
      </c>
      <c r="K352" s="237"/>
    </row>
    <row r="353" spans="1:11" ht="30">
      <c r="A353" s="24">
        <v>12207</v>
      </c>
      <c r="B353" s="78" t="s">
        <v>3082</v>
      </c>
      <c r="C353" s="25" t="s">
        <v>44</v>
      </c>
      <c r="D353" s="25" t="s">
        <v>26</v>
      </c>
      <c r="E353" s="26">
        <v>1</v>
      </c>
      <c r="F353" s="26">
        <f t="shared" ref="F353" si="56">H353</f>
        <v>1062.5</v>
      </c>
      <c r="G353" s="26">
        <f t="shared" ref="G353" si="57">ROUND(F353*E353,2)</f>
        <v>1062.5</v>
      </c>
      <c r="H353" s="375">
        <v>1062.5</v>
      </c>
      <c r="I353" s="28" t="e">
        <f>IF(A353&lt;&gt;0,VLOOKUP(A353,#REF!,2,FALSE),"")</f>
        <v>#REF!</v>
      </c>
      <c r="K353" s="237"/>
    </row>
    <row r="354" spans="1:11" ht="15" customHeight="1">
      <c r="A354" s="986" t="s">
        <v>1894</v>
      </c>
      <c r="B354" s="986"/>
      <c r="C354" s="986"/>
      <c r="D354" s="986"/>
      <c r="E354" s="986"/>
      <c r="F354" s="986"/>
      <c r="G354" s="79">
        <f>ROUND(SUM(G353:G353),2)</f>
        <v>1062.5</v>
      </c>
      <c r="K354" s="237"/>
    </row>
    <row r="355" spans="1:11">
      <c r="A355" s="80"/>
      <c r="B355" s="80"/>
      <c r="C355" s="352"/>
      <c r="D355" s="353"/>
      <c r="E355" s="80"/>
      <c r="F355" s="80"/>
      <c r="G355" s="80"/>
      <c r="K355" s="237"/>
    </row>
    <row r="356" spans="1:11" ht="55.5" customHeight="1">
      <c r="A356" s="920" t="s">
        <v>2071</v>
      </c>
      <c r="B356" s="921"/>
      <c r="C356" s="921"/>
      <c r="D356" s="921"/>
      <c r="E356" s="922"/>
      <c r="F356" s="75" t="s">
        <v>1915</v>
      </c>
      <c r="G356" s="347"/>
      <c r="K356" s="237"/>
    </row>
    <row r="357" spans="1:11" ht="28.5">
      <c r="A357" s="77" t="s">
        <v>1917</v>
      </c>
      <c r="B357" s="347"/>
      <c r="C357" s="77" t="s">
        <v>3</v>
      </c>
      <c r="D357" s="77" t="s">
        <v>4</v>
      </c>
      <c r="E357" s="77" t="s">
        <v>1826</v>
      </c>
      <c r="F357" s="77" t="s">
        <v>367</v>
      </c>
      <c r="G357" s="77" t="s">
        <v>368</v>
      </c>
      <c r="K357" s="237"/>
    </row>
    <row r="358" spans="1:11" ht="30">
      <c r="A358" s="84">
        <v>43132</v>
      </c>
      <c r="B358" s="85" t="s">
        <v>385</v>
      </c>
      <c r="C358" s="86" t="s">
        <v>12</v>
      </c>
      <c r="D358" s="86" t="s">
        <v>45</v>
      </c>
      <c r="E358" s="81">
        <v>0.02</v>
      </c>
      <c r="F358" s="26">
        <f t="shared" ref="F358" si="58">H358</f>
        <v>17.8415</v>
      </c>
      <c r="G358" s="26">
        <f t="shared" ref="G358" si="59">ROUND(F358*E358,2)</f>
        <v>0.36</v>
      </c>
      <c r="H358" s="375">
        <v>17.8415</v>
      </c>
      <c r="I358" s="28" t="e">
        <f>IF(A358&lt;&gt;0,VLOOKUP(A358,#REF!,2,FALSE),"")</f>
        <v>#REF!</v>
      </c>
      <c r="K358" s="237"/>
    </row>
    <row r="359" spans="1:11" ht="45">
      <c r="A359" s="84">
        <v>1346</v>
      </c>
      <c r="B359" s="85" t="s">
        <v>451</v>
      </c>
      <c r="C359" s="86" t="s">
        <v>12</v>
      </c>
      <c r="D359" s="86" t="s">
        <v>26</v>
      </c>
      <c r="E359" s="81">
        <v>0.2</v>
      </c>
      <c r="F359" s="26">
        <f t="shared" ref="F359:F366" si="60">H359</f>
        <v>34.688500000000005</v>
      </c>
      <c r="G359" s="26">
        <f t="shared" ref="G359:G366" si="61">ROUND(F359*E359,2)</f>
        <v>6.94</v>
      </c>
      <c r="H359" s="375">
        <v>34.688500000000005</v>
      </c>
      <c r="I359" s="28" t="e">
        <f>IF(A359&lt;&gt;0,VLOOKUP(A359,#REF!,2,FALSE),"")</f>
        <v>#REF!</v>
      </c>
      <c r="K359" s="237"/>
    </row>
    <row r="360" spans="1:11" ht="30">
      <c r="A360" s="84">
        <v>5075</v>
      </c>
      <c r="B360" s="85" t="s">
        <v>375</v>
      </c>
      <c r="C360" s="86" t="s">
        <v>12</v>
      </c>
      <c r="D360" s="86" t="s">
        <v>45</v>
      </c>
      <c r="E360" s="81">
        <v>0.02</v>
      </c>
      <c r="F360" s="26">
        <f t="shared" si="60"/>
        <v>15.997</v>
      </c>
      <c r="G360" s="26">
        <f t="shared" si="61"/>
        <v>0.32</v>
      </c>
      <c r="H360" s="375">
        <v>15.997</v>
      </c>
      <c r="I360" s="28" t="e">
        <f>IF(A360&lt;&gt;0,VLOOKUP(A360,#REF!,2,FALSE),"")</f>
        <v>#REF!</v>
      </c>
      <c r="K360" s="237"/>
    </row>
    <row r="361" spans="1:11" ht="30">
      <c r="A361" s="84">
        <v>6189</v>
      </c>
      <c r="B361" s="85" t="s">
        <v>387</v>
      </c>
      <c r="C361" s="86" t="s">
        <v>12</v>
      </c>
      <c r="D361" s="86" t="s">
        <v>52</v>
      </c>
      <c r="E361" s="81">
        <v>0.13</v>
      </c>
      <c r="F361" s="26">
        <f t="shared" si="60"/>
        <v>17.527000000000001</v>
      </c>
      <c r="G361" s="26">
        <f t="shared" si="61"/>
        <v>2.2799999999999998</v>
      </c>
      <c r="H361" s="375">
        <v>17.527000000000001</v>
      </c>
      <c r="I361" s="28" t="e">
        <f>IF(A361&lt;&gt;0,VLOOKUP(A361,#REF!,2,FALSE),"")</f>
        <v>#REF!</v>
      </c>
      <c r="K361" s="237"/>
    </row>
    <row r="362" spans="1:11" ht="30">
      <c r="A362" s="84">
        <v>10567</v>
      </c>
      <c r="B362" s="85" t="s">
        <v>452</v>
      </c>
      <c r="C362" s="86" t="s">
        <v>12</v>
      </c>
      <c r="D362" s="86" t="s">
        <v>52</v>
      </c>
      <c r="E362" s="81">
        <v>0.18</v>
      </c>
      <c r="F362" s="26">
        <f t="shared" si="60"/>
        <v>6.1795</v>
      </c>
      <c r="G362" s="26">
        <f t="shared" si="61"/>
        <v>1.1100000000000001</v>
      </c>
      <c r="H362" s="375">
        <v>6.1795</v>
      </c>
      <c r="I362" s="28" t="e">
        <f>IF(A362&lt;&gt;0,VLOOKUP(A362,#REF!,2,FALSE),"")</f>
        <v>#REF!</v>
      </c>
      <c r="K362" s="237"/>
    </row>
    <row r="363" spans="1:11" ht="30">
      <c r="A363" s="84">
        <v>88262</v>
      </c>
      <c r="B363" s="85" t="s">
        <v>376</v>
      </c>
      <c r="C363" s="86" t="s">
        <v>12</v>
      </c>
      <c r="D363" s="86" t="s">
        <v>19</v>
      </c>
      <c r="E363" s="81">
        <v>0.13</v>
      </c>
      <c r="F363" s="26">
        <f t="shared" si="60"/>
        <v>14.96</v>
      </c>
      <c r="G363" s="26">
        <f t="shared" si="61"/>
        <v>1.94</v>
      </c>
      <c r="H363" s="375">
        <v>14.96</v>
      </c>
      <c r="I363" s="28" t="e">
        <f>IF(A363&lt;&gt;0,VLOOKUP(A363,#REF!,2,FALSE),"")</f>
        <v>#REF!</v>
      </c>
      <c r="K363" s="237"/>
    </row>
    <row r="364" spans="1:11" ht="30">
      <c r="A364" s="84">
        <v>88309</v>
      </c>
      <c r="B364" s="85" t="s">
        <v>390</v>
      </c>
      <c r="C364" s="86" t="s">
        <v>12</v>
      </c>
      <c r="D364" s="86" t="s">
        <v>19</v>
      </c>
      <c r="E364" s="81">
        <v>0.3</v>
      </c>
      <c r="F364" s="26">
        <f t="shared" si="60"/>
        <v>15.121499999999999</v>
      </c>
      <c r="G364" s="26">
        <f t="shared" si="61"/>
        <v>4.54</v>
      </c>
      <c r="H364" s="375">
        <v>15.121499999999999</v>
      </c>
      <c r="I364" s="28" t="e">
        <f>IF(A364&lt;&gt;0,VLOOKUP(A364,#REF!,2,FALSE),"")</f>
        <v>#REF!</v>
      </c>
      <c r="K364" s="237"/>
    </row>
    <row r="365" spans="1:11" ht="30">
      <c r="A365" s="84">
        <v>88316</v>
      </c>
      <c r="B365" s="85" t="s">
        <v>377</v>
      </c>
      <c r="C365" s="86" t="s">
        <v>12</v>
      </c>
      <c r="D365" s="86" t="s">
        <v>19</v>
      </c>
      <c r="E365" s="81">
        <v>0.45</v>
      </c>
      <c r="F365" s="26">
        <f t="shared" si="60"/>
        <v>11.798000000000002</v>
      </c>
      <c r="G365" s="26">
        <f t="shared" si="61"/>
        <v>5.31</v>
      </c>
      <c r="H365" s="375">
        <v>11.798000000000002</v>
      </c>
      <c r="I365" s="28" t="e">
        <f>IF(A365&lt;&gt;0,VLOOKUP(A365,#REF!,2,FALSE),"")</f>
        <v>#REF!</v>
      </c>
      <c r="K365" s="237"/>
    </row>
    <row r="366" spans="1:11" ht="45">
      <c r="A366" s="84">
        <v>94969</v>
      </c>
      <c r="B366" s="85" t="s">
        <v>1795</v>
      </c>
      <c r="C366" s="86" t="s">
        <v>12</v>
      </c>
      <c r="D366" s="86" t="s">
        <v>35</v>
      </c>
      <c r="E366" s="81">
        <v>1.4E-2</v>
      </c>
      <c r="F366" s="26">
        <f t="shared" si="60"/>
        <v>291.31200000000001</v>
      </c>
      <c r="G366" s="26">
        <f t="shared" si="61"/>
        <v>4.08</v>
      </c>
      <c r="H366" s="375">
        <v>291.31200000000001</v>
      </c>
      <c r="I366" s="28" t="e">
        <f>IF(A366&lt;&gt;0,VLOOKUP(A366,#REF!,2,FALSE),"")</f>
        <v>#REF!</v>
      </c>
      <c r="K366" s="237"/>
    </row>
    <row r="367" spans="1:11" ht="15" customHeight="1">
      <c r="A367" s="986" t="s">
        <v>1894</v>
      </c>
      <c r="B367" s="986"/>
      <c r="C367" s="986"/>
      <c r="D367" s="986"/>
      <c r="E367" s="986"/>
      <c r="F367" s="986"/>
      <c r="G367" s="79">
        <f>ROUND(SUM(G358:G366),2)</f>
        <v>26.88</v>
      </c>
      <c r="K367" s="237"/>
    </row>
    <row r="368" spans="1:11" ht="21.75" customHeight="1">
      <c r="A368" s="80"/>
      <c r="B368" s="80"/>
      <c r="C368" s="352"/>
      <c r="D368" s="353"/>
      <c r="E368" s="80"/>
      <c r="F368" s="80"/>
      <c r="G368" s="80"/>
      <c r="K368" s="237"/>
    </row>
    <row r="369" spans="1:11" ht="25.5" customHeight="1">
      <c r="A369" s="920" t="s">
        <v>2072</v>
      </c>
      <c r="B369" s="921"/>
      <c r="C369" s="921"/>
      <c r="D369" s="921"/>
      <c r="E369" s="929"/>
      <c r="F369" s="75" t="s">
        <v>1915</v>
      </c>
      <c r="G369" s="347"/>
      <c r="K369" s="237"/>
    </row>
    <row r="370" spans="1:11" ht="28.5">
      <c r="A370" s="77" t="s">
        <v>1917</v>
      </c>
      <c r="B370" s="347"/>
      <c r="C370" s="77" t="s">
        <v>3</v>
      </c>
      <c r="D370" s="77" t="s">
        <v>4</v>
      </c>
      <c r="E370" s="77" t="s">
        <v>1826</v>
      </c>
      <c r="F370" s="77" t="s">
        <v>367</v>
      </c>
      <c r="G370" s="77" t="s">
        <v>368</v>
      </c>
      <c r="K370" s="237"/>
    </row>
    <row r="371" spans="1:11" ht="30">
      <c r="A371" s="84">
        <v>370</v>
      </c>
      <c r="B371" s="85" t="s">
        <v>396</v>
      </c>
      <c r="C371" s="86" t="s">
        <v>12</v>
      </c>
      <c r="D371" s="86" t="s">
        <v>35</v>
      </c>
      <c r="E371" s="81">
        <v>1E-3</v>
      </c>
      <c r="F371" s="26">
        <f t="shared" ref="F371" si="62">H371</f>
        <v>42.5</v>
      </c>
      <c r="G371" s="26">
        <f t="shared" ref="G371" si="63">ROUND(F371*E371,2)</f>
        <v>0.04</v>
      </c>
      <c r="H371" s="375">
        <v>42.5</v>
      </c>
      <c r="I371" s="28" t="e">
        <f>IF(A371&lt;&gt;0,VLOOKUP(A371,#REF!,2,FALSE),"")</f>
        <v>#REF!</v>
      </c>
      <c r="K371" s="237"/>
    </row>
    <row r="372" spans="1:11">
      <c r="A372" s="84">
        <v>1379</v>
      </c>
      <c r="B372" s="85" t="s">
        <v>397</v>
      </c>
      <c r="C372" s="86" t="s">
        <v>12</v>
      </c>
      <c r="D372" s="86" t="s">
        <v>45</v>
      </c>
      <c r="E372" s="81">
        <v>0.35</v>
      </c>
      <c r="F372" s="26">
        <f t="shared" ref="F372:F375" si="64">H372</f>
        <v>0.60349999999999993</v>
      </c>
      <c r="G372" s="26">
        <f t="shared" ref="G372:G375" si="65">ROUND(F372*E372,2)</f>
        <v>0.21</v>
      </c>
      <c r="H372" s="375">
        <v>0.60349999999999993</v>
      </c>
      <c r="I372" s="28" t="e">
        <f>IF(A372&lt;&gt;0,VLOOKUP(A372,#REF!,2,FALSE),"")</f>
        <v>#REF!</v>
      </c>
      <c r="K372" s="237"/>
    </row>
    <row r="373" spans="1:11" ht="45">
      <c r="A373" s="84">
        <v>10542</v>
      </c>
      <c r="B373" s="85" t="s">
        <v>453</v>
      </c>
      <c r="C373" s="86" t="s">
        <v>12</v>
      </c>
      <c r="D373" s="86" t="s">
        <v>52</v>
      </c>
      <c r="E373" s="81">
        <v>1.05</v>
      </c>
      <c r="F373" s="26">
        <f t="shared" si="64"/>
        <v>20.366</v>
      </c>
      <c r="G373" s="26">
        <f t="shared" si="65"/>
        <v>21.38</v>
      </c>
      <c r="H373" s="375">
        <v>20.366</v>
      </c>
      <c r="I373" s="28" t="e">
        <f>IF(A373&lt;&gt;0,VLOOKUP(A373,#REF!,2,FALSE),"")</f>
        <v>#REF!</v>
      </c>
      <c r="K373" s="237"/>
    </row>
    <row r="374" spans="1:11" ht="30">
      <c r="A374" s="84">
        <v>88309</v>
      </c>
      <c r="B374" s="85" t="s">
        <v>390</v>
      </c>
      <c r="C374" s="86" t="s">
        <v>12</v>
      </c>
      <c r="D374" s="86" t="s">
        <v>19</v>
      </c>
      <c r="E374" s="81">
        <v>0.2</v>
      </c>
      <c r="F374" s="26">
        <f t="shared" si="64"/>
        <v>15.121499999999999</v>
      </c>
      <c r="G374" s="26">
        <f t="shared" si="65"/>
        <v>3.02</v>
      </c>
      <c r="H374" s="375">
        <v>15.121499999999999</v>
      </c>
      <c r="I374" s="28" t="e">
        <f>IF(A374&lt;&gt;0,VLOOKUP(A374,#REF!,2,FALSE),"")</f>
        <v>#REF!</v>
      </c>
      <c r="K374" s="237"/>
    </row>
    <row r="375" spans="1:11" ht="30">
      <c r="A375" s="84">
        <v>88316</v>
      </c>
      <c r="B375" s="85" t="s">
        <v>377</v>
      </c>
      <c r="C375" s="86" t="s">
        <v>12</v>
      </c>
      <c r="D375" s="86" t="s">
        <v>19</v>
      </c>
      <c r="E375" s="81">
        <v>0.4</v>
      </c>
      <c r="F375" s="26">
        <f t="shared" si="64"/>
        <v>11.798000000000002</v>
      </c>
      <c r="G375" s="26">
        <f t="shared" si="65"/>
        <v>4.72</v>
      </c>
      <c r="H375" s="375">
        <v>11.798000000000002</v>
      </c>
      <c r="I375" s="28" t="e">
        <f>IF(A375&lt;&gt;0,VLOOKUP(A375,#REF!,2,FALSE),"")</f>
        <v>#REF!</v>
      </c>
      <c r="K375" s="237"/>
    </row>
    <row r="376" spans="1:11" ht="15" customHeight="1">
      <c r="A376" s="986" t="s">
        <v>1894</v>
      </c>
      <c r="B376" s="986"/>
      <c r="C376" s="986"/>
      <c r="D376" s="986"/>
      <c r="E376" s="986"/>
      <c r="F376" s="986"/>
      <c r="G376" s="79">
        <f>ROUND(SUM(G371:G375),2)</f>
        <v>29.37</v>
      </c>
      <c r="K376" s="237"/>
    </row>
    <row r="377" spans="1:11" ht="21" customHeight="1">
      <c r="A377" s="80"/>
      <c r="B377" s="80"/>
      <c r="C377" s="352"/>
      <c r="D377" s="353"/>
      <c r="E377" s="80"/>
      <c r="F377" s="80"/>
      <c r="G377" s="80"/>
      <c r="K377" s="237"/>
    </row>
    <row r="378" spans="1:11" ht="23.25" customHeight="1">
      <c r="A378" s="920" t="s">
        <v>2074</v>
      </c>
      <c r="B378" s="921"/>
      <c r="C378" s="921"/>
      <c r="D378" s="921"/>
      <c r="E378" s="929"/>
      <c r="F378" s="75" t="s">
        <v>1915</v>
      </c>
      <c r="G378" s="347"/>
      <c r="K378" s="237"/>
    </row>
    <row r="379" spans="1:11" ht="28.5">
      <c r="A379" s="77" t="s">
        <v>1917</v>
      </c>
      <c r="B379" s="347"/>
      <c r="C379" s="77" t="s">
        <v>3</v>
      </c>
      <c r="D379" s="77" t="s">
        <v>4</v>
      </c>
      <c r="E379" s="77" t="s">
        <v>1826</v>
      </c>
      <c r="F379" s="77" t="s">
        <v>367</v>
      </c>
      <c r="G379" s="77" t="s">
        <v>368</v>
      </c>
      <c r="K379" s="237"/>
    </row>
    <row r="380" spans="1:11" ht="30">
      <c r="A380" s="84">
        <v>370</v>
      </c>
      <c r="B380" s="85" t="s">
        <v>396</v>
      </c>
      <c r="C380" s="86" t="s">
        <v>12</v>
      </c>
      <c r="D380" s="86" t="s">
        <v>35</v>
      </c>
      <c r="E380" s="81">
        <v>3.0000000000000001E-3</v>
      </c>
      <c r="F380" s="26">
        <f t="shared" ref="F380" si="66">H380</f>
        <v>42.5</v>
      </c>
      <c r="G380" s="26">
        <f t="shared" ref="G380" si="67">ROUND(F380*E380,2)</f>
        <v>0.13</v>
      </c>
      <c r="H380" s="375">
        <v>42.5</v>
      </c>
      <c r="I380" s="28" t="e">
        <f>IF(A380&lt;&gt;0,VLOOKUP(A380,#REF!,2,FALSE),"")</f>
        <v>#REF!</v>
      </c>
      <c r="K380" s="237"/>
    </row>
    <row r="381" spans="1:11" ht="30">
      <c r="A381" s="84">
        <v>13284</v>
      </c>
      <c r="B381" s="85" t="s">
        <v>443</v>
      </c>
      <c r="C381" s="86" t="s">
        <v>12</v>
      </c>
      <c r="D381" s="86" t="s">
        <v>45</v>
      </c>
      <c r="E381" s="81">
        <v>2.76</v>
      </c>
      <c r="F381" s="26">
        <f t="shared" ref="F381:F385" si="68">H381</f>
        <v>0.60349999999999993</v>
      </c>
      <c r="G381" s="26">
        <f t="shared" ref="G381:G385" si="69">ROUND(F381*E381,2)</f>
        <v>1.67</v>
      </c>
      <c r="H381" s="375">
        <v>0.60349999999999993</v>
      </c>
      <c r="I381" s="28" t="e">
        <f>IF(A381&lt;&gt;0,VLOOKUP(A381,#REF!,2,FALSE),"")</f>
        <v>#REF!</v>
      </c>
      <c r="K381" s="237"/>
    </row>
    <row r="382" spans="1:11" ht="30">
      <c r="A382" s="84">
        <v>11047</v>
      </c>
      <c r="B382" s="85" t="s">
        <v>454</v>
      </c>
      <c r="C382" s="86" t="s">
        <v>12</v>
      </c>
      <c r="D382" s="86" t="s">
        <v>45</v>
      </c>
      <c r="E382" s="81">
        <v>0.56999999999999995</v>
      </c>
      <c r="F382" s="26">
        <f t="shared" si="68"/>
        <v>10.760999999999999</v>
      </c>
      <c r="G382" s="26">
        <f t="shared" si="69"/>
        <v>6.13</v>
      </c>
      <c r="H382" s="375">
        <v>10.760999999999999</v>
      </c>
      <c r="I382" s="28" t="e">
        <f>IF(A382&lt;&gt;0,VLOOKUP(A382,#REF!,2,FALSE),"")</f>
        <v>#REF!</v>
      </c>
      <c r="K382" s="237"/>
    </row>
    <row r="383" spans="1:11" ht="30">
      <c r="A383" s="84">
        <v>88309</v>
      </c>
      <c r="B383" s="85" t="s">
        <v>390</v>
      </c>
      <c r="C383" s="86" t="s">
        <v>12</v>
      </c>
      <c r="D383" s="86" t="s">
        <v>19</v>
      </c>
      <c r="E383" s="81">
        <v>1.34</v>
      </c>
      <c r="F383" s="26">
        <f t="shared" si="68"/>
        <v>15.121499999999999</v>
      </c>
      <c r="G383" s="26">
        <f t="shared" si="69"/>
        <v>20.260000000000002</v>
      </c>
      <c r="H383" s="375">
        <v>15.121499999999999</v>
      </c>
      <c r="I383" s="28" t="e">
        <f>IF(A383&lt;&gt;0,VLOOKUP(A383,#REF!,2,FALSE),"")</f>
        <v>#REF!</v>
      </c>
      <c r="K383" s="237"/>
    </row>
    <row r="384" spans="1:11" ht="30">
      <c r="A384" s="84">
        <v>88261</v>
      </c>
      <c r="B384" s="85" t="s">
        <v>435</v>
      </c>
      <c r="C384" s="86" t="s">
        <v>12</v>
      </c>
      <c r="D384" s="86" t="s">
        <v>19</v>
      </c>
      <c r="E384" s="81">
        <v>0.61899999999999999</v>
      </c>
      <c r="F384" s="26">
        <f t="shared" si="68"/>
        <v>14.314</v>
      </c>
      <c r="G384" s="26">
        <f t="shared" si="69"/>
        <v>8.86</v>
      </c>
      <c r="H384" s="375">
        <v>14.314</v>
      </c>
      <c r="I384" s="28" t="e">
        <f>IF(A384&lt;&gt;0,VLOOKUP(A384,#REF!,2,FALSE),"")</f>
        <v>#REF!</v>
      </c>
      <c r="K384" s="237"/>
    </row>
    <row r="385" spans="1:11" ht="30">
      <c r="A385" s="84">
        <v>88239</v>
      </c>
      <c r="B385" s="85" t="s">
        <v>393</v>
      </c>
      <c r="C385" s="86" t="s">
        <v>12</v>
      </c>
      <c r="D385" s="86" t="s">
        <v>19</v>
      </c>
      <c r="E385" s="81">
        <v>0.84499999999999997</v>
      </c>
      <c r="F385" s="26">
        <f t="shared" si="68"/>
        <v>12.622499999999999</v>
      </c>
      <c r="G385" s="26">
        <f t="shared" si="69"/>
        <v>10.67</v>
      </c>
      <c r="H385" s="375">
        <v>12.622499999999999</v>
      </c>
      <c r="I385" s="28" t="e">
        <f>IF(A385&lt;&gt;0,VLOOKUP(A385,#REF!,2,FALSE),"")</f>
        <v>#REF!</v>
      </c>
      <c r="K385" s="237"/>
    </row>
    <row r="386" spans="1:11" ht="15" customHeight="1">
      <c r="A386" s="986" t="s">
        <v>1894</v>
      </c>
      <c r="B386" s="986"/>
      <c r="C386" s="986"/>
      <c r="D386" s="986"/>
      <c r="E386" s="986"/>
      <c r="F386" s="986"/>
      <c r="G386" s="79">
        <f>ROUND(SUM(G380:G385),2)</f>
        <v>47.72</v>
      </c>
      <c r="K386" s="237"/>
    </row>
    <row r="387" spans="1:11" ht="28.5" customHeight="1">
      <c r="A387" s="80"/>
      <c r="B387" s="80"/>
      <c r="C387" s="352"/>
      <c r="D387" s="353"/>
      <c r="E387" s="80"/>
      <c r="F387" s="80"/>
      <c r="G387" s="80"/>
      <c r="K387" s="237"/>
    </row>
    <row r="388" spans="1:11" ht="62.25" customHeight="1">
      <c r="A388" s="920" t="s">
        <v>2077</v>
      </c>
      <c r="B388" s="921"/>
      <c r="C388" s="921"/>
      <c r="D388" s="921"/>
      <c r="E388" s="922"/>
      <c r="F388" s="87" t="s">
        <v>44</v>
      </c>
      <c r="G388" s="347"/>
      <c r="K388" s="237"/>
    </row>
    <row r="389" spans="1:11" ht="28.5">
      <c r="A389" s="77" t="s">
        <v>1917</v>
      </c>
      <c r="B389" s="347"/>
      <c r="C389" s="77" t="s">
        <v>3</v>
      </c>
      <c r="D389" s="77" t="s">
        <v>4</v>
      </c>
      <c r="E389" s="77" t="s">
        <v>1826</v>
      </c>
      <c r="F389" s="77" t="s">
        <v>367</v>
      </c>
      <c r="G389" s="77" t="s">
        <v>368</v>
      </c>
      <c r="K389" s="237"/>
    </row>
    <row r="390" spans="1:11" s="45" customFormat="1" ht="105">
      <c r="A390" s="24">
        <v>12737</v>
      </c>
      <c r="B390" s="78" t="s">
        <v>97</v>
      </c>
      <c r="C390" s="25" t="s">
        <v>44</v>
      </c>
      <c r="D390" s="25" t="s">
        <v>26</v>
      </c>
      <c r="E390" s="26">
        <v>1</v>
      </c>
      <c r="F390" s="26">
        <f t="shared" ref="F390" si="70">H390</f>
        <v>494.50450000000001</v>
      </c>
      <c r="G390" s="26">
        <f t="shared" ref="G390" si="71">ROUND(F390*E390,2)</f>
        <v>494.5</v>
      </c>
      <c r="H390" s="364">
        <v>494.50450000000001</v>
      </c>
      <c r="I390" s="45" t="e">
        <f>IF(A390&lt;&gt;0,VLOOKUP(A390,#REF!,2,FALSE),"")</f>
        <v>#REF!</v>
      </c>
      <c r="J390" s="364"/>
      <c r="K390" s="237"/>
    </row>
    <row r="391" spans="1:11" ht="15" customHeight="1">
      <c r="A391" s="986" t="s">
        <v>1894</v>
      </c>
      <c r="B391" s="986"/>
      <c r="C391" s="986"/>
      <c r="D391" s="986"/>
      <c r="E391" s="986"/>
      <c r="F391" s="986"/>
      <c r="G391" s="79">
        <f>ROUND(SUM(G390),2)</f>
        <v>494.5</v>
      </c>
      <c r="K391" s="237"/>
    </row>
    <row r="392" spans="1:11" ht="22.5" customHeight="1">
      <c r="A392" s="80"/>
      <c r="B392" s="80"/>
      <c r="C392" s="352"/>
      <c r="D392" s="353"/>
      <c r="E392" s="80"/>
      <c r="F392" s="80"/>
      <c r="G392" s="80"/>
      <c r="K392" s="237"/>
    </row>
    <row r="393" spans="1:11" ht="50.25" customHeight="1">
      <c r="A393" s="920" t="s">
        <v>2078</v>
      </c>
      <c r="B393" s="921"/>
      <c r="C393" s="921"/>
      <c r="D393" s="921"/>
      <c r="E393" s="922"/>
      <c r="F393" s="87" t="s">
        <v>44</v>
      </c>
      <c r="G393" s="347"/>
      <c r="K393" s="237"/>
    </row>
    <row r="394" spans="1:11" ht="28.5">
      <c r="A394" s="77" t="s">
        <v>1917</v>
      </c>
      <c r="B394" s="347"/>
      <c r="C394" s="77" t="s">
        <v>3</v>
      </c>
      <c r="D394" s="77" t="s">
        <v>4</v>
      </c>
      <c r="E394" s="77" t="s">
        <v>1826</v>
      </c>
      <c r="F394" s="77" t="s">
        <v>367</v>
      </c>
      <c r="G394" s="77" t="s">
        <v>368</v>
      </c>
      <c r="K394" s="237"/>
    </row>
    <row r="395" spans="1:11" s="45" customFormat="1" ht="75">
      <c r="A395" s="24">
        <v>10768</v>
      </c>
      <c r="B395" s="78" t="s">
        <v>102</v>
      </c>
      <c r="C395" s="25" t="s">
        <v>44</v>
      </c>
      <c r="D395" s="25" t="s">
        <v>26</v>
      </c>
      <c r="E395" s="26">
        <v>1</v>
      </c>
      <c r="F395" s="26">
        <f t="shared" ref="F395" si="72">H395</f>
        <v>567.35800000000006</v>
      </c>
      <c r="G395" s="26">
        <f t="shared" ref="G395" si="73">ROUND(F395*E395,2)</f>
        <v>567.36</v>
      </c>
      <c r="H395" s="364">
        <v>567.35800000000006</v>
      </c>
      <c r="I395" s="45" t="e">
        <f>IF(A395&lt;&gt;0,VLOOKUP(A395,#REF!,2,FALSE),"")</f>
        <v>#REF!</v>
      </c>
      <c r="J395" s="364"/>
      <c r="K395" s="237"/>
    </row>
    <row r="396" spans="1:11" ht="15" customHeight="1">
      <c r="A396" s="986" t="s">
        <v>1894</v>
      </c>
      <c r="B396" s="986"/>
      <c r="C396" s="986"/>
      <c r="D396" s="986"/>
      <c r="E396" s="986"/>
      <c r="F396" s="986"/>
      <c r="G396" s="79">
        <f>ROUND(SUM(G395),2)</f>
        <v>567.36</v>
      </c>
      <c r="K396" s="237"/>
    </row>
    <row r="397" spans="1:11" ht="23.25" customHeight="1">
      <c r="A397" s="80"/>
      <c r="B397" s="80"/>
      <c r="C397" s="352"/>
      <c r="D397" s="353"/>
      <c r="E397" s="80"/>
      <c r="F397" s="80"/>
      <c r="G397" s="80"/>
      <c r="K397" s="237"/>
    </row>
    <row r="398" spans="1:11" s="28" customFormat="1" ht="36" customHeight="1">
      <c r="A398" s="920" t="s">
        <v>2079</v>
      </c>
      <c r="B398" s="921"/>
      <c r="C398" s="921"/>
      <c r="D398" s="921"/>
      <c r="E398" s="929"/>
      <c r="F398" s="75" t="s">
        <v>70</v>
      </c>
      <c r="G398" s="347"/>
      <c r="H398" s="374"/>
      <c r="J398" s="374"/>
      <c r="K398" s="237"/>
    </row>
    <row r="399" spans="1:11" s="28" customFormat="1" ht="28.5">
      <c r="A399" s="77" t="s">
        <v>1917</v>
      </c>
      <c r="B399" s="347"/>
      <c r="C399" s="77" t="s">
        <v>3</v>
      </c>
      <c r="D399" s="77" t="s">
        <v>4</v>
      </c>
      <c r="E399" s="77" t="s">
        <v>1826</v>
      </c>
      <c r="F399" s="77" t="s">
        <v>367</v>
      </c>
      <c r="G399" s="77" t="s">
        <v>368</v>
      </c>
      <c r="H399" s="374"/>
      <c r="J399" s="374"/>
      <c r="K399" s="237"/>
    </row>
    <row r="400" spans="1:11" s="28" customFormat="1" ht="31.5" customHeight="1">
      <c r="A400" s="24">
        <v>536</v>
      </c>
      <c r="B400" s="78" t="s">
        <v>2080</v>
      </c>
      <c r="C400" s="25" t="s">
        <v>12</v>
      </c>
      <c r="D400" s="25" t="s">
        <v>26</v>
      </c>
      <c r="E400" s="26">
        <v>1.1000000000000001</v>
      </c>
      <c r="F400" s="26">
        <f t="shared" ref="F400" si="74">H400</f>
        <v>27.735500000000002</v>
      </c>
      <c r="G400" s="26">
        <f t="shared" ref="G400" si="75">ROUND(F400*E400,2)</f>
        <v>30.51</v>
      </c>
      <c r="H400" s="374">
        <v>27.735500000000002</v>
      </c>
      <c r="I400" s="28" t="e">
        <f>IF(A400&lt;&gt;0,VLOOKUP(A400,#REF!,2,FALSE),"")</f>
        <v>#REF!</v>
      </c>
      <c r="J400" s="374"/>
      <c r="K400" s="237"/>
    </row>
    <row r="401" spans="1:11">
      <c r="A401" s="24">
        <v>1381</v>
      </c>
      <c r="B401" s="78" t="e">
        <f>I401</f>
        <v>#REF!</v>
      </c>
      <c r="C401" s="25" t="s">
        <v>12</v>
      </c>
      <c r="D401" s="25" t="s">
        <v>45</v>
      </c>
      <c r="E401" s="26">
        <v>4</v>
      </c>
      <c r="F401" s="26">
        <f t="shared" ref="F401" si="76">H401</f>
        <v>0.48449999999999993</v>
      </c>
      <c r="G401" s="26">
        <f t="shared" ref="G401" si="77">ROUND(F401*E401,2)</f>
        <v>1.94</v>
      </c>
      <c r="H401" s="375">
        <v>0.48449999999999993</v>
      </c>
      <c r="I401" s="28" t="e">
        <f>IF(A401&lt;&gt;0,VLOOKUP(A401,#REF!,2,FALSE),"")</f>
        <v>#REF!</v>
      </c>
      <c r="K401" s="237"/>
    </row>
    <row r="402" spans="1:11" ht="30">
      <c r="A402" s="24">
        <v>88256</v>
      </c>
      <c r="B402" s="78" t="s">
        <v>455</v>
      </c>
      <c r="C402" s="25" t="s">
        <v>12</v>
      </c>
      <c r="D402" s="25" t="s">
        <v>19</v>
      </c>
      <c r="E402" s="26">
        <v>0.72</v>
      </c>
      <c r="F402" s="26">
        <f t="shared" ref="F402:F403" si="78">H402</f>
        <v>17.6205</v>
      </c>
      <c r="G402" s="26">
        <f t="shared" ref="G402:G403" si="79">ROUND(F402*E402,2)</f>
        <v>12.69</v>
      </c>
      <c r="H402" s="375">
        <v>17.6205</v>
      </c>
      <c r="I402" s="28" t="e">
        <f>IF(A402&lt;&gt;0,VLOOKUP(A402,#REF!,2,FALSE),"")</f>
        <v>#REF!</v>
      </c>
      <c r="K402" s="237"/>
    </row>
    <row r="403" spans="1:11" ht="30">
      <c r="A403" s="24">
        <v>88316</v>
      </c>
      <c r="B403" s="78" t="s">
        <v>377</v>
      </c>
      <c r="C403" s="25" t="s">
        <v>12</v>
      </c>
      <c r="D403" s="25" t="s">
        <v>19</v>
      </c>
      <c r="E403" s="26">
        <v>0.72</v>
      </c>
      <c r="F403" s="26">
        <f t="shared" si="78"/>
        <v>11.798000000000002</v>
      </c>
      <c r="G403" s="26">
        <f t="shared" si="79"/>
        <v>8.49</v>
      </c>
      <c r="H403" s="375">
        <v>11.798000000000002</v>
      </c>
      <c r="I403" s="28" t="e">
        <f>IF(A403&lt;&gt;0,VLOOKUP(A403,#REF!,2,FALSE),"")</f>
        <v>#REF!</v>
      </c>
      <c r="K403" s="237"/>
    </row>
    <row r="404" spans="1:11" ht="15" customHeight="1">
      <c r="A404" s="986" t="s">
        <v>1894</v>
      </c>
      <c r="B404" s="986"/>
      <c r="C404" s="986"/>
      <c r="D404" s="986"/>
      <c r="E404" s="986"/>
      <c r="F404" s="986"/>
      <c r="G404" s="79">
        <f>ROUND(SUM(G400:G403),2)</f>
        <v>53.63</v>
      </c>
      <c r="K404" s="237"/>
    </row>
    <row r="405" spans="1:11" ht="24" customHeight="1">
      <c r="A405" s="80"/>
      <c r="B405" s="80"/>
      <c r="C405" s="352"/>
      <c r="D405" s="353"/>
      <c r="E405" s="80"/>
      <c r="F405" s="80"/>
      <c r="G405" s="80"/>
      <c r="K405" s="237"/>
    </row>
    <row r="406" spans="1:11" ht="37.5" customHeight="1">
      <c r="A406" s="920" t="s">
        <v>2082</v>
      </c>
      <c r="B406" s="921"/>
      <c r="C406" s="921"/>
      <c r="D406" s="921"/>
      <c r="E406" s="929"/>
      <c r="F406" s="75" t="s">
        <v>1915</v>
      </c>
      <c r="G406" s="347"/>
      <c r="K406" s="237"/>
    </row>
    <row r="407" spans="1:11" ht="28.5">
      <c r="A407" s="77" t="s">
        <v>1917</v>
      </c>
      <c r="B407" s="347"/>
      <c r="C407" s="77" t="s">
        <v>3</v>
      </c>
      <c r="D407" s="77" t="s">
        <v>4</v>
      </c>
      <c r="E407" s="77" t="s">
        <v>1826</v>
      </c>
      <c r="F407" s="77" t="s">
        <v>367</v>
      </c>
      <c r="G407" s="77" t="s">
        <v>368</v>
      </c>
      <c r="K407" s="237"/>
    </row>
    <row r="408" spans="1:11" s="45" customFormat="1" ht="30">
      <c r="A408" s="24">
        <v>13218</v>
      </c>
      <c r="B408" s="78" t="s">
        <v>457</v>
      </c>
      <c r="C408" s="25" t="s">
        <v>44</v>
      </c>
      <c r="D408" s="25" t="s">
        <v>26</v>
      </c>
      <c r="E408" s="26">
        <v>1.05</v>
      </c>
      <c r="F408" s="26">
        <f t="shared" ref="F408" si="80">H408</f>
        <v>57.689500000000002</v>
      </c>
      <c r="G408" s="26">
        <f t="shared" ref="G408" si="81">ROUND(F408*E408,2)</f>
        <v>60.57</v>
      </c>
      <c r="H408" s="364">
        <v>57.689500000000002</v>
      </c>
      <c r="I408" s="45" t="e">
        <f>IF(A408&lt;&gt;0,VLOOKUP(A408,#REF!,2,FALSE),"")</f>
        <v>#REF!</v>
      </c>
      <c r="J408" s="364"/>
      <c r="K408" s="237"/>
    </row>
    <row r="409" spans="1:11" ht="30">
      <c r="A409" s="24">
        <v>1381</v>
      </c>
      <c r="B409" s="78" t="s">
        <v>456</v>
      </c>
      <c r="C409" s="25" t="s">
        <v>12</v>
      </c>
      <c r="D409" s="25" t="s">
        <v>45</v>
      </c>
      <c r="E409" s="26">
        <v>0.45</v>
      </c>
      <c r="F409" s="26">
        <f t="shared" ref="F409:F412" si="82">H409</f>
        <v>0.48449999999999993</v>
      </c>
      <c r="G409" s="26">
        <f t="shared" ref="G409:G412" si="83">ROUND(F409*E409,2)</f>
        <v>0.22</v>
      </c>
      <c r="H409" s="375">
        <v>0.48449999999999993</v>
      </c>
      <c r="I409" s="28" t="e">
        <f>IF(A409&lt;&gt;0,VLOOKUP(A409,#REF!,2,FALSE),"")</f>
        <v>#REF!</v>
      </c>
      <c r="K409" s="237"/>
    </row>
    <row r="410" spans="1:11">
      <c r="A410" s="24">
        <v>37596</v>
      </c>
      <c r="B410" s="78" t="s">
        <v>458</v>
      </c>
      <c r="C410" s="25" t="s">
        <v>12</v>
      </c>
      <c r="D410" s="25" t="s">
        <v>45</v>
      </c>
      <c r="E410" s="26">
        <v>4.5</v>
      </c>
      <c r="F410" s="26">
        <f t="shared" si="82"/>
        <v>1.7084999999999999</v>
      </c>
      <c r="G410" s="26">
        <f t="shared" si="83"/>
        <v>7.69</v>
      </c>
      <c r="H410" s="375">
        <v>1.7084999999999999</v>
      </c>
      <c r="I410" s="28" t="e">
        <f>IF(A410&lt;&gt;0,VLOOKUP(A410,#REF!,2,FALSE),"")</f>
        <v>#REF!</v>
      </c>
      <c r="K410" s="237"/>
    </row>
    <row r="411" spans="1:11" ht="30">
      <c r="A411" s="24">
        <v>88242</v>
      </c>
      <c r="B411" s="78" t="s">
        <v>459</v>
      </c>
      <c r="C411" s="25" t="s">
        <v>12</v>
      </c>
      <c r="D411" s="25" t="s">
        <v>19</v>
      </c>
      <c r="E411" s="26">
        <v>0.7</v>
      </c>
      <c r="F411" s="26">
        <f t="shared" si="82"/>
        <v>11.849</v>
      </c>
      <c r="G411" s="26">
        <f t="shared" si="83"/>
        <v>8.2899999999999991</v>
      </c>
      <c r="H411" s="375">
        <v>11.849</v>
      </c>
      <c r="I411" s="28" t="e">
        <f>IF(A411&lt;&gt;0,VLOOKUP(A411,#REF!,2,FALSE),"")</f>
        <v>#REF!</v>
      </c>
      <c r="K411" s="237"/>
    </row>
    <row r="412" spans="1:11" ht="30">
      <c r="A412" s="24">
        <v>88256</v>
      </c>
      <c r="B412" s="78" t="s">
        <v>455</v>
      </c>
      <c r="C412" s="25" t="s">
        <v>12</v>
      </c>
      <c r="D412" s="25" t="s">
        <v>19</v>
      </c>
      <c r="E412" s="26">
        <v>0.66</v>
      </c>
      <c r="F412" s="26">
        <f t="shared" si="82"/>
        <v>17.6205</v>
      </c>
      <c r="G412" s="26">
        <f t="shared" si="83"/>
        <v>11.63</v>
      </c>
      <c r="H412" s="375">
        <v>17.6205</v>
      </c>
      <c r="I412" s="28" t="e">
        <f>IF(A412&lt;&gt;0,VLOOKUP(A412,#REF!,2,FALSE),"")</f>
        <v>#REF!</v>
      </c>
      <c r="K412" s="237"/>
    </row>
    <row r="413" spans="1:11" ht="15" customHeight="1">
      <c r="A413" s="986" t="s">
        <v>1894</v>
      </c>
      <c r="B413" s="986"/>
      <c r="C413" s="986"/>
      <c r="D413" s="986"/>
      <c r="E413" s="986"/>
      <c r="F413" s="986"/>
      <c r="G413" s="79">
        <f>ROUND(SUM(G408:G412),2)</f>
        <v>88.4</v>
      </c>
      <c r="K413" s="237"/>
    </row>
    <row r="414" spans="1:11" ht="23.25" customHeight="1">
      <c r="A414" s="80"/>
      <c r="B414" s="80"/>
      <c r="C414" s="352"/>
      <c r="D414" s="353"/>
      <c r="E414" s="80"/>
      <c r="F414" s="80"/>
      <c r="G414" s="80"/>
      <c r="K414" s="237"/>
    </row>
    <row r="415" spans="1:11" ht="37.5" customHeight="1">
      <c r="A415" s="920" t="s">
        <v>2083</v>
      </c>
      <c r="B415" s="921"/>
      <c r="C415" s="921"/>
      <c r="D415" s="921"/>
      <c r="E415" s="929"/>
      <c r="F415" s="75" t="s">
        <v>44</v>
      </c>
      <c r="G415" s="347"/>
      <c r="K415" s="237"/>
    </row>
    <row r="416" spans="1:11" ht="28.5">
      <c r="A416" s="77" t="s">
        <v>1917</v>
      </c>
      <c r="B416" s="347"/>
      <c r="C416" s="77" t="s">
        <v>3</v>
      </c>
      <c r="D416" s="77" t="s">
        <v>4</v>
      </c>
      <c r="E416" s="77" t="s">
        <v>1826</v>
      </c>
      <c r="F416" s="77" t="s">
        <v>367</v>
      </c>
      <c r="G416" s="77" t="s">
        <v>368</v>
      </c>
      <c r="K416" s="237"/>
    </row>
    <row r="417" spans="1:11" s="45" customFormat="1" ht="30">
      <c r="A417" s="84">
        <v>3649</v>
      </c>
      <c r="B417" s="85" t="s">
        <v>461</v>
      </c>
      <c r="C417" s="86" t="s">
        <v>44</v>
      </c>
      <c r="D417" s="86" t="s">
        <v>52</v>
      </c>
      <c r="E417" s="81">
        <v>4</v>
      </c>
      <c r="F417" s="26">
        <f t="shared" ref="F417" si="84">H417</f>
        <v>0.28050000000000003</v>
      </c>
      <c r="G417" s="26">
        <f t="shared" ref="G417" si="85">ROUND(F417*E417,2)</f>
        <v>1.1200000000000001</v>
      </c>
      <c r="H417" s="364">
        <v>0.28050000000000003</v>
      </c>
      <c r="I417" s="45" t="e">
        <f>IF(A417&lt;&gt;0,VLOOKUP(A417,#REF!,2,FALSE),"")</f>
        <v>#REF!</v>
      </c>
      <c r="J417" s="364"/>
      <c r="K417" s="237"/>
    </row>
    <row r="418" spans="1:11" ht="30">
      <c r="A418" s="84">
        <v>34676</v>
      </c>
      <c r="B418" s="85" t="s">
        <v>462</v>
      </c>
      <c r="C418" s="86" t="s">
        <v>12</v>
      </c>
      <c r="D418" s="86" t="s">
        <v>26</v>
      </c>
      <c r="E418" s="81">
        <v>1</v>
      </c>
      <c r="F418" s="26">
        <f t="shared" ref="F418:F423" si="86">H418</f>
        <v>17.416499999999999</v>
      </c>
      <c r="G418" s="26">
        <f t="shared" ref="G418:G423" si="87">ROUND(F418*E418,2)</f>
        <v>17.420000000000002</v>
      </c>
      <c r="H418" s="375">
        <v>17.416499999999999</v>
      </c>
      <c r="I418" s="28" t="e">
        <f>IF(A418&lt;&gt;0,VLOOKUP(A418,#REF!,2,FALSE),"")</f>
        <v>#REF!</v>
      </c>
      <c r="K418" s="237"/>
    </row>
    <row r="419" spans="1:11" ht="30">
      <c r="A419" s="84">
        <v>1339</v>
      </c>
      <c r="B419" s="85" t="s">
        <v>463</v>
      </c>
      <c r="C419" s="86" t="s">
        <v>12</v>
      </c>
      <c r="D419" s="86" t="s">
        <v>45</v>
      </c>
      <c r="E419" s="81">
        <v>0.2</v>
      </c>
      <c r="F419" s="26">
        <f t="shared" si="86"/>
        <v>30.667999999999999</v>
      </c>
      <c r="G419" s="26">
        <f t="shared" si="87"/>
        <v>6.13</v>
      </c>
      <c r="H419" s="375">
        <v>30.667999999999999</v>
      </c>
      <c r="I419" s="28" t="e">
        <f>IF(A419&lt;&gt;0,VLOOKUP(A419,#REF!,2,FALSE),"")</f>
        <v>#REF!</v>
      </c>
      <c r="K419" s="237"/>
    </row>
    <row r="420" spans="1:11" ht="30">
      <c r="A420" s="84">
        <v>1340</v>
      </c>
      <c r="B420" s="85" t="s">
        <v>464</v>
      </c>
      <c r="C420" s="86" t="s">
        <v>12</v>
      </c>
      <c r="D420" s="86" t="s">
        <v>26</v>
      </c>
      <c r="E420" s="81">
        <v>1</v>
      </c>
      <c r="F420" s="26">
        <f t="shared" si="86"/>
        <v>35.368499999999997</v>
      </c>
      <c r="G420" s="26">
        <f t="shared" si="87"/>
        <v>35.369999999999997</v>
      </c>
      <c r="H420" s="375">
        <v>35.368499999999997</v>
      </c>
      <c r="I420" s="28" t="e">
        <f>IF(A420&lt;&gt;0,VLOOKUP(A420,#REF!,2,FALSE),"")</f>
        <v>#REF!</v>
      </c>
      <c r="K420" s="237"/>
    </row>
    <row r="421" spans="1:11" ht="30">
      <c r="A421" s="84">
        <v>88262</v>
      </c>
      <c r="B421" s="85" t="s">
        <v>376</v>
      </c>
      <c r="C421" s="86" t="s">
        <v>12</v>
      </c>
      <c r="D421" s="86" t="s">
        <v>19</v>
      </c>
      <c r="E421" s="81">
        <v>1</v>
      </c>
      <c r="F421" s="26">
        <f t="shared" si="86"/>
        <v>14.96</v>
      </c>
      <c r="G421" s="26">
        <f t="shared" si="87"/>
        <v>14.96</v>
      </c>
      <c r="H421" s="375">
        <v>14.96</v>
      </c>
      <c r="I421" s="28" t="e">
        <f>IF(A421&lt;&gt;0,VLOOKUP(A421,#REF!,2,FALSE),"")</f>
        <v>#REF!</v>
      </c>
      <c r="K421" s="237"/>
    </row>
    <row r="422" spans="1:11" ht="30">
      <c r="A422" s="84">
        <v>88309</v>
      </c>
      <c r="B422" s="85" t="s">
        <v>390</v>
      </c>
      <c r="C422" s="86" t="s">
        <v>12</v>
      </c>
      <c r="D422" s="86" t="s">
        <v>19</v>
      </c>
      <c r="E422" s="81">
        <v>0.3</v>
      </c>
      <c r="F422" s="26">
        <f t="shared" si="86"/>
        <v>15.121499999999999</v>
      </c>
      <c r="G422" s="26">
        <f t="shared" si="87"/>
        <v>4.54</v>
      </c>
      <c r="H422" s="375">
        <v>15.121499999999999</v>
      </c>
      <c r="I422" s="28" t="e">
        <f>IF(A422&lt;&gt;0,VLOOKUP(A422,#REF!,2,FALSE),"")</f>
        <v>#REF!</v>
      </c>
      <c r="K422" s="237"/>
    </row>
    <row r="423" spans="1:11" ht="30">
      <c r="A423" s="84">
        <v>88316</v>
      </c>
      <c r="B423" s="85" t="s">
        <v>377</v>
      </c>
      <c r="C423" s="86" t="s">
        <v>12</v>
      </c>
      <c r="D423" s="86" t="s">
        <v>19</v>
      </c>
      <c r="E423" s="81">
        <v>0.3</v>
      </c>
      <c r="F423" s="26">
        <f t="shared" si="86"/>
        <v>11.798000000000002</v>
      </c>
      <c r="G423" s="26">
        <f t="shared" si="87"/>
        <v>3.54</v>
      </c>
      <c r="H423" s="375">
        <v>11.798000000000002</v>
      </c>
      <c r="I423" s="28" t="e">
        <f>IF(A423&lt;&gt;0,VLOOKUP(A423,#REF!,2,FALSE),"")</f>
        <v>#REF!</v>
      </c>
      <c r="K423" s="237"/>
    </row>
    <row r="424" spans="1:11" ht="15" customHeight="1">
      <c r="A424" s="986" t="s">
        <v>1894</v>
      </c>
      <c r="B424" s="986"/>
      <c r="C424" s="986"/>
      <c r="D424" s="986"/>
      <c r="E424" s="986"/>
      <c r="F424" s="986"/>
      <c r="G424" s="79">
        <f>ROUND(SUM(G417:G423),2)</f>
        <v>83.08</v>
      </c>
      <c r="K424" s="237"/>
    </row>
    <row r="425" spans="1:11">
      <c r="A425" s="80"/>
      <c r="B425" s="80"/>
      <c r="C425" s="352"/>
      <c r="D425" s="353"/>
      <c r="E425" s="80"/>
      <c r="F425" s="80"/>
      <c r="G425" s="80"/>
      <c r="K425" s="237"/>
    </row>
    <row r="426" spans="1:11">
      <c r="A426" s="80"/>
      <c r="B426" s="80"/>
      <c r="C426" s="965"/>
      <c r="D426" s="966"/>
      <c r="E426" s="80"/>
      <c r="F426" s="80"/>
      <c r="G426" s="80"/>
      <c r="K426" s="237"/>
    </row>
    <row r="427" spans="1:11" ht="33.75" customHeight="1">
      <c r="A427" s="920" t="s">
        <v>2423</v>
      </c>
      <c r="B427" s="921"/>
      <c r="C427" s="921"/>
      <c r="D427" s="921"/>
      <c r="E427" s="921"/>
      <c r="F427" s="75" t="s">
        <v>44</v>
      </c>
      <c r="G427" s="88"/>
      <c r="K427" s="237"/>
    </row>
    <row r="428" spans="1:11" ht="28.5">
      <c r="A428" s="984" t="s">
        <v>1917</v>
      </c>
      <c r="B428" s="985"/>
      <c r="C428" s="77" t="s">
        <v>3</v>
      </c>
      <c r="D428" s="77" t="s">
        <v>4</v>
      </c>
      <c r="E428" s="77" t="s">
        <v>1826</v>
      </c>
      <c r="F428" s="77" t="s">
        <v>367</v>
      </c>
      <c r="G428" s="77" t="s">
        <v>368</v>
      </c>
      <c r="K428" s="237"/>
    </row>
    <row r="429" spans="1:11" s="45" customFormat="1" ht="30">
      <c r="A429" s="24">
        <v>6751</v>
      </c>
      <c r="B429" s="78" t="s">
        <v>2424</v>
      </c>
      <c r="C429" s="25" t="s">
        <v>44</v>
      </c>
      <c r="D429" s="25" t="s">
        <v>68</v>
      </c>
      <c r="E429" s="26">
        <v>1</v>
      </c>
      <c r="F429" s="26">
        <f t="shared" ref="F429" si="88">H429</f>
        <v>107.304</v>
      </c>
      <c r="G429" s="26">
        <f t="shared" ref="G429" si="89">ROUND(F429*E429,2)</f>
        <v>107.3</v>
      </c>
      <c r="H429" s="364">
        <v>107.304</v>
      </c>
      <c r="I429" s="45" t="e">
        <f>IF(A429&lt;&gt;0,VLOOKUP(A429,#REF!,2,FALSE),"")</f>
        <v>#REF!</v>
      </c>
      <c r="J429" s="364"/>
      <c r="K429" s="237"/>
    </row>
    <row r="430" spans="1:11" ht="15" customHeight="1">
      <c r="A430" s="986" t="s">
        <v>1894</v>
      </c>
      <c r="B430" s="986"/>
      <c r="C430" s="986"/>
      <c r="D430" s="986"/>
      <c r="E430" s="986"/>
      <c r="F430" s="986"/>
      <c r="G430" s="79">
        <f>ROUND(SUM(G429),2)</f>
        <v>107.3</v>
      </c>
      <c r="K430" s="237"/>
    </row>
    <row r="431" spans="1:11" ht="22.5" customHeight="1">
      <c r="A431" s="80"/>
      <c r="B431" s="80"/>
      <c r="C431" s="965"/>
      <c r="D431" s="966"/>
      <c r="E431" s="80"/>
      <c r="F431" s="80"/>
      <c r="G431" s="80"/>
      <c r="K431" s="237"/>
    </row>
    <row r="432" spans="1:11" ht="32.25" customHeight="1">
      <c r="A432" s="920" t="s">
        <v>2084</v>
      </c>
      <c r="B432" s="921"/>
      <c r="C432" s="921"/>
      <c r="D432" s="921"/>
      <c r="E432" s="929"/>
      <c r="F432" s="75" t="s">
        <v>1915</v>
      </c>
      <c r="G432" s="88"/>
      <c r="K432" s="237"/>
    </row>
    <row r="433" spans="1:11" ht="28.5">
      <c r="A433" s="984" t="s">
        <v>1917</v>
      </c>
      <c r="B433" s="985"/>
      <c r="C433" s="77" t="s">
        <v>3</v>
      </c>
      <c r="D433" s="77" t="s">
        <v>4</v>
      </c>
      <c r="E433" s="77" t="s">
        <v>1826</v>
      </c>
      <c r="F433" s="77" t="s">
        <v>367</v>
      </c>
      <c r="G433" s="77" t="s">
        <v>368</v>
      </c>
      <c r="K433" s="237"/>
    </row>
    <row r="434" spans="1:11" ht="90">
      <c r="A434" s="24">
        <v>5901</v>
      </c>
      <c r="B434" s="78" t="s">
        <v>1797</v>
      </c>
      <c r="C434" s="25" t="s">
        <v>12</v>
      </c>
      <c r="D434" s="25" t="s">
        <v>388</v>
      </c>
      <c r="E434" s="89">
        <v>1.6109E-3</v>
      </c>
      <c r="F434" s="26">
        <f t="shared" ref="F434" si="90">H434</f>
        <v>186.1925</v>
      </c>
      <c r="G434" s="26">
        <f t="shared" ref="G434" si="91">ROUND(F434*E434,2)</f>
        <v>0.3</v>
      </c>
      <c r="H434" s="375">
        <v>186.1925</v>
      </c>
      <c r="I434" s="28" t="e">
        <f>IF(A434&lt;&gt;0,VLOOKUP(A434,#REF!,2,FALSE),"")</f>
        <v>#REF!</v>
      </c>
      <c r="K434" s="237"/>
    </row>
    <row r="435" spans="1:11" ht="90">
      <c r="A435" s="24">
        <v>5903</v>
      </c>
      <c r="B435" s="78" t="s">
        <v>1798</v>
      </c>
      <c r="C435" s="25" t="s">
        <v>12</v>
      </c>
      <c r="D435" s="25" t="s">
        <v>389</v>
      </c>
      <c r="E435" s="89">
        <v>1.0739E-3</v>
      </c>
      <c r="F435" s="26">
        <f t="shared" ref="F435:F441" si="92">H435</f>
        <v>33.847000000000001</v>
      </c>
      <c r="G435" s="26">
        <f t="shared" ref="G435:G441" si="93">ROUND(F435*E435,2)</f>
        <v>0.04</v>
      </c>
      <c r="H435" s="375">
        <v>33.847000000000001</v>
      </c>
      <c r="I435" s="28" t="e">
        <f>IF(A435&lt;&gt;0,VLOOKUP(A435,#REF!,2,FALSE),"")</f>
        <v>#REF!</v>
      </c>
      <c r="K435" s="237"/>
    </row>
    <row r="436" spans="1:11" ht="60">
      <c r="A436" s="24">
        <v>5932</v>
      </c>
      <c r="B436" s="78" t="s">
        <v>1799</v>
      </c>
      <c r="C436" s="25" t="s">
        <v>12</v>
      </c>
      <c r="D436" s="25" t="s">
        <v>388</v>
      </c>
      <c r="E436" s="89">
        <v>1.8525E-3</v>
      </c>
      <c r="F436" s="26">
        <f t="shared" si="92"/>
        <v>141.88200000000001</v>
      </c>
      <c r="G436" s="26">
        <f t="shared" si="93"/>
        <v>0.26</v>
      </c>
      <c r="H436" s="375">
        <v>141.88200000000001</v>
      </c>
      <c r="I436" s="28" t="e">
        <f>IF(A436&lt;&gt;0,VLOOKUP(A436,#REF!,2,FALSE),"")</f>
        <v>#REF!</v>
      </c>
      <c r="K436" s="237"/>
    </row>
    <row r="437" spans="1:11" ht="60">
      <c r="A437" s="24">
        <v>5934</v>
      </c>
      <c r="B437" s="78" t="s">
        <v>1800</v>
      </c>
      <c r="C437" s="25" t="s">
        <v>12</v>
      </c>
      <c r="D437" s="25" t="s">
        <v>389</v>
      </c>
      <c r="E437" s="89">
        <v>8.3230000000000001E-4</v>
      </c>
      <c r="F437" s="26">
        <f t="shared" si="92"/>
        <v>49.027999999999999</v>
      </c>
      <c r="G437" s="26">
        <f t="shared" si="93"/>
        <v>0.04</v>
      </c>
      <c r="H437" s="375">
        <v>49.027999999999999</v>
      </c>
      <c r="I437" s="28" t="e">
        <f>IF(A437&lt;&gt;0,VLOOKUP(A437,#REF!,2,FALSE),"")</f>
        <v>#REF!</v>
      </c>
      <c r="K437" s="237"/>
    </row>
    <row r="438" spans="1:11" ht="75">
      <c r="A438" s="24">
        <v>7049</v>
      </c>
      <c r="B438" s="78" t="s">
        <v>1801</v>
      </c>
      <c r="C438" s="25" t="s">
        <v>12</v>
      </c>
      <c r="D438" s="25" t="s">
        <v>388</v>
      </c>
      <c r="E438" s="89">
        <v>2.6849E-3</v>
      </c>
      <c r="F438" s="26">
        <f t="shared" si="92"/>
        <v>129.94800000000001</v>
      </c>
      <c r="G438" s="26">
        <f t="shared" si="93"/>
        <v>0.35</v>
      </c>
      <c r="H438" s="375">
        <v>129.94800000000001</v>
      </c>
      <c r="I438" s="28" t="e">
        <f>IF(A438&lt;&gt;0,VLOOKUP(A438,#REF!,2,FALSE),"")</f>
        <v>#REF!</v>
      </c>
      <c r="K438" s="237"/>
    </row>
    <row r="439" spans="1:11" ht="30">
      <c r="A439" s="24">
        <v>88316</v>
      </c>
      <c r="B439" s="78" t="s">
        <v>377</v>
      </c>
      <c r="C439" s="25" t="s">
        <v>12</v>
      </c>
      <c r="D439" s="25" t="s">
        <v>19</v>
      </c>
      <c r="E439" s="89">
        <v>1.07396E-2</v>
      </c>
      <c r="F439" s="26">
        <f t="shared" si="92"/>
        <v>11.798000000000002</v>
      </c>
      <c r="G439" s="26">
        <f t="shared" si="93"/>
        <v>0.13</v>
      </c>
      <c r="H439" s="375">
        <v>11.798000000000002</v>
      </c>
      <c r="I439" s="28" t="e">
        <f>IF(A439&lt;&gt;0,VLOOKUP(A439,#REF!,2,FALSE),"")</f>
        <v>#REF!</v>
      </c>
      <c r="K439" s="237"/>
    </row>
    <row r="440" spans="1:11" ht="45">
      <c r="A440" s="24">
        <v>96028</v>
      </c>
      <c r="B440" s="78" t="s">
        <v>1802</v>
      </c>
      <c r="C440" s="25" t="s">
        <v>12</v>
      </c>
      <c r="D440" s="25" t="s">
        <v>388</v>
      </c>
      <c r="E440" s="89">
        <v>1.3424000000000001E-3</v>
      </c>
      <c r="F440" s="26">
        <f t="shared" si="92"/>
        <v>123.53050000000002</v>
      </c>
      <c r="G440" s="26">
        <f t="shared" si="93"/>
        <v>0.17</v>
      </c>
      <c r="H440" s="375">
        <v>123.53050000000002</v>
      </c>
      <c r="I440" s="28" t="e">
        <f>IF(A440&lt;&gt;0,VLOOKUP(A440,#REF!,2,FALSE),"")</f>
        <v>#REF!</v>
      </c>
      <c r="K440" s="237"/>
    </row>
    <row r="441" spans="1:11" ht="45">
      <c r="A441" s="24">
        <v>96029</v>
      </c>
      <c r="B441" s="78" t="s">
        <v>1803</v>
      </c>
      <c r="C441" s="25" t="s">
        <v>12</v>
      </c>
      <c r="D441" s="25" t="s">
        <v>389</v>
      </c>
      <c r="E441" s="89">
        <v>1.3424000000000001E-3</v>
      </c>
      <c r="F441" s="26">
        <f t="shared" si="92"/>
        <v>32.504000000000005</v>
      </c>
      <c r="G441" s="26">
        <f t="shared" si="93"/>
        <v>0.04</v>
      </c>
      <c r="H441" s="375">
        <v>32.504000000000005</v>
      </c>
      <c r="I441" s="28" t="e">
        <f>IF(A441&lt;&gt;0,VLOOKUP(A441,#REF!,2,FALSE),"")</f>
        <v>#REF!</v>
      </c>
      <c r="K441" s="237"/>
    </row>
    <row r="442" spans="1:11" ht="15" customHeight="1">
      <c r="A442" s="986" t="s">
        <v>1894</v>
      </c>
      <c r="B442" s="986"/>
      <c r="C442" s="986"/>
      <c r="D442" s="986"/>
      <c r="E442" s="986"/>
      <c r="F442" s="986"/>
      <c r="G442" s="79">
        <f>ROUND(SUM(G434:G441),2)</f>
        <v>1.33</v>
      </c>
      <c r="K442" s="237"/>
    </row>
    <row r="443" spans="1:11" ht="26.25" customHeight="1">
      <c r="A443" s="80"/>
      <c r="B443" s="80"/>
      <c r="C443" s="965"/>
      <c r="D443" s="966"/>
      <c r="E443" s="80"/>
      <c r="F443" s="80"/>
      <c r="G443" s="80"/>
      <c r="K443" s="237"/>
    </row>
    <row r="444" spans="1:11" ht="46.5" customHeight="1">
      <c r="A444" s="920" t="s">
        <v>2085</v>
      </c>
      <c r="B444" s="921"/>
      <c r="C444" s="921"/>
      <c r="D444" s="921"/>
      <c r="E444" s="921"/>
      <c r="F444" s="75" t="s">
        <v>1915</v>
      </c>
      <c r="G444" s="88"/>
      <c r="K444" s="237"/>
    </row>
    <row r="445" spans="1:11" ht="28.5">
      <c r="A445" s="984" t="s">
        <v>1917</v>
      </c>
      <c r="B445" s="985"/>
      <c r="C445" s="77" t="s">
        <v>3</v>
      </c>
      <c r="D445" s="77" t="s">
        <v>4</v>
      </c>
      <c r="E445" s="77" t="s">
        <v>1826</v>
      </c>
      <c r="F445" s="77" t="s">
        <v>367</v>
      </c>
      <c r="G445" s="77" t="s">
        <v>368</v>
      </c>
      <c r="K445" s="237"/>
    </row>
    <row r="446" spans="1:11" ht="30">
      <c r="A446" s="24">
        <v>88309</v>
      </c>
      <c r="B446" s="78" t="s">
        <v>390</v>
      </c>
      <c r="C446" s="25" t="s">
        <v>12</v>
      </c>
      <c r="D446" s="25" t="s">
        <v>19</v>
      </c>
      <c r="E446" s="26">
        <v>0.8</v>
      </c>
      <c r="F446" s="26">
        <f t="shared" ref="F446:F448" si="94">H446</f>
        <v>15.121499999999999</v>
      </c>
      <c r="G446" s="26">
        <f t="shared" ref="G446:G448" si="95">ROUND(F446*E446,2)</f>
        <v>12.1</v>
      </c>
      <c r="H446" s="375">
        <v>15.121499999999999</v>
      </c>
      <c r="I446" s="28" t="e">
        <f>IF(A446&lt;&gt;0,VLOOKUP(A446,#REF!,2,FALSE),"")</f>
        <v>#REF!</v>
      </c>
      <c r="K446" s="237"/>
    </row>
    <row r="447" spans="1:11" ht="30">
      <c r="A447" s="24">
        <v>88316</v>
      </c>
      <c r="B447" s="78" t="s">
        <v>377</v>
      </c>
      <c r="C447" s="25" t="s">
        <v>12</v>
      </c>
      <c r="D447" s="25" t="s">
        <v>19</v>
      </c>
      <c r="E447" s="26">
        <v>0.80300000000000005</v>
      </c>
      <c r="F447" s="26">
        <f t="shared" si="94"/>
        <v>11.798000000000002</v>
      </c>
      <c r="G447" s="26">
        <f t="shared" si="95"/>
        <v>9.4700000000000006</v>
      </c>
      <c r="H447" s="375">
        <v>11.798000000000002</v>
      </c>
      <c r="I447" s="28" t="e">
        <f>IF(A447&lt;&gt;0,VLOOKUP(A447,#REF!,2,FALSE),"")</f>
        <v>#REF!</v>
      </c>
      <c r="K447" s="237"/>
    </row>
    <row r="448" spans="1:11" ht="45">
      <c r="A448" s="24">
        <v>88628</v>
      </c>
      <c r="B448" s="78" t="s">
        <v>1804</v>
      </c>
      <c r="C448" s="25" t="s">
        <v>12</v>
      </c>
      <c r="D448" s="25" t="s">
        <v>35</v>
      </c>
      <c r="E448" s="26">
        <v>1.4999999999999999E-2</v>
      </c>
      <c r="F448" s="26">
        <f t="shared" si="94"/>
        <v>389.36799999999999</v>
      </c>
      <c r="G448" s="26">
        <f t="shared" si="95"/>
        <v>5.84</v>
      </c>
      <c r="H448" s="375">
        <v>389.36799999999999</v>
      </c>
      <c r="I448" s="28" t="e">
        <f>IF(A448&lt;&gt;0,VLOOKUP(A448,#REF!,2,FALSE),"")</f>
        <v>#REF!</v>
      </c>
      <c r="K448" s="237"/>
    </row>
    <row r="449" spans="1:11" ht="15" customHeight="1">
      <c r="A449" s="986" t="s">
        <v>1894</v>
      </c>
      <c r="B449" s="986"/>
      <c r="C449" s="986"/>
      <c r="D449" s="986"/>
      <c r="E449" s="986"/>
      <c r="F449" s="986"/>
      <c r="G449" s="79">
        <f>ROUND(SUM(G446:G448),2)</f>
        <v>27.41</v>
      </c>
      <c r="K449" s="237"/>
    </row>
    <row r="450" spans="1:11" ht="25.5" customHeight="1">
      <c r="A450" s="80"/>
      <c r="B450" s="80"/>
      <c r="C450" s="965"/>
      <c r="D450" s="966"/>
      <c r="E450" s="80"/>
      <c r="F450" s="80"/>
      <c r="G450" s="80"/>
      <c r="K450" s="237"/>
    </row>
    <row r="451" spans="1:11" ht="54.75" customHeight="1">
      <c r="A451" s="920" t="s">
        <v>2086</v>
      </c>
      <c r="B451" s="921"/>
      <c r="C451" s="921"/>
      <c r="D451" s="921"/>
      <c r="E451" s="921"/>
      <c r="F451" s="75" t="s">
        <v>70</v>
      </c>
      <c r="G451" s="88"/>
      <c r="K451" s="237"/>
    </row>
    <row r="452" spans="1:11" ht="28.5">
      <c r="A452" s="984" t="s">
        <v>1917</v>
      </c>
      <c r="B452" s="985"/>
      <c r="C452" s="77" t="s">
        <v>3</v>
      </c>
      <c r="D452" s="77" t="s">
        <v>4</v>
      </c>
      <c r="E452" s="77" t="s">
        <v>1826</v>
      </c>
      <c r="F452" s="77" t="s">
        <v>367</v>
      </c>
      <c r="G452" s="77" t="s">
        <v>368</v>
      </c>
      <c r="K452" s="237"/>
    </row>
    <row r="453" spans="1:11">
      <c r="A453" s="24">
        <v>88316</v>
      </c>
      <c r="B453" s="78" t="e">
        <f>I453</f>
        <v>#REF!</v>
      </c>
      <c r="C453" s="25" t="s">
        <v>12</v>
      </c>
      <c r="D453" s="25" t="s">
        <v>19</v>
      </c>
      <c r="E453" s="26">
        <v>20</v>
      </c>
      <c r="F453" s="26">
        <f t="shared" ref="F453:F454" si="96">H453</f>
        <v>11.798000000000002</v>
      </c>
      <c r="G453" s="26">
        <f t="shared" ref="G453:G454" si="97">ROUND(F453*E453,2)</f>
        <v>235.96</v>
      </c>
      <c r="H453" s="375">
        <v>11.798000000000002</v>
      </c>
      <c r="I453" s="28" t="e">
        <f>IF(A453&lt;&gt;0,VLOOKUP(A453,#REF!,2,FALSE),"")</f>
        <v>#REF!</v>
      </c>
      <c r="K453" s="237"/>
    </row>
    <row r="454" spans="1:11">
      <c r="A454" s="24">
        <v>88309</v>
      </c>
      <c r="B454" s="78" t="e">
        <f>I454</f>
        <v>#REF!</v>
      </c>
      <c r="C454" s="25" t="s">
        <v>12</v>
      </c>
      <c r="D454" s="25" t="s">
        <v>19</v>
      </c>
      <c r="E454" s="26">
        <v>1.2</v>
      </c>
      <c r="F454" s="26">
        <f t="shared" si="96"/>
        <v>15.121499999999999</v>
      </c>
      <c r="G454" s="26">
        <f t="shared" si="97"/>
        <v>18.149999999999999</v>
      </c>
      <c r="H454" s="375">
        <v>15.121499999999999</v>
      </c>
      <c r="I454" s="28" t="e">
        <f>IF(A454&lt;&gt;0,VLOOKUP(A454,#REF!,2,FALSE),"")</f>
        <v>#REF!</v>
      </c>
      <c r="K454" s="237"/>
    </row>
    <row r="455" spans="1:11" ht="30">
      <c r="A455" s="24">
        <v>370</v>
      </c>
      <c r="B455" s="78" t="s">
        <v>396</v>
      </c>
      <c r="C455" s="25" t="s">
        <v>12</v>
      </c>
      <c r="D455" s="25" t="s">
        <v>35</v>
      </c>
      <c r="E455" s="26">
        <v>0.05</v>
      </c>
      <c r="F455" s="26">
        <f t="shared" ref="F455" si="98">H455</f>
        <v>42.5</v>
      </c>
      <c r="G455" s="26">
        <f t="shared" ref="G455" si="99">ROUND(F455*E455,2)</f>
        <v>2.13</v>
      </c>
      <c r="H455" s="375">
        <v>42.5</v>
      </c>
      <c r="I455" s="28" t="e">
        <f>IF(A455&lt;&gt;0,VLOOKUP(A455,#REF!,2,FALSE),"")</f>
        <v>#REF!</v>
      </c>
      <c r="K455" s="237"/>
    </row>
    <row r="456" spans="1:11" ht="30">
      <c r="A456" s="24">
        <v>4729</v>
      </c>
      <c r="B456" s="78" t="s">
        <v>467</v>
      </c>
      <c r="C456" s="25" t="s">
        <v>12</v>
      </c>
      <c r="D456" s="25" t="s">
        <v>35</v>
      </c>
      <c r="E456" s="26">
        <v>5.8500000000000003E-2</v>
      </c>
      <c r="F456" s="26">
        <f t="shared" ref="F456" si="100">H456</f>
        <v>78.8035</v>
      </c>
      <c r="G456" s="26">
        <f t="shared" ref="G456" si="101">ROUND(F456*E456,2)</f>
        <v>4.6100000000000003</v>
      </c>
      <c r="H456" s="375">
        <v>78.8035</v>
      </c>
      <c r="I456" s="28" t="e">
        <f>IF(A456&lt;&gt;0,VLOOKUP(A456,#REF!,2,FALSE),"")</f>
        <v>#REF!</v>
      </c>
      <c r="K456" s="237"/>
    </row>
    <row r="457" spans="1:11">
      <c r="A457" s="24">
        <v>1379</v>
      </c>
      <c r="B457" s="78" t="s">
        <v>397</v>
      </c>
      <c r="C457" s="25" t="s">
        <v>12</v>
      </c>
      <c r="D457" s="25" t="s">
        <v>45</v>
      </c>
      <c r="E457" s="26">
        <v>20</v>
      </c>
      <c r="F457" s="26">
        <f t="shared" ref="F457" si="102">H457</f>
        <v>0.60349999999999993</v>
      </c>
      <c r="G457" s="26">
        <f t="shared" ref="G457" si="103">ROUND(F457*E457,2)</f>
        <v>12.07</v>
      </c>
      <c r="H457" s="375">
        <v>0.60349999999999993</v>
      </c>
      <c r="I457" s="28" t="e">
        <f>IF(A457&lt;&gt;0,VLOOKUP(A457,#REF!,2,FALSE),"")</f>
        <v>#REF!</v>
      </c>
      <c r="K457" s="237"/>
    </row>
    <row r="458" spans="1:11" ht="45">
      <c r="A458" s="24">
        <v>4408</v>
      </c>
      <c r="B458" s="78" t="s">
        <v>468</v>
      </c>
      <c r="C458" s="25" t="s">
        <v>12</v>
      </c>
      <c r="D458" s="25" t="s">
        <v>52</v>
      </c>
      <c r="E458" s="26">
        <v>20</v>
      </c>
      <c r="F458" s="26">
        <f t="shared" ref="F458" si="104">H458</f>
        <v>1.615</v>
      </c>
      <c r="G458" s="26">
        <f t="shared" ref="G458" si="105">ROUND(F458*E458,2)</f>
        <v>32.299999999999997</v>
      </c>
      <c r="H458" s="375">
        <v>1.615</v>
      </c>
      <c r="I458" s="28" t="e">
        <f>IF(A458&lt;&gt;0,VLOOKUP(A458,#REF!,2,FALSE),"")</f>
        <v>#REF!</v>
      </c>
      <c r="K458" s="237"/>
    </row>
    <row r="459" spans="1:11" ht="60">
      <c r="A459" s="24">
        <v>89225</v>
      </c>
      <c r="B459" s="78" t="s">
        <v>1805</v>
      </c>
      <c r="C459" s="25" t="s">
        <v>12</v>
      </c>
      <c r="D459" s="25" t="s">
        <v>388</v>
      </c>
      <c r="E459" s="26">
        <v>1.62</v>
      </c>
      <c r="F459" s="26">
        <f t="shared" ref="F459" si="106">H459</f>
        <v>4.0374999999999996</v>
      </c>
      <c r="G459" s="26">
        <f t="shared" ref="G459" si="107">ROUND(F459*E459,2)</f>
        <v>6.54</v>
      </c>
      <c r="H459" s="375">
        <v>4.0374999999999996</v>
      </c>
      <c r="I459" s="28" t="e">
        <f>IF(A459&lt;&gt;0,VLOOKUP(A459,#REF!,2,FALSE),"")</f>
        <v>#REF!</v>
      </c>
      <c r="K459" s="237"/>
    </row>
    <row r="460" spans="1:11" ht="15" customHeight="1">
      <c r="A460" s="986" t="s">
        <v>1894</v>
      </c>
      <c r="B460" s="986"/>
      <c r="C460" s="986"/>
      <c r="D460" s="986"/>
      <c r="E460" s="986"/>
      <c r="F460" s="986"/>
      <c r="G460" s="79">
        <f>ROUND(SUM(G453:G459),2)</f>
        <v>311.76</v>
      </c>
      <c r="K460" s="237"/>
    </row>
    <row r="461" spans="1:11" ht="27.75" customHeight="1">
      <c r="A461" s="80"/>
      <c r="B461" s="80"/>
      <c r="C461" s="965"/>
      <c r="D461" s="966"/>
      <c r="E461" s="80"/>
      <c r="F461" s="80"/>
      <c r="G461" s="80"/>
      <c r="K461" s="237"/>
    </row>
    <row r="462" spans="1:11" ht="27" customHeight="1">
      <c r="A462" s="920" t="s">
        <v>2091</v>
      </c>
      <c r="B462" s="921"/>
      <c r="C462" s="921"/>
      <c r="D462" s="921"/>
      <c r="E462" s="929"/>
      <c r="F462" s="75" t="s">
        <v>70</v>
      </c>
      <c r="G462" s="88"/>
      <c r="K462" s="237"/>
    </row>
    <row r="463" spans="1:11" ht="28.5">
      <c r="A463" s="984" t="s">
        <v>1917</v>
      </c>
      <c r="B463" s="985"/>
      <c r="C463" s="77" t="s">
        <v>3</v>
      </c>
      <c r="D463" s="77" t="s">
        <v>4</v>
      </c>
      <c r="E463" s="77" t="s">
        <v>1826</v>
      </c>
      <c r="F463" s="77" t="s">
        <v>367</v>
      </c>
      <c r="G463" s="77" t="s">
        <v>368</v>
      </c>
      <c r="K463" s="237"/>
    </row>
    <row r="464" spans="1:11" ht="30">
      <c r="A464" s="24">
        <v>119</v>
      </c>
      <c r="B464" s="78" t="s">
        <v>469</v>
      </c>
      <c r="C464" s="25" t="s">
        <v>12</v>
      </c>
      <c r="D464" s="25" t="s">
        <v>17</v>
      </c>
      <c r="E464" s="26">
        <v>4.0000000000000001E-3</v>
      </c>
      <c r="F464" s="26">
        <f t="shared" ref="F464:F465" si="108">H464</f>
        <v>6.1539999999999999</v>
      </c>
      <c r="G464" s="26">
        <f t="shared" ref="G464:G465" si="109">ROUND(F464*E464,2)</f>
        <v>0.02</v>
      </c>
      <c r="H464" s="375">
        <v>6.1539999999999999</v>
      </c>
      <c r="I464" s="28" t="e">
        <f>IF(A464&lt;&gt;0,VLOOKUP(A464,#REF!,2,FALSE),"")</f>
        <v>#REF!</v>
      </c>
      <c r="K464" s="237"/>
    </row>
    <row r="465" spans="1:11" ht="45">
      <c r="A465" s="24">
        <v>108</v>
      </c>
      <c r="B465" s="78" t="s">
        <v>470</v>
      </c>
      <c r="C465" s="25" t="s">
        <v>12</v>
      </c>
      <c r="D465" s="25" t="s">
        <v>17</v>
      </c>
      <c r="E465" s="26">
        <v>1</v>
      </c>
      <c r="F465" s="26">
        <f t="shared" si="108"/>
        <v>1.6915</v>
      </c>
      <c r="G465" s="26">
        <f t="shared" si="109"/>
        <v>1.69</v>
      </c>
      <c r="H465" s="375">
        <v>1.6915</v>
      </c>
      <c r="I465" s="28" t="e">
        <f>IF(A465&lt;&gt;0,VLOOKUP(A465,#REF!,2,FALSE),"")</f>
        <v>#REF!</v>
      </c>
      <c r="K465" s="237"/>
    </row>
    <row r="466" spans="1:11" ht="30">
      <c r="A466" s="24">
        <v>3146</v>
      </c>
      <c r="B466" s="78" t="s">
        <v>471</v>
      </c>
      <c r="C466" s="25" t="s">
        <v>12</v>
      </c>
      <c r="D466" s="25" t="s">
        <v>17</v>
      </c>
      <c r="E466" s="26">
        <v>0.05</v>
      </c>
      <c r="F466" s="26">
        <f t="shared" ref="F466:F468" si="110">H466</f>
        <v>3.06</v>
      </c>
      <c r="G466" s="26">
        <f t="shared" ref="G466:G468" si="111">ROUND(F466*E466,2)</f>
        <v>0.15</v>
      </c>
      <c r="H466" s="375">
        <v>3.06</v>
      </c>
      <c r="I466" s="28" t="e">
        <f>IF(A466&lt;&gt;0,VLOOKUP(A466,#REF!,2,FALSE),"")</f>
        <v>#REF!</v>
      </c>
      <c r="K466" s="237"/>
    </row>
    <row r="467" spans="1:11" ht="30">
      <c r="A467" s="24">
        <v>88267</v>
      </c>
      <c r="B467" s="78" t="s">
        <v>472</v>
      </c>
      <c r="C467" s="25" t="s">
        <v>12</v>
      </c>
      <c r="D467" s="25" t="s">
        <v>19</v>
      </c>
      <c r="E467" s="26">
        <v>0.09</v>
      </c>
      <c r="F467" s="26">
        <f t="shared" si="110"/>
        <v>14.7135</v>
      </c>
      <c r="G467" s="26">
        <f t="shared" si="111"/>
        <v>1.32</v>
      </c>
      <c r="H467" s="375">
        <v>14.7135</v>
      </c>
      <c r="I467" s="28" t="e">
        <f>IF(A467&lt;&gt;0,VLOOKUP(A467,#REF!,2,FALSE),"")</f>
        <v>#REF!</v>
      </c>
      <c r="K467" s="237"/>
    </row>
    <row r="468" spans="1:11" ht="45">
      <c r="A468" s="24">
        <v>88248</v>
      </c>
      <c r="B468" s="78" t="s">
        <v>473</v>
      </c>
      <c r="C468" s="25" t="s">
        <v>12</v>
      </c>
      <c r="D468" s="25" t="s">
        <v>19</v>
      </c>
      <c r="E468" s="26">
        <v>0.09</v>
      </c>
      <c r="F468" s="26">
        <f t="shared" si="110"/>
        <v>11.483499999999999</v>
      </c>
      <c r="G468" s="26">
        <f t="shared" si="111"/>
        <v>1.03</v>
      </c>
      <c r="H468" s="375">
        <v>11.483499999999999</v>
      </c>
      <c r="I468" s="28" t="e">
        <f>IF(A468&lt;&gt;0,VLOOKUP(A468,#REF!,2,FALSE),"")</f>
        <v>#REF!</v>
      </c>
      <c r="K468" s="237"/>
    </row>
    <row r="469" spans="1:11" ht="15" customHeight="1">
      <c r="A469" s="986" t="s">
        <v>1894</v>
      </c>
      <c r="B469" s="986"/>
      <c r="C469" s="986"/>
      <c r="D469" s="986"/>
      <c r="E469" s="986"/>
      <c r="F469" s="986"/>
      <c r="G469" s="79">
        <f>ROUND(SUM(G464:G468),2)</f>
        <v>4.21</v>
      </c>
      <c r="K469" s="237"/>
    </row>
    <row r="470" spans="1:11" ht="21.75" customHeight="1">
      <c r="A470" s="80"/>
      <c r="B470" s="80"/>
      <c r="C470" s="965"/>
      <c r="D470" s="966"/>
      <c r="E470" s="80"/>
      <c r="F470" s="80"/>
      <c r="G470" s="80"/>
      <c r="K470" s="237"/>
    </row>
    <row r="471" spans="1:11" ht="25.5" customHeight="1">
      <c r="A471" s="920" t="s">
        <v>2092</v>
      </c>
      <c r="B471" s="921"/>
      <c r="C471" s="921"/>
      <c r="D471" s="921"/>
      <c r="E471" s="921"/>
      <c r="F471" s="75" t="s">
        <v>70</v>
      </c>
      <c r="G471" s="88"/>
      <c r="K471" s="237"/>
    </row>
    <row r="472" spans="1:11" ht="28.5">
      <c r="A472" s="984" t="s">
        <v>1917</v>
      </c>
      <c r="B472" s="985"/>
      <c r="C472" s="77" t="s">
        <v>3</v>
      </c>
      <c r="D472" s="77" t="s">
        <v>4</v>
      </c>
      <c r="E472" s="77" t="s">
        <v>1826</v>
      </c>
      <c r="F472" s="77" t="s">
        <v>367</v>
      </c>
      <c r="G472" s="77" t="s">
        <v>368</v>
      </c>
      <c r="K472" s="237"/>
    </row>
    <row r="473" spans="1:11" ht="45">
      <c r="A473" s="24">
        <v>110</v>
      </c>
      <c r="B473" s="78" t="s">
        <v>474</v>
      </c>
      <c r="C473" s="25" t="s">
        <v>12</v>
      </c>
      <c r="D473" s="25" t="s">
        <v>17</v>
      </c>
      <c r="E473" s="26">
        <v>1</v>
      </c>
      <c r="F473" s="26">
        <f t="shared" ref="F473" si="112">H473</f>
        <v>6.5449999999999999</v>
      </c>
      <c r="G473" s="26">
        <f t="shared" ref="G473" si="113">ROUND(F473*E473,2)</f>
        <v>6.55</v>
      </c>
      <c r="H473" s="375">
        <v>6.5449999999999999</v>
      </c>
      <c r="I473" s="28" t="e">
        <f>IF(A473&lt;&gt;0,VLOOKUP(A473,#REF!,2,FALSE),"")</f>
        <v>#REF!</v>
      </c>
      <c r="K473" s="237"/>
    </row>
    <row r="474" spans="1:11" ht="30">
      <c r="A474" s="24">
        <v>119</v>
      </c>
      <c r="B474" s="78" t="s">
        <v>469</v>
      </c>
      <c r="C474" s="25" t="s">
        <v>12</v>
      </c>
      <c r="D474" s="25" t="s">
        <v>17</v>
      </c>
      <c r="E474" s="26">
        <v>0.02</v>
      </c>
      <c r="F474" s="26">
        <f t="shared" ref="F474:F477" si="114">H474</f>
        <v>6.1539999999999999</v>
      </c>
      <c r="G474" s="26">
        <f t="shared" ref="G474:G477" si="115">ROUND(F474*E474,2)</f>
        <v>0.12</v>
      </c>
      <c r="H474" s="375">
        <v>6.1539999999999999</v>
      </c>
      <c r="I474" s="28" t="e">
        <f>IF(A474&lt;&gt;0,VLOOKUP(A474,#REF!,2,FALSE),"")</f>
        <v>#REF!</v>
      </c>
      <c r="K474" s="237"/>
    </row>
    <row r="475" spans="1:11" ht="30">
      <c r="A475" s="24">
        <v>3146</v>
      </c>
      <c r="B475" s="78" t="s">
        <v>471</v>
      </c>
      <c r="C475" s="25" t="s">
        <v>12</v>
      </c>
      <c r="D475" s="25" t="s">
        <v>17</v>
      </c>
      <c r="E475" s="26">
        <v>0.06</v>
      </c>
      <c r="F475" s="26">
        <f t="shared" si="114"/>
        <v>3.06</v>
      </c>
      <c r="G475" s="26">
        <f t="shared" si="115"/>
        <v>0.18</v>
      </c>
      <c r="H475" s="375">
        <v>3.06</v>
      </c>
      <c r="I475" s="28" t="e">
        <f>IF(A475&lt;&gt;0,VLOOKUP(A475,#REF!,2,FALSE),"")</f>
        <v>#REF!</v>
      </c>
      <c r="K475" s="237"/>
    </row>
    <row r="476" spans="1:11" ht="30">
      <c r="A476" s="24">
        <v>88267</v>
      </c>
      <c r="B476" s="78" t="s">
        <v>472</v>
      </c>
      <c r="C476" s="25" t="s">
        <v>12</v>
      </c>
      <c r="D476" s="25" t="s">
        <v>19</v>
      </c>
      <c r="E476" s="26">
        <v>0.15</v>
      </c>
      <c r="F476" s="26">
        <f t="shared" si="114"/>
        <v>14.7135</v>
      </c>
      <c r="G476" s="26">
        <f t="shared" si="115"/>
        <v>2.21</v>
      </c>
      <c r="H476" s="375">
        <v>14.7135</v>
      </c>
      <c r="I476" s="28" t="e">
        <f>IF(A476&lt;&gt;0,VLOOKUP(A476,#REF!,2,FALSE),"")</f>
        <v>#REF!</v>
      </c>
      <c r="K476" s="237"/>
    </row>
    <row r="477" spans="1:11" ht="45">
      <c r="A477" s="24">
        <v>88248</v>
      </c>
      <c r="B477" s="78" t="s">
        <v>473</v>
      </c>
      <c r="C477" s="25" t="s">
        <v>12</v>
      </c>
      <c r="D477" s="25" t="s">
        <v>19</v>
      </c>
      <c r="E477" s="26">
        <v>0.15</v>
      </c>
      <c r="F477" s="26">
        <f t="shared" si="114"/>
        <v>11.483499999999999</v>
      </c>
      <c r="G477" s="26">
        <f t="shared" si="115"/>
        <v>1.72</v>
      </c>
      <c r="H477" s="375">
        <v>11.483499999999999</v>
      </c>
      <c r="I477" s="28" t="e">
        <f>IF(A477&lt;&gt;0,VLOOKUP(A477,#REF!,2,FALSE),"")</f>
        <v>#REF!</v>
      </c>
      <c r="K477" s="237"/>
    </row>
    <row r="478" spans="1:11" ht="15" customHeight="1">
      <c r="A478" s="986" t="s">
        <v>1894</v>
      </c>
      <c r="B478" s="986"/>
      <c r="C478" s="986"/>
      <c r="D478" s="986"/>
      <c r="E478" s="986"/>
      <c r="F478" s="986"/>
      <c r="G478" s="79">
        <f>ROUND(SUM(G473:G477),2)</f>
        <v>10.78</v>
      </c>
      <c r="K478" s="237"/>
    </row>
    <row r="479" spans="1:11" ht="21" customHeight="1">
      <c r="A479" s="80"/>
      <c r="B479" s="80"/>
      <c r="C479" s="965"/>
      <c r="D479" s="966"/>
      <c r="E479" s="80"/>
      <c r="F479" s="80"/>
      <c r="G479" s="80"/>
      <c r="K479" s="237"/>
    </row>
    <row r="480" spans="1:11" ht="20.25" customHeight="1">
      <c r="A480" s="920" t="s">
        <v>2093</v>
      </c>
      <c r="B480" s="921"/>
      <c r="C480" s="921"/>
      <c r="D480" s="921"/>
      <c r="E480" s="921"/>
      <c r="F480" s="75" t="s">
        <v>70</v>
      </c>
      <c r="G480" s="88"/>
      <c r="K480" s="237"/>
    </row>
    <row r="481" spans="1:11" ht="28.5">
      <c r="A481" s="984" t="s">
        <v>1917</v>
      </c>
      <c r="B481" s="985"/>
      <c r="C481" s="77" t="s">
        <v>3</v>
      </c>
      <c r="D481" s="77" t="s">
        <v>4</v>
      </c>
      <c r="E481" s="77" t="s">
        <v>1826</v>
      </c>
      <c r="F481" s="77" t="s">
        <v>367</v>
      </c>
      <c r="G481" s="77" t="s">
        <v>368</v>
      </c>
      <c r="K481" s="237"/>
    </row>
    <row r="482" spans="1:11" ht="30">
      <c r="A482" s="24">
        <v>20080</v>
      </c>
      <c r="B482" s="78" t="s">
        <v>475</v>
      </c>
      <c r="C482" s="25" t="s">
        <v>12</v>
      </c>
      <c r="D482" s="25" t="s">
        <v>17</v>
      </c>
      <c r="E482" s="26">
        <v>3.5000000000000003E-2</v>
      </c>
      <c r="F482" s="26">
        <f t="shared" ref="F482" si="116">H482</f>
        <v>17.646000000000001</v>
      </c>
      <c r="G482" s="26">
        <f t="shared" ref="G482" si="117">ROUND(F482*E482,2)</f>
        <v>0.62</v>
      </c>
      <c r="H482" s="375">
        <v>17.646000000000001</v>
      </c>
      <c r="I482" s="28" t="e">
        <f>IF(A482&lt;&gt;0,VLOOKUP(A482,#REF!,2,FALSE),"")</f>
        <v>#REF!</v>
      </c>
      <c r="K482" s="237"/>
    </row>
    <row r="483" spans="1:11" ht="45">
      <c r="A483" s="24">
        <v>113</v>
      </c>
      <c r="B483" s="78" t="s">
        <v>476</v>
      </c>
      <c r="C483" s="25" t="s">
        <v>12</v>
      </c>
      <c r="D483" s="25" t="s">
        <v>17</v>
      </c>
      <c r="E483" s="26">
        <v>1</v>
      </c>
      <c r="F483" s="26">
        <f t="shared" ref="F483:F486" si="118">H483</f>
        <v>11.1435</v>
      </c>
      <c r="G483" s="26">
        <f t="shared" ref="G483:G486" si="119">ROUND(F483*E483,2)</f>
        <v>11.14</v>
      </c>
      <c r="H483" s="375">
        <v>11.1435</v>
      </c>
      <c r="I483" s="28" t="e">
        <f>IF(A483&lt;&gt;0,VLOOKUP(A483,#REF!,2,FALSE),"")</f>
        <v>#REF!</v>
      </c>
      <c r="K483" s="237"/>
    </row>
    <row r="484" spans="1:11" ht="30">
      <c r="A484" s="24">
        <v>3146</v>
      </c>
      <c r="B484" s="78" t="s">
        <v>471</v>
      </c>
      <c r="C484" s="25" t="s">
        <v>12</v>
      </c>
      <c r="D484" s="25" t="s">
        <v>17</v>
      </c>
      <c r="E484" s="26">
        <v>7.4999999999999997E-2</v>
      </c>
      <c r="F484" s="26">
        <f t="shared" si="118"/>
        <v>3.06</v>
      </c>
      <c r="G484" s="26">
        <f t="shared" si="119"/>
        <v>0.23</v>
      </c>
      <c r="H484" s="375">
        <v>3.06</v>
      </c>
      <c r="I484" s="28" t="e">
        <f>IF(A484&lt;&gt;0,VLOOKUP(A484,#REF!,2,FALSE),"")</f>
        <v>#REF!</v>
      </c>
      <c r="K484" s="237"/>
    </row>
    <row r="485" spans="1:11" ht="30">
      <c r="A485" s="24">
        <v>88267</v>
      </c>
      <c r="B485" s="78" t="s">
        <v>472</v>
      </c>
      <c r="C485" s="25" t="s">
        <v>12</v>
      </c>
      <c r="D485" s="25" t="s">
        <v>19</v>
      </c>
      <c r="E485" s="26">
        <v>0.15</v>
      </c>
      <c r="F485" s="26">
        <f t="shared" si="118"/>
        <v>14.7135</v>
      </c>
      <c r="G485" s="26">
        <f t="shared" si="119"/>
        <v>2.21</v>
      </c>
      <c r="H485" s="375">
        <v>14.7135</v>
      </c>
      <c r="I485" s="28" t="e">
        <f>IF(A485&lt;&gt;0,VLOOKUP(A485,#REF!,2,FALSE),"")</f>
        <v>#REF!</v>
      </c>
      <c r="K485" s="237"/>
    </row>
    <row r="486" spans="1:11" ht="45">
      <c r="A486" s="24">
        <v>88248</v>
      </c>
      <c r="B486" s="78" t="s">
        <v>473</v>
      </c>
      <c r="C486" s="25" t="s">
        <v>12</v>
      </c>
      <c r="D486" s="25" t="s">
        <v>19</v>
      </c>
      <c r="E486" s="26">
        <v>0.15</v>
      </c>
      <c r="F486" s="26">
        <f t="shared" si="118"/>
        <v>11.483499999999999</v>
      </c>
      <c r="G486" s="26">
        <f t="shared" si="119"/>
        <v>1.72</v>
      </c>
      <c r="H486" s="375">
        <v>11.483499999999999</v>
      </c>
      <c r="I486" s="28" t="e">
        <f>IF(A486&lt;&gt;0,VLOOKUP(A486,#REF!,2,FALSE),"")</f>
        <v>#REF!</v>
      </c>
      <c r="K486" s="237"/>
    </row>
    <row r="487" spans="1:11" ht="15" customHeight="1">
      <c r="A487" s="986" t="s">
        <v>1894</v>
      </c>
      <c r="B487" s="986"/>
      <c r="C487" s="986"/>
      <c r="D487" s="986"/>
      <c r="E487" s="986"/>
      <c r="F487" s="986"/>
      <c r="G487" s="79">
        <f>ROUND(SUM(G482:G486),2)</f>
        <v>15.92</v>
      </c>
      <c r="K487" s="237"/>
    </row>
    <row r="488" spans="1:11" ht="24.75" customHeight="1">
      <c r="A488" s="80"/>
      <c r="B488" s="80"/>
      <c r="C488" s="965"/>
      <c r="D488" s="966"/>
      <c r="E488" s="80"/>
      <c r="F488" s="80"/>
      <c r="G488" s="80"/>
      <c r="K488" s="237"/>
    </row>
    <row r="489" spans="1:11">
      <c r="A489" s="80"/>
      <c r="B489" s="80"/>
      <c r="C489" s="965"/>
      <c r="D489" s="966"/>
      <c r="E489" s="80"/>
      <c r="F489" s="80"/>
      <c r="G489" s="80"/>
      <c r="K489" s="237"/>
    </row>
    <row r="490" spans="1:11" ht="21" customHeight="1">
      <c r="A490" s="920" t="s">
        <v>3437</v>
      </c>
      <c r="B490" s="921"/>
      <c r="C490" s="921"/>
      <c r="D490" s="921"/>
      <c r="E490" s="921"/>
      <c r="F490" s="75" t="s">
        <v>1915</v>
      </c>
      <c r="G490" s="95">
        <v>11880</v>
      </c>
      <c r="K490" s="237"/>
    </row>
    <row r="491" spans="1:11" ht="28.5">
      <c r="A491" s="984" t="s">
        <v>1917</v>
      </c>
      <c r="B491" s="985"/>
      <c r="C491" s="77" t="s">
        <v>3</v>
      </c>
      <c r="D491" s="77" t="s">
        <v>4</v>
      </c>
      <c r="E491" s="77" t="s">
        <v>1826</v>
      </c>
      <c r="F491" s="77" t="s">
        <v>367</v>
      </c>
      <c r="G491" s="77" t="s">
        <v>368</v>
      </c>
      <c r="K491" s="237"/>
    </row>
    <row r="492" spans="1:11" ht="30">
      <c r="A492" s="24">
        <v>122</v>
      </c>
      <c r="B492" s="78" t="s">
        <v>477</v>
      </c>
      <c r="C492" s="25" t="s">
        <v>12</v>
      </c>
      <c r="D492" s="25" t="s">
        <v>17</v>
      </c>
      <c r="E492" s="26">
        <v>1.4800000000000001E-2</v>
      </c>
      <c r="F492" s="26">
        <f t="shared" ref="F492" si="120">H492</f>
        <v>55.59</v>
      </c>
      <c r="G492" s="26">
        <f t="shared" ref="G492" si="121">ROUND(F492*E492,2)</f>
        <v>0.82</v>
      </c>
      <c r="H492" s="375">
        <v>55.59</v>
      </c>
      <c r="I492" s="28" t="e">
        <f>IF(A492&lt;&gt;0,VLOOKUP(A492,#REF!,2,FALSE),"")</f>
        <v>#REF!</v>
      </c>
      <c r="K492" s="237"/>
    </row>
    <row r="493" spans="1:11" ht="60">
      <c r="A493" s="24">
        <v>20078</v>
      </c>
      <c r="B493" s="78" t="s">
        <v>478</v>
      </c>
      <c r="C493" s="25" t="s">
        <v>12</v>
      </c>
      <c r="D493" s="25" t="s">
        <v>17</v>
      </c>
      <c r="E493" s="26">
        <v>0.02</v>
      </c>
      <c r="F493" s="26">
        <f t="shared" ref="F493:F499" si="122">H493</f>
        <v>20.349</v>
      </c>
      <c r="G493" s="26">
        <f t="shared" ref="G493:G499" si="123">ROUND(F493*E493,2)</f>
        <v>0.41</v>
      </c>
      <c r="H493" s="375">
        <v>20.349</v>
      </c>
      <c r="I493" s="28" t="e">
        <f>IF(A493&lt;&gt;0,VLOOKUP(A493,#REF!,2,FALSE),"")</f>
        <v>#REF!</v>
      </c>
      <c r="K493" s="237"/>
    </row>
    <row r="494" spans="1:11" ht="30">
      <c r="A494" s="24">
        <v>20083</v>
      </c>
      <c r="B494" s="78" t="s">
        <v>479</v>
      </c>
      <c r="C494" s="25" t="s">
        <v>12</v>
      </c>
      <c r="D494" s="25" t="s">
        <v>17</v>
      </c>
      <c r="E494" s="26">
        <v>2.2499999999999999E-2</v>
      </c>
      <c r="F494" s="26">
        <f t="shared" si="122"/>
        <v>48.271500000000003</v>
      </c>
      <c r="G494" s="26">
        <f t="shared" si="123"/>
        <v>1.0900000000000001</v>
      </c>
      <c r="H494" s="375">
        <v>48.271500000000003</v>
      </c>
      <c r="I494" s="28" t="e">
        <f>IF(A494&lt;&gt;0,VLOOKUP(A494,#REF!,2,FALSE),"")</f>
        <v>#REF!</v>
      </c>
      <c r="K494" s="237"/>
    </row>
    <row r="495" spans="1:11" ht="30">
      <c r="A495" s="24">
        <v>20085</v>
      </c>
      <c r="B495" s="78" t="s">
        <v>481</v>
      </c>
      <c r="C495" s="25" t="s">
        <v>12</v>
      </c>
      <c r="D495" s="25" t="s">
        <v>17</v>
      </c>
      <c r="E495" s="26">
        <v>1</v>
      </c>
      <c r="F495" s="26">
        <f t="shared" si="122"/>
        <v>1.4790000000000001</v>
      </c>
      <c r="G495" s="26">
        <f t="shared" si="123"/>
        <v>1.48</v>
      </c>
      <c r="H495" s="375">
        <v>1.4790000000000001</v>
      </c>
      <c r="I495" s="28" t="e">
        <f>IF(A495&lt;&gt;0,VLOOKUP(A495,#REF!,2,FALSE),"")</f>
        <v>#REF!</v>
      </c>
      <c r="K495" s="237"/>
    </row>
    <row r="496" spans="1:11">
      <c r="A496" s="24">
        <v>38383</v>
      </c>
      <c r="B496" s="78" t="s">
        <v>480</v>
      </c>
      <c r="C496" s="25" t="s">
        <v>12</v>
      </c>
      <c r="D496" s="25" t="s">
        <v>17</v>
      </c>
      <c r="E496" s="26">
        <v>3.6499999999999998E-2</v>
      </c>
      <c r="F496" s="26">
        <f t="shared" si="122"/>
        <v>1.649</v>
      </c>
      <c r="G496" s="26">
        <f t="shared" si="123"/>
        <v>0.06</v>
      </c>
      <c r="H496" s="375">
        <v>1.649</v>
      </c>
      <c r="I496" s="28" t="e">
        <f>IF(A496&lt;&gt;0,VLOOKUP(A496,#REF!,2,FALSE),"")</f>
        <v>#REF!</v>
      </c>
      <c r="K496" s="237"/>
    </row>
    <row r="497" spans="1:11" ht="45">
      <c r="A497" s="24">
        <v>11880</v>
      </c>
      <c r="B497" s="78" t="s">
        <v>482</v>
      </c>
      <c r="C497" s="25" t="s">
        <v>12</v>
      </c>
      <c r="D497" s="25" t="s">
        <v>17</v>
      </c>
      <c r="E497" s="26">
        <v>1</v>
      </c>
      <c r="F497" s="26">
        <f t="shared" si="122"/>
        <v>56.210499999999996</v>
      </c>
      <c r="G497" s="26">
        <f t="shared" si="123"/>
        <v>56.21</v>
      </c>
      <c r="H497" s="375">
        <v>56.210499999999996</v>
      </c>
      <c r="I497" s="28" t="e">
        <f>IF(A497&lt;&gt;0,VLOOKUP(A497,#REF!,2,FALSE),"")</f>
        <v>#REF!</v>
      </c>
      <c r="K497" s="237"/>
    </row>
    <row r="498" spans="1:11" ht="45">
      <c r="A498" s="24">
        <v>88248</v>
      </c>
      <c r="B498" s="78" t="s">
        <v>473</v>
      </c>
      <c r="C498" s="25" t="s">
        <v>12</v>
      </c>
      <c r="D498" s="25" t="s">
        <v>19</v>
      </c>
      <c r="E498" s="26">
        <v>0.13500000000000001</v>
      </c>
      <c r="F498" s="26">
        <f t="shared" si="122"/>
        <v>11.483499999999999</v>
      </c>
      <c r="G498" s="26">
        <f t="shared" si="123"/>
        <v>1.55</v>
      </c>
      <c r="H498" s="375">
        <v>11.483499999999999</v>
      </c>
      <c r="I498" s="28" t="e">
        <f>IF(A498&lt;&gt;0,VLOOKUP(A498,#REF!,2,FALSE),"")</f>
        <v>#REF!</v>
      </c>
      <c r="K498" s="237"/>
    </row>
    <row r="499" spans="1:11" ht="30">
      <c r="A499" s="24">
        <v>88267</v>
      </c>
      <c r="B499" s="78" t="s">
        <v>472</v>
      </c>
      <c r="C499" s="25" t="s">
        <v>12</v>
      </c>
      <c r="D499" s="25" t="s">
        <v>19</v>
      </c>
      <c r="E499" s="26">
        <v>0.13500000000000001</v>
      </c>
      <c r="F499" s="26">
        <f t="shared" si="122"/>
        <v>14.7135</v>
      </c>
      <c r="G499" s="26">
        <f t="shared" si="123"/>
        <v>1.99</v>
      </c>
      <c r="H499" s="375">
        <v>14.7135</v>
      </c>
      <c r="I499" s="28" t="e">
        <f>IF(A499&lt;&gt;0,VLOOKUP(A499,#REF!,2,FALSE),"")</f>
        <v>#REF!</v>
      </c>
      <c r="K499" s="237"/>
    </row>
    <row r="500" spans="1:11" ht="15" customHeight="1">
      <c r="A500" s="986" t="s">
        <v>1894</v>
      </c>
      <c r="B500" s="986"/>
      <c r="C500" s="986"/>
      <c r="D500" s="986"/>
      <c r="E500" s="986"/>
      <c r="F500" s="986"/>
      <c r="G500" s="79">
        <f>ROUND(SUM(G492:G499),2)</f>
        <v>63.61</v>
      </c>
      <c r="K500" s="237"/>
    </row>
    <row r="501" spans="1:11" ht="30.75" customHeight="1">
      <c r="A501" s="80"/>
      <c r="B501" s="80"/>
      <c r="C501" s="965"/>
      <c r="D501" s="966"/>
      <c r="E501" s="80"/>
      <c r="F501" s="80"/>
      <c r="G501" s="80"/>
      <c r="K501" s="237"/>
    </row>
    <row r="502" spans="1:11" ht="22.5" customHeight="1">
      <c r="A502" s="920" t="s">
        <v>2094</v>
      </c>
      <c r="B502" s="921"/>
      <c r="C502" s="921"/>
      <c r="D502" s="921"/>
      <c r="E502" s="921"/>
      <c r="F502" s="75" t="s">
        <v>1915</v>
      </c>
      <c r="G502" s="88"/>
      <c r="K502" s="237"/>
    </row>
    <row r="503" spans="1:11" ht="28.5">
      <c r="A503" s="984" t="s">
        <v>1917</v>
      </c>
      <c r="B503" s="985"/>
      <c r="C503" s="77" t="s">
        <v>3</v>
      </c>
      <c r="D503" s="77" t="s">
        <v>4</v>
      </c>
      <c r="E503" s="77" t="s">
        <v>1826</v>
      </c>
      <c r="F503" s="77" t="s">
        <v>367</v>
      </c>
      <c r="G503" s="77" t="s">
        <v>368</v>
      </c>
      <c r="K503" s="237"/>
    </row>
    <row r="504" spans="1:11" ht="30">
      <c r="A504" s="24">
        <v>11709</v>
      </c>
      <c r="B504" s="78" t="s">
        <v>483</v>
      </c>
      <c r="C504" s="25" t="s">
        <v>12</v>
      </c>
      <c r="D504" s="25" t="s">
        <v>17</v>
      </c>
      <c r="E504" s="26">
        <v>1</v>
      </c>
      <c r="F504" s="26">
        <f t="shared" ref="F504" si="124">H504</f>
        <v>51.076500000000003</v>
      </c>
      <c r="G504" s="26">
        <f t="shared" ref="G504" si="125">ROUND(F504*E504,2)</f>
        <v>51.08</v>
      </c>
      <c r="H504" s="375">
        <v>51.076500000000003</v>
      </c>
      <c r="I504" s="28" t="e">
        <f>IF(A504&lt;&gt;0,VLOOKUP(A504,#REF!,2,FALSE),"")</f>
        <v>#REF!</v>
      </c>
      <c r="K504" s="237"/>
    </row>
    <row r="505" spans="1:11" ht="30">
      <c r="A505" s="24">
        <v>88267</v>
      </c>
      <c r="B505" s="78" t="s">
        <v>472</v>
      </c>
      <c r="C505" s="25" t="s">
        <v>12</v>
      </c>
      <c r="D505" s="25" t="s">
        <v>19</v>
      </c>
      <c r="E505" s="26">
        <v>0.5</v>
      </c>
      <c r="F505" s="26">
        <f t="shared" ref="F505:F506" si="126">H505</f>
        <v>14.7135</v>
      </c>
      <c r="G505" s="26">
        <f t="shared" ref="G505:G506" si="127">ROUND(F505*E505,2)</f>
        <v>7.36</v>
      </c>
      <c r="H505" s="375">
        <v>14.7135</v>
      </c>
      <c r="I505" s="28" t="e">
        <f>IF(A505&lt;&gt;0,VLOOKUP(A505,#REF!,2,FALSE),"")</f>
        <v>#REF!</v>
      </c>
      <c r="K505" s="237"/>
    </row>
    <row r="506" spans="1:11" ht="30">
      <c r="A506" s="24">
        <v>88316</v>
      </c>
      <c r="B506" s="78" t="s">
        <v>377</v>
      </c>
      <c r="C506" s="25" t="s">
        <v>12</v>
      </c>
      <c r="D506" s="25" t="s">
        <v>19</v>
      </c>
      <c r="E506" s="26">
        <v>0.5</v>
      </c>
      <c r="F506" s="26">
        <f t="shared" si="126"/>
        <v>11.798000000000002</v>
      </c>
      <c r="G506" s="26">
        <f t="shared" si="127"/>
        <v>5.9</v>
      </c>
      <c r="H506" s="375">
        <v>11.798000000000002</v>
      </c>
      <c r="I506" s="28" t="e">
        <f>IF(A506&lt;&gt;0,VLOOKUP(A506,#REF!,2,FALSE),"")</f>
        <v>#REF!</v>
      </c>
      <c r="K506" s="237"/>
    </row>
    <row r="507" spans="1:11" ht="15" customHeight="1">
      <c r="A507" s="986" t="s">
        <v>1894</v>
      </c>
      <c r="B507" s="986"/>
      <c r="C507" s="986"/>
      <c r="D507" s="986"/>
      <c r="E507" s="986"/>
      <c r="F507" s="986"/>
      <c r="G507" s="79">
        <f>ROUND(SUM(G504:G506),2)</f>
        <v>64.34</v>
      </c>
      <c r="K507" s="237"/>
    </row>
    <row r="508" spans="1:11" ht="24" customHeight="1">
      <c r="A508" s="80"/>
      <c r="B508" s="80"/>
      <c r="C508" s="965"/>
      <c r="D508" s="966"/>
      <c r="E508" s="80"/>
      <c r="F508" s="80"/>
      <c r="G508" s="80"/>
      <c r="K508" s="237"/>
    </row>
    <row r="509" spans="1:11" ht="37.5" customHeight="1">
      <c r="A509" s="920" t="s">
        <v>2096</v>
      </c>
      <c r="B509" s="921"/>
      <c r="C509" s="921"/>
      <c r="D509" s="921"/>
      <c r="E509" s="921"/>
      <c r="F509" s="75" t="s">
        <v>1915</v>
      </c>
      <c r="G509" s="88"/>
      <c r="K509" s="237"/>
    </row>
    <row r="510" spans="1:11" ht="28.5">
      <c r="A510" s="984" t="s">
        <v>1917</v>
      </c>
      <c r="B510" s="985"/>
      <c r="C510" s="77" t="s">
        <v>3</v>
      </c>
      <c r="D510" s="77" t="s">
        <v>4</v>
      </c>
      <c r="E510" s="77" t="s">
        <v>1826</v>
      </c>
      <c r="F510" s="77" t="s">
        <v>367</v>
      </c>
      <c r="G510" s="77" t="s">
        <v>368</v>
      </c>
      <c r="K510" s="237"/>
    </row>
    <row r="511" spans="1:11" ht="30">
      <c r="A511" s="24">
        <v>122</v>
      </c>
      <c r="B511" s="78" t="s">
        <v>477</v>
      </c>
      <c r="C511" s="25" t="s">
        <v>12</v>
      </c>
      <c r="D511" s="25" t="s">
        <v>17</v>
      </c>
      <c r="E511" s="26">
        <v>8.9999999999999993E-3</v>
      </c>
      <c r="F511" s="26">
        <f t="shared" ref="F511:F516" si="128">H511</f>
        <v>55.59</v>
      </c>
      <c r="G511" s="26">
        <f t="shared" ref="G511:G516" si="129">ROUND(F511*E511,2)</f>
        <v>0.5</v>
      </c>
      <c r="H511" s="375">
        <v>55.59</v>
      </c>
      <c r="I511" s="28" t="e">
        <f>IF(A511&lt;&gt;0,VLOOKUP(A511,#REF!,2,FALSE),"")</f>
        <v>#REF!</v>
      </c>
      <c r="K511" s="237"/>
    </row>
    <row r="512" spans="1:11" ht="30">
      <c r="A512" s="24">
        <v>20083</v>
      </c>
      <c r="B512" s="78" t="s">
        <v>479</v>
      </c>
      <c r="C512" s="25" t="s">
        <v>12</v>
      </c>
      <c r="D512" s="25" t="s">
        <v>17</v>
      </c>
      <c r="E512" s="26">
        <v>1.0999999999999999E-2</v>
      </c>
      <c r="F512" s="26">
        <f t="shared" si="128"/>
        <v>48.271500000000003</v>
      </c>
      <c r="G512" s="26">
        <f t="shared" si="129"/>
        <v>0.53</v>
      </c>
      <c r="H512" s="375">
        <v>48.271500000000003</v>
      </c>
      <c r="I512" s="28" t="e">
        <f>IF(A512&lt;&gt;0,VLOOKUP(A512,#REF!,2,FALSE),"")</f>
        <v>#REF!</v>
      </c>
      <c r="K512" s="237"/>
    </row>
    <row r="513" spans="1:11">
      <c r="A513" s="24">
        <v>38383</v>
      </c>
      <c r="B513" s="78" t="s">
        <v>480</v>
      </c>
      <c r="C513" s="25" t="s">
        <v>12</v>
      </c>
      <c r="D513" s="25" t="s">
        <v>17</v>
      </c>
      <c r="E513" s="26">
        <v>3.5999999999999997E-2</v>
      </c>
      <c r="F513" s="26">
        <f t="shared" si="128"/>
        <v>1.649</v>
      </c>
      <c r="G513" s="26">
        <f t="shared" si="129"/>
        <v>0.06</v>
      </c>
      <c r="H513" s="375">
        <v>1.649</v>
      </c>
      <c r="I513" s="28" t="e">
        <f>IF(A513&lt;&gt;0,VLOOKUP(A513,#REF!,2,FALSE),"")</f>
        <v>#REF!</v>
      </c>
      <c r="K513" s="237"/>
    </row>
    <row r="514" spans="1:11" ht="30">
      <c r="A514" s="24">
        <v>3847</v>
      </c>
      <c r="B514" s="78" t="s">
        <v>484</v>
      </c>
      <c r="C514" s="25" t="s">
        <v>12</v>
      </c>
      <c r="D514" s="25" t="s">
        <v>17</v>
      </c>
      <c r="E514" s="26">
        <v>1</v>
      </c>
      <c r="F514" s="26">
        <f t="shared" si="128"/>
        <v>25.763500000000001</v>
      </c>
      <c r="G514" s="26">
        <f t="shared" si="129"/>
        <v>25.76</v>
      </c>
      <c r="H514" s="375">
        <v>25.763500000000001</v>
      </c>
      <c r="I514" s="28" t="e">
        <f>IF(A514&lt;&gt;0,VLOOKUP(A514,#REF!,2,FALSE),"")</f>
        <v>#REF!</v>
      </c>
      <c r="K514" s="237"/>
    </row>
    <row r="515" spans="1:11" ht="45">
      <c r="A515" s="24">
        <v>88248</v>
      </c>
      <c r="B515" s="78" t="s">
        <v>473</v>
      </c>
      <c r="C515" s="25" t="s">
        <v>12</v>
      </c>
      <c r="D515" s="25" t="s">
        <v>19</v>
      </c>
      <c r="E515" s="26">
        <v>7.0999999999999994E-2</v>
      </c>
      <c r="F515" s="26">
        <f t="shared" si="128"/>
        <v>11.483499999999999</v>
      </c>
      <c r="G515" s="26">
        <f t="shared" si="129"/>
        <v>0.82</v>
      </c>
      <c r="H515" s="375">
        <v>11.483499999999999</v>
      </c>
      <c r="I515" s="28" t="e">
        <f>IF(A515&lt;&gt;0,VLOOKUP(A515,#REF!,2,FALSE),"")</f>
        <v>#REF!</v>
      </c>
      <c r="K515" s="237"/>
    </row>
    <row r="516" spans="1:11" ht="30">
      <c r="A516" s="24">
        <v>88267</v>
      </c>
      <c r="B516" s="78" t="s">
        <v>472</v>
      </c>
      <c r="C516" s="25" t="s">
        <v>12</v>
      </c>
      <c r="D516" s="25" t="s">
        <v>19</v>
      </c>
      <c r="E516" s="26">
        <v>7.0999999999999994E-2</v>
      </c>
      <c r="F516" s="26">
        <f t="shared" si="128"/>
        <v>14.7135</v>
      </c>
      <c r="G516" s="26">
        <f t="shared" si="129"/>
        <v>1.04</v>
      </c>
      <c r="H516" s="375">
        <v>14.7135</v>
      </c>
      <c r="I516" s="28" t="e">
        <f>IF(A516&lt;&gt;0,VLOOKUP(A516,#REF!,2,FALSE),"")</f>
        <v>#REF!</v>
      </c>
      <c r="K516" s="237"/>
    </row>
    <row r="517" spans="1:11" ht="15" customHeight="1">
      <c r="A517" s="986" t="s">
        <v>1894</v>
      </c>
      <c r="B517" s="986"/>
      <c r="C517" s="986"/>
      <c r="D517" s="986"/>
      <c r="E517" s="986"/>
      <c r="F517" s="986"/>
      <c r="G517" s="79">
        <f>ROUND(SUM(G511:G516),2)</f>
        <v>28.71</v>
      </c>
      <c r="K517" s="237"/>
    </row>
    <row r="518" spans="1:11">
      <c r="A518" s="80"/>
      <c r="B518" s="80"/>
      <c r="C518" s="965"/>
      <c r="D518" s="966"/>
      <c r="E518" s="80"/>
      <c r="F518" s="80"/>
      <c r="G518" s="80"/>
      <c r="K518" s="237"/>
    </row>
    <row r="519" spans="1:11">
      <c r="A519" s="80"/>
      <c r="B519" s="80"/>
      <c r="C519" s="965"/>
      <c r="D519" s="966"/>
      <c r="E519" s="80"/>
      <c r="F519" s="80"/>
      <c r="G519" s="80"/>
      <c r="K519" s="237"/>
    </row>
    <row r="520" spans="1:11" ht="41.25" customHeight="1">
      <c r="A520" s="920" t="s">
        <v>2097</v>
      </c>
      <c r="B520" s="921"/>
      <c r="C520" s="921"/>
      <c r="D520" s="921"/>
      <c r="E520" s="921"/>
      <c r="F520" s="75" t="s">
        <v>1915</v>
      </c>
      <c r="G520" s="88"/>
      <c r="K520" s="237"/>
    </row>
    <row r="521" spans="1:11" ht="28.5">
      <c r="A521" s="984" t="s">
        <v>1917</v>
      </c>
      <c r="B521" s="985"/>
      <c r="C521" s="77" t="s">
        <v>3</v>
      </c>
      <c r="D521" s="77" t="s">
        <v>4</v>
      </c>
      <c r="E521" s="77" t="s">
        <v>1826</v>
      </c>
      <c r="F521" s="77" t="s">
        <v>367</v>
      </c>
      <c r="G521" s="77" t="s">
        <v>368</v>
      </c>
      <c r="K521" s="237"/>
    </row>
    <row r="522" spans="1:11" ht="30">
      <c r="A522" s="24">
        <v>122</v>
      </c>
      <c r="B522" s="78" t="s">
        <v>477</v>
      </c>
      <c r="C522" s="25" t="s">
        <v>12</v>
      </c>
      <c r="D522" s="25" t="s">
        <v>17</v>
      </c>
      <c r="E522" s="26">
        <v>8.9999999999999993E-3</v>
      </c>
      <c r="F522" s="26">
        <f t="shared" ref="F522" si="130">H522</f>
        <v>55.59</v>
      </c>
      <c r="G522" s="26">
        <f t="shared" ref="G522" si="131">ROUND(F522*E522,2)</f>
        <v>0.5</v>
      </c>
      <c r="H522" s="375">
        <v>55.59</v>
      </c>
      <c r="I522" s="28" t="e">
        <f>IF(A522&lt;&gt;0,VLOOKUP(A522,#REF!,2,FALSE),"")</f>
        <v>#REF!</v>
      </c>
      <c r="K522" s="237"/>
    </row>
    <row r="523" spans="1:11" ht="30">
      <c r="A523" s="24">
        <v>20083</v>
      </c>
      <c r="B523" s="78" t="s">
        <v>479</v>
      </c>
      <c r="C523" s="25" t="s">
        <v>12</v>
      </c>
      <c r="D523" s="25" t="s">
        <v>17</v>
      </c>
      <c r="E523" s="26">
        <v>1.0999999999999999E-2</v>
      </c>
      <c r="F523" s="26">
        <f t="shared" ref="F523:F527" si="132">H523</f>
        <v>48.271500000000003</v>
      </c>
      <c r="G523" s="26">
        <f t="shared" ref="G523:G527" si="133">ROUND(F523*E523,2)</f>
        <v>0.53</v>
      </c>
      <c r="H523" s="375">
        <v>48.271500000000003</v>
      </c>
      <c r="I523" s="28" t="e">
        <f>IF(A523&lt;&gt;0,VLOOKUP(A523,#REF!,2,FALSE),"")</f>
        <v>#REF!</v>
      </c>
      <c r="K523" s="237"/>
    </row>
    <row r="524" spans="1:11">
      <c r="A524" s="24">
        <v>38383</v>
      </c>
      <c r="B524" s="78" t="s">
        <v>480</v>
      </c>
      <c r="C524" s="25" t="s">
        <v>12</v>
      </c>
      <c r="D524" s="25" t="s">
        <v>17</v>
      </c>
      <c r="E524" s="26">
        <v>0.06</v>
      </c>
      <c r="F524" s="26">
        <f t="shared" si="132"/>
        <v>1.649</v>
      </c>
      <c r="G524" s="26">
        <f t="shared" si="133"/>
        <v>0.1</v>
      </c>
      <c r="H524" s="375">
        <v>1.649</v>
      </c>
      <c r="I524" s="28" t="e">
        <f>IF(A524&lt;&gt;0,VLOOKUP(A524,#REF!,2,FALSE),"")</f>
        <v>#REF!</v>
      </c>
      <c r="K524" s="237"/>
    </row>
    <row r="525" spans="1:11" ht="45">
      <c r="A525" s="24">
        <v>829</v>
      </c>
      <c r="B525" s="78" t="s">
        <v>485</v>
      </c>
      <c r="C525" s="25" t="s">
        <v>12</v>
      </c>
      <c r="D525" s="25" t="s">
        <v>17</v>
      </c>
      <c r="E525" s="26">
        <v>1</v>
      </c>
      <c r="F525" s="26">
        <f t="shared" si="132"/>
        <v>0.83299999999999996</v>
      </c>
      <c r="G525" s="26">
        <f t="shared" si="133"/>
        <v>0.83</v>
      </c>
      <c r="H525" s="375">
        <v>0.83299999999999996</v>
      </c>
      <c r="I525" s="28" t="e">
        <f>IF(A525&lt;&gt;0,VLOOKUP(A525,#REF!,2,FALSE),"")</f>
        <v>#REF!</v>
      </c>
      <c r="K525" s="237"/>
    </row>
    <row r="526" spans="1:11" ht="45">
      <c r="A526" s="24">
        <v>88248</v>
      </c>
      <c r="B526" s="78" t="s">
        <v>473</v>
      </c>
      <c r="C526" s="25" t="s">
        <v>12</v>
      </c>
      <c r="D526" s="25" t="s">
        <v>19</v>
      </c>
      <c r="E526" s="26">
        <v>0.11899999999999999</v>
      </c>
      <c r="F526" s="26">
        <f t="shared" si="132"/>
        <v>11.483499999999999</v>
      </c>
      <c r="G526" s="26">
        <f t="shared" si="133"/>
        <v>1.37</v>
      </c>
      <c r="H526" s="375">
        <v>11.483499999999999</v>
      </c>
      <c r="I526" s="28" t="e">
        <f>IF(A526&lt;&gt;0,VLOOKUP(A526,#REF!,2,FALSE),"")</f>
        <v>#REF!</v>
      </c>
      <c r="K526" s="237"/>
    </row>
    <row r="527" spans="1:11" ht="30">
      <c r="A527" s="24">
        <v>88267</v>
      </c>
      <c r="B527" s="78" t="s">
        <v>472</v>
      </c>
      <c r="C527" s="25" t="s">
        <v>12</v>
      </c>
      <c r="D527" s="25" t="s">
        <v>19</v>
      </c>
      <c r="E527" s="26">
        <v>0.11899999999999999</v>
      </c>
      <c r="F527" s="26">
        <f t="shared" si="132"/>
        <v>14.7135</v>
      </c>
      <c r="G527" s="26">
        <f t="shared" si="133"/>
        <v>1.75</v>
      </c>
      <c r="H527" s="375">
        <v>14.7135</v>
      </c>
      <c r="I527" s="28" t="e">
        <f>IF(A527&lt;&gt;0,VLOOKUP(A527,#REF!,2,FALSE),"")</f>
        <v>#REF!</v>
      </c>
      <c r="K527" s="237"/>
    </row>
    <row r="528" spans="1:11" ht="15" customHeight="1">
      <c r="A528" s="986" t="s">
        <v>1894</v>
      </c>
      <c r="B528" s="986"/>
      <c r="C528" s="986"/>
      <c r="D528" s="986"/>
      <c r="E528" s="986"/>
      <c r="F528" s="986"/>
      <c r="G528" s="79">
        <f>ROUND(SUM(G522:G527),2)</f>
        <v>5.08</v>
      </c>
      <c r="K528" s="237"/>
    </row>
    <row r="529" spans="1:11" ht="25.5" customHeight="1">
      <c r="A529" s="80"/>
      <c r="B529" s="80"/>
      <c r="C529" s="965"/>
      <c r="D529" s="966"/>
      <c r="E529" s="80"/>
      <c r="F529" s="80"/>
      <c r="G529" s="80"/>
      <c r="K529" s="237"/>
    </row>
    <row r="530" spans="1:11" ht="39.75" customHeight="1">
      <c r="A530" s="920" t="s">
        <v>2100</v>
      </c>
      <c r="B530" s="921"/>
      <c r="C530" s="921"/>
      <c r="D530" s="921"/>
      <c r="E530" s="921"/>
      <c r="F530" s="75" t="s">
        <v>1915</v>
      </c>
      <c r="G530" s="88"/>
      <c r="K530" s="237"/>
    </row>
    <row r="531" spans="1:11" ht="28.5">
      <c r="A531" s="984" t="s">
        <v>1917</v>
      </c>
      <c r="B531" s="985"/>
      <c r="C531" s="77" t="s">
        <v>3</v>
      </c>
      <c r="D531" s="77" t="s">
        <v>4</v>
      </c>
      <c r="E531" s="77" t="s">
        <v>1826</v>
      </c>
      <c r="F531" s="77" t="s">
        <v>367</v>
      </c>
      <c r="G531" s="77" t="s">
        <v>368</v>
      </c>
      <c r="K531" s="237"/>
    </row>
    <row r="532" spans="1:11" ht="30">
      <c r="A532" s="24">
        <v>122</v>
      </c>
      <c r="B532" s="78" t="s">
        <v>477</v>
      </c>
      <c r="C532" s="25" t="s">
        <v>12</v>
      </c>
      <c r="D532" s="25" t="s">
        <v>17</v>
      </c>
      <c r="E532" s="26">
        <v>8.9999999999999993E-3</v>
      </c>
      <c r="F532" s="26">
        <f t="shared" ref="F532" si="134">H532</f>
        <v>55.59</v>
      </c>
      <c r="G532" s="26">
        <f t="shared" ref="G532" si="135">ROUND(F532*E532,2)</f>
        <v>0.5</v>
      </c>
      <c r="H532" s="375">
        <v>55.59</v>
      </c>
      <c r="I532" s="28" t="e">
        <f>IF(A532&lt;&gt;0,VLOOKUP(A532,#REF!,2,FALSE),"")</f>
        <v>#REF!</v>
      </c>
      <c r="K532" s="237"/>
    </row>
    <row r="533" spans="1:11" ht="30">
      <c r="A533" s="24">
        <v>20083</v>
      </c>
      <c r="B533" s="78" t="s">
        <v>479</v>
      </c>
      <c r="C533" s="25" t="s">
        <v>12</v>
      </c>
      <c r="D533" s="25" t="s">
        <v>17</v>
      </c>
      <c r="E533" s="26">
        <v>1.0999999999999999E-2</v>
      </c>
      <c r="F533" s="26">
        <f t="shared" ref="F533:F537" si="136">H533</f>
        <v>48.271500000000003</v>
      </c>
      <c r="G533" s="26">
        <f t="shared" ref="G533:G537" si="137">ROUND(F533*E533,2)</f>
        <v>0.53</v>
      </c>
      <c r="H533" s="375">
        <v>48.271500000000003</v>
      </c>
      <c r="I533" s="28" t="e">
        <f>IF(A533&lt;&gt;0,VLOOKUP(A533,#REF!,2,FALSE),"")</f>
        <v>#REF!</v>
      </c>
      <c r="K533" s="237"/>
    </row>
    <row r="534" spans="1:11">
      <c r="A534" s="24">
        <v>38383</v>
      </c>
      <c r="B534" s="78" t="s">
        <v>480</v>
      </c>
      <c r="C534" s="25" t="s">
        <v>12</v>
      </c>
      <c r="D534" s="25" t="s">
        <v>17</v>
      </c>
      <c r="E534" s="26">
        <v>0.06</v>
      </c>
      <c r="F534" s="26">
        <f t="shared" si="136"/>
        <v>1.649</v>
      </c>
      <c r="G534" s="26">
        <f t="shared" si="137"/>
        <v>0.1</v>
      </c>
      <c r="H534" s="375">
        <v>1.649</v>
      </c>
      <c r="I534" s="28" t="e">
        <f>IF(A534&lt;&gt;0,VLOOKUP(A534,#REF!,2,FALSE),"")</f>
        <v>#REF!</v>
      </c>
      <c r="K534" s="237"/>
    </row>
    <row r="535" spans="1:11" ht="45">
      <c r="A535" s="24">
        <v>834</v>
      </c>
      <c r="B535" s="78" t="s">
        <v>486</v>
      </c>
      <c r="C535" s="25" t="s">
        <v>12</v>
      </c>
      <c r="D535" s="25" t="s">
        <v>17</v>
      </c>
      <c r="E535" s="26">
        <v>1</v>
      </c>
      <c r="F535" s="26">
        <f t="shared" si="136"/>
        <v>3.536</v>
      </c>
      <c r="G535" s="26">
        <f t="shared" si="137"/>
        <v>3.54</v>
      </c>
      <c r="H535" s="375">
        <v>3.536</v>
      </c>
      <c r="I535" s="28" t="e">
        <f>IF(A535&lt;&gt;0,VLOOKUP(A535,#REF!,2,FALSE),"")</f>
        <v>#REF!</v>
      </c>
      <c r="K535" s="237"/>
    </row>
    <row r="536" spans="1:11" ht="45">
      <c r="A536" s="24">
        <v>88248</v>
      </c>
      <c r="B536" s="78" t="s">
        <v>473</v>
      </c>
      <c r="C536" s="25" t="s">
        <v>12</v>
      </c>
      <c r="D536" s="25" t="s">
        <v>19</v>
      </c>
      <c r="E536" s="26">
        <v>0.11899999999999999</v>
      </c>
      <c r="F536" s="26">
        <f t="shared" si="136"/>
        <v>11.483499999999999</v>
      </c>
      <c r="G536" s="26">
        <f t="shared" si="137"/>
        <v>1.37</v>
      </c>
      <c r="H536" s="375">
        <v>11.483499999999999</v>
      </c>
      <c r="I536" s="28" t="e">
        <f>IF(A536&lt;&gt;0,VLOOKUP(A536,#REF!,2,FALSE),"")</f>
        <v>#REF!</v>
      </c>
      <c r="K536" s="237"/>
    </row>
    <row r="537" spans="1:11" ht="30">
      <c r="A537" s="24">
        <v>88267</v>
      </c>
      <c r="B537" s="78" t="s">
        <v>472</v>
      </c>
      <c r="C537" s="25" t="s">
        <v>12</v>
      </c>
      <c r="D537" s="25" t="s">
        <v>19</v>
      </c>
      <c r="E537" s="26">
        <v>0.11899999999999999</v>
      </c>
      <c r="F537" s="26">
        <f t="shared" si="136"/>
        <v>14.7135</v>
      </c>
      <c r="G537" s="26">
        <f t="shared" si="137"/>
        <v>1.75</v>
      </c>
      <c r="H537" s="375">
        <v>14.7135</v>
      </c>
      <c r="I537" s="28" t="e">
        <f>IF(A537&lt;&gt;0,VLOOKUP(A537,#REF!,2,FALSE),"")</f>
        <v>#REF!</v>
      </c>
      <c r="K537" s="237"/>
    </row>
    <row r="538" spans="1:11" ht="15" customHeight="1">
      <c r="A538" s="986" t="s">
        <v>1894</v>
      </c>
      <c r="B538" s="986"/>
      <c r="C538" s="986"/>
      <c r="D538" s="986"/>
      <c r="E538" s="986"/>
      <c r="F538" s="986"/>
      <c r="G538" s="79">
        <f>ROUND(SUM(G532:G537),2)</f>
        <v>7.79</v>
      </c>
      <c r="K538" s="237"/>
    </row>
    <row r="539" spans="1:11" ht="21.75" customHeight="1">
      <c r="A539" s="80"/>
      <c r="B539" s="80"/>
      <c r="C539" s="965"/>
      <c r="D539" s="966"/>
      <c r="E539" s="80"/>
      <c r="F539" s="80"/>
      <c r="G539" s="80"/>
      <c r="K539" s="237"/>
    </row>
    <row r="540" spans="1:11">
      <c r="A540" s="80"/>
      <c r="B540" s="80"/>
      <c r="C540" s="965"/>
      <c r="D540" s="966"/>
      <c r="E540" s="80"/>
      <c r="F540" s="80"/>
      <c r="G540" s="80"/>
      <c r="K540" s="237"/>
    </row>
    <row r="541" spans="1:11" ht="35.25" customHeight="1">
      <c r="A541" s="920" t="s">
        <v>2101</v>
      </c>
      <c r="B541" s="921"/>
      <c r="C541" s="921"/>
      <c r="D541" s="921"/>
      <c r="E541" s="921"/>
      <c r="F541" s="75" t="s">
        <v>1915</v>
      </c>
      <c r="G541" s="88"/>
      <c r="K541" s="237"/>
    </row>
    <row r="542" spans="1:11" ht="28.5">
      <c r="A542" s="984" t="s">
        <v>1917</v>
      </c>
      <c r="B542" s="985"/>
      <c r="C542" s="77" t="s">
        <v>3</v>
      </c>
      <c r="D542" s="77" t="s">
        <v>4</v>
      </c>
      <c r="E542" s="77" t="s">
        <v>1826</v>
      </c>
      <c r="F542" s="77" t="s">
        <v>367</v>
      </c>
      <c r="G542" s="77" t="s">
        <v>368</v>
      </c>
      <c r="K542" s="237"/>
    </row>
    <row r="543" spans="1:11" ht="30">
      <c r="A543" s="24">
        <v>122</v>
      </c>
      <c r="B543" s="78" t="s">
        <v>477</v>
      </c>
      <c r="C543" s="25" t="s">
        <v>12</v>
      </c>
      <c r="D543" s="25" t="s">
        <v>17</v>
      </c>
      <c r="E543" s="26">
        <v>8.9999999999999993E-3</v>
      </c>
      <c r="F543" s="26">
        <f t="shared" ref="F543" si="138">H543</f>
        <v>55.59</v>
      </c>
      <c r="G543" s="26">
        <f t="shared" ref="G543" si="139">ROUND(F543*E543,2)</f>
        <v>0.5</v>
      </c>
      <c r="H543" s="375">
        <v>55.59</v>
      </c>
      <c r="I543" s="28" t="e">
        <f>IF(A543&lt;&gt;0,VLOOKUP(A543,#REF!,2,FALSE),"")</f>
        <v>#REF!</v>
      </c>
      <c r="K543" s="237"/>
    </row>
    <row r="544" spans="1:11" ht="30">
      <c r="A544" s="24">
        <v>20083</v>
      </c>
      <c r="B544" s="78" t="s">
        <v>479</v>
      </c>
      <c r="C544" s="25" t="s">
        <v>12</v>
      </c>
      <c r="D544" s="25" t="s">
        <v>17</v>
      </c>
      <c r="E544" s="26">
        <v>1.0999999999999999E-2</v>
      </c>
      <c r="F544" s="26">
        <f t="shared" ref="F544:F548" si="140">H544</f>
        <v>48.271500000000003</v>
      </c>
      <c r="G544" s="26">
        <f t="shared" ref="G544:G548" si="141">ROUND(F544*E544,2)</f>
        <v>0.53</v>
      </c>
      <c r="H544" s="375">
        <v>48.271500000000003</v>
      </c>
      <c r="I544" s="28" t="e">
        <f>IF(A544&lt;&gt;0,VLOOKUP(A544,#REF!,2,FALSE),"")</f>
        <v>#REF!</v>
      </c>
      <c r="K544" s="237"/>
    </row>
    <row r="545" spans="1:11">
      <c r="A545" s="24">
        <v>38383</v>
      </c>
      <c r="B545" s="78" t="s">
        <v>480</v>
      </c>
      <c r="C545" s="25" t="s">
        <v>12</v>
      </c>
      <c r="D545" s="25" t="s">
        <v>17</v>
      </c>
      <c r="E545" s="26">
        <v>0.06</v>
      </c>
      <c r="F545" s="26">
        <f t="shared" si="140"/>
        <v>1.649</v>
      </c>
      <c r="G545" s="26">
        <f t="shared" si="141"/>
        <v>0.1</v>
      </c>
      <c r="H545" s="375">
        <v>1.649</v>
      </c>
      <c r="I545" s="28" t="e">
        <f>IF(A545&lt;&gt;0,VLOOKUP(A545,#REF!,2,FALSE),"")</f>
        <v>#REF!</v>
      </c>
      <c r="K545" s="237"/>
    </row>
    <row r="546" spans="1:11" ht="45">
      <c r="A546" s="24">
        <v>820</v>
      </c>
      <c r="B546" s="78" t="s">
        <v>487</v>
      </c>
      <c r="C546" s="25" t="s">
        <v>12</v>
      </c>
      <c r="D546" s="25" t="s">
        <v>17</v>
      </c>
      <c r="E546" s="26">
        <v>1</v>
      </c>
      <c r="F546" s="26">
        <f t="shared" si="140"/>
        <v>4.9215</v>
      </c>
      <c r="G546" s="26">
        <f t="shared" si="141"/>
        <v>4.92</v>
      </c>
      <c r="H546" s="375">
        <v>4.9215</v>
      </c>
      <c r="I546" s="28" t="e">
        <f>IF(A546&lt;&gt;0,VLOOKUP(A546,#REF!,2,FALSE),"")</f>
        <v>#REF!</v>
      </c>
      <c r="K546" s="237"/>
    </row>
    <row r="547" spans="1:11" ht="45">
      <c r="A547" s="24">
        <v>88248</v>
      </c>
      <c r="B547" s="78" t="s">
        <v>473</v>
      </c>
      <c r="C547" s="25" t="s">
        <v>12</v>
      </c>
      <c r="D547" s="25" t="s">
        <v>19</v>
      </c>
      <c r="E547" s="26">
        <v>0.11899999999999999</v>
      </c>
      <c r="F547" s="26">
        <f t="shared" si="140"/>
        <v>11.483499999999999</v>
      </c>
      <c r="G547" s="26">
        <f t="shared" si="141"/>
        <v>1.37</v>
      </c>
      <c r="H547" s="375">
        <v>11.483499999999999</v>
      </c>
      <c r="I547" s="28" t="e">
        <f>IF(A547&lt;&gt;0,VLOOKUP(A547,#REF!,2,FALSE),"")</f>
        <v>#REF!</v>
      </c>
      <c r="K547" s="237"/>
    </row>
    <row r="548" spans="1:11" ht="30">
      <c r="A548" s="24">
        <v>88267</v>
      </c>
      <c r="B548" s="78" t="s">
        <v>472</v>
      </c>
      <c r="C548" s="25" t="s">
        <v>12</v>
      </c>
      <c r="D548" s="25" t="s">
        <v>19</v>
      </c>
      <c r="E548" s="26">
        <v>0.11899999999999999</v>
      </c>
      <c r="F548" s="26">
        <f t="shared" si="140"/>
        <v>14.7135</v>
      </c>
      <c r="G548" s="26">
        <f t="shared" si="141"/>
        <v>1.75</v>
      </c>
      <c r="H548" s="375">
        <v>14.7135</v>
      </c>
      <c r="I548" s="28" t="e">
        <f>IF(A548&lt;&gt;0,VLOOKUP(A548,#REF!,2,FALSE),"")</f>
        <v>#REF!</v>
      </c>
      <c r="K548" s="237"/>
    </row>
    <row r="549" spans="1:11" ht="15" customHeight="1">
      <c r="A549" s="986" t="s">
        <v>1894</v>
      </c>
      <c r="B549" s="986"/>
      <c r="C549" s="986"/>
      <c r="D549" s="986"/>
      <c r="E549" s="986"/>
      <c r="F549" s="986"/>
      <c r="G549" s="79">
        <f>ROUND(SUM(G543:G548),2)</f>
        <v>9.17</v>
      </c>
      <c r="K549" s="237"/>
    </row>
    <row r="550" spans="1:11" ht="21.75" customHeight="1">
      <c r="A550" s="80"/>
      <c r="B550" s="80"/>
      <c r="C550" s="965"/>
      <c r="D550" s="966"/>
      <c r="E550" s="80"/>
      <c r="F550" s="80"/>
      <c r="G550" s="80"/>
      <c r="K550" s="237"/>
    </row>
    <row r="551" spans="1:11" ht="39" customHeight="1">
      <c r="A551" s="920" t="s">
        <v>2103</v>
      </c>
      <c r="B551" s="921"/>
      <c r="C551" s="921"/>
      <c r="D551" s="921"/>
      <c r="E551" s="921"/>
      <c r="F551" s="75" t="s">
        <v>1915</v>
      </c>
      <c r="G551" s="88"/>
      <c r="K551" s="237"/>
    </row>
    <row r="552" spans="1:11" ht="28.5">
      <c r="A552" s="984" t="s">
        <v>1917</v>
      </c>
      <c r="B552" s="985"/>
      <c r="C552" s="77" t="s">
        <v>3</v>
      </c>
      <c r="D552" s="77" t="s">
        <v>4</v>
      </c>
      <c r="E552" s="77" t="s">
        <v>1826</v>
      </c>
      <c r="F552" s="77" t="s">
        <v>367</v>
      </c>
      <c r="G552" s="77" t="s">
        <v>368</v>
      </c>
      <c r="K552" s="237"/>
    </row>
    <row r="553" spans="1:11" ht="30">
      <c r="A553" s="24">
        <v>122</v>
      </c>
      <c r="B553" s="78" t="s">
        <v>477</v>
      </c>
      <c r="C553" s="25" t="s">
        <v>12</v>
      </c>
      <c r="D553" s="25" t="s">
        <v>17</v>
      </c>
      <c r="E553" s="26">
        <v>8.9999999999999993E-3</v>
      </c>
      <c r="F553" s="26">
        <f t="shared" ref="F553" si="142">H553</f>
        <v>55.59</v>
      </c>
      <c r="G553" s="26">
        <f t="shared" ref="G553" si="143">ROUND(F553*E553,2)</f>
        <v>0.5</v>
      </c>
      <c r="H553" s="375">
        <v>55.59</v>
      </c>
      <c r="I553" s="28" t="e">
        <f>IF(A553&lt;&gt;0,VLOOKUP(A553,#REF!,2,FALSE),"")</f>
        <v>#REF!</v>
      </c>
      <c r="K553" s="237"/>
    </row>
    <row r="554" spans="1:11" ht="30">
      <c r="A554" s="24">
        <v>20083</v>
      </c>
      <c r="B554" s="78" t="s">
        <v>479</v>
      </c>
      <c r="C554" s="25" t="s">
        <v>12</v>
      </c>
      <c r="D554" s="25" t="s">
        <v>17</v>
      </c>
      <c r="E554" s="26">
        <v>1.0999999999999999E-2</v>
      </c>
      <c r="F554" s="26">
        <f t="shared" ref="F554:F558" si="144">H554</f>
        <v>48.271500000000003</v>
      </c>
      <c r="G554" s="26">
        <f t="shared" ref="G554:G558" si="145">ROUND(F554*E554,2)</f>
        <v>0.53</v>
      </c>
      <c r="H554" s="375">
        <v>48.271500000000003</v>
      </c>
      <c r="I554" s="28" t="e">
        <f>IF(A554&lt;&gt;0,VLOOKUP(A554,#REF!,2,FALSE),"")</f>
        <v>#REF!</v>
      </c>
      <c r="K554" s="237"/>
    </row>
    <row r="555" spans="1:11">
      <c r="A555" s="24">
        <v>38383</v>
      </c>
      <c r="B555" s="78" t="s">
        <v>480</v>
      </c>
      <c r="C555" s="25" t="s">
        <v>12</v>
      </c>
      <c r="D555" s="25" t="s">
        <v>17</v>
      </c>
      <c r="E555" s="26">
        <v>0.06</v>
      </c>
      <c r="F555" s="26">
        <f t="shared" si="144"/>
        <v>1.649</v>
      </c>
      <c r="G555" s="26">
        <f t="shared" si="145"/>
        <v>0.1</v>
      </c>
      <c r="H555" s="375">
        <v>1.649</v>
      </c>
      <c r="I555" s="28" t="e">
        <f>IF(A555&lt;&gt;0,VLOOKUP(A555,#REF!,2,FALSE),"")</f>
        <v>#REF!</v>
      </c>
      <c r="K555" s="237"/>
    </row>
    <row r="556" spans="1:11" ht="45">
      <c r="A556" s="24">
        <v>819</v>
      </c>
      <c r="B556" s="78" t="s">
        <v>488</v>
      </c>
      <c r="C556" s="25" t="s">
        <v>12</v>
      </c>
      <c r="D556" s="25" t="s">
        <v>17</v>
      </c>
      <c r="E556" s="26">
        <v>1</v>
      </c>
      <c r="F556" s="26">
        <f t="shared" si="144"/>
        <v>2.992</v>
      </c>
      <c r="G556" s="26">
        <f t="shared" si="145"/>
        <v>2.99</v>
      </c>
      <c r="H556" s="375">
        <v>2.992</v>
      </c>
      <c r="I556" s="28" t="e">
        <f>IF(A556&lt;&gt;0,VLOOKUP(A556,#REF!,2,FALSE),"")</f>
        <v>#REF!</v>
      </c>
      <c r="K556" s="237"/>
    </row>
    <row r="557" spans="1:11" ht="45">
      <c r="A557" s="24">
        <v>88248</v>
      </c>
      <c r="B557" s="78" t="s">
        <v>473</v>
      </c>
      <c r="C557" s="25" t="s">
        <v>12</v>
      </c>
      <c r="D557" s="25" t="s">
        <v>19</v>
      </c>
      <c r="E557" s="26">
        <v>0.11899999999999999</v>
      </c>
      <c r="F557" s="26">
        <f t="shared" si="144"/>
        <v>11.483499999999999</v>
      </c>
      <c r="G557" s="26">
        <f t="shared" si="145"/>
        <v>1.37</v>
      </c>
      <c r="H557" s="375">
        <v>11.483499999999999</v>
      </c>
      <c r="I557" s="28" t="e">
        <f>IF(A557&lt;&gt;0,VLOOKUP(A557,#REF!,2,FALSE),"")</f>
        <v>#REF!</v>
      </c>
      <c r="K557" s="237"/>
    </row>
    <row r="558" spans="1:11" ht="30">
      <c r="A558" s="24">
        <v>88267</v>
      </c>
      <c r="B558" s="78" t="s">
        <v>472</v>
      </c>
      <c r="C558" s="25" t="s">
        <v>12</v>
      </c>
      <c r="D558" s="25" t="s">
        <v>19</v>
      </c>
      <c r="E558" s="26">
        <v>0.11899999999999999</v>
      </c>
      <c r="F558" s="26">
        <f t="shared" si="144"/>
        <v>14.7135</v>
      </c>
      <c r="G558" s="26">
        <f t="shared" si="145"/>
        <v>1.75</v>
      </c>
      <c r="H558" s="375">
        <v>14.7135</v>
      </c>
      <c r="I558" s="28" t="e">
        <f>IF(A558&lt;&gt;0,VLOOKUP(A558,#REF!,2,FALSE),"")</f>
        <v>#REF!</v>
      </c>
      <c r="K558" s="237"/>
    </row>
    <row r="559" spans="1:11" ht="15" customHeight="1">
      <c r="A559" s="986" t="s">
        <v>1894</v>
      </c>
      <c r="B559" s="986"/>
      <c r="C559" s="986"/>
      <c r="D559" s="986"/>
      <c r="E559" s="986"/>
      <c r="F559" s="986"/>
      <c r="G559" s="79">
        <f>ROUND(SUM(G553:G558),2)</f>
        <v>7.24</v>
      </c>
      <c r="K559" s="237"/>
    </row>
    <row r="560" spans="1:11" ht="24.75" customHeight="1">
      <c r="A560" s="80"/>
      <c r="B560" s="80"/>
      <c r="C560" s="965"/>
      <c r="D560" s="966"/>
      <c r="E560" s="80"/>
      <c r="F560" s="80"/>
      <c r="G560" s="80"/>
      <c r="K560" s="237"/>
    </row>
    <row r="561" spans="1:11">
      <c r="A561" s="80"/>
      <c r="B561" s="80"/>
      <c r="C561" s="965"/>
      <c r="D561" s="966"/>
      <c r="E561" s="80"/>
      <c r="F561" s="80"/>
      <c r="G561" s="80"/>
      <c r="K561" s="237"/>
    </row>
    <row r="562" spans="1:11" ht="37.5" customHeight="1">
      <c r="A562" s="920" t="s">
        <v>2105</v>
      </c>
      <c r="B562" s="921"/>
      <c r="C562" s="921"/>
      <c r="D562" s="921"/>
      <c r="E562" s="921"/>
      <c r="F562" s="75" t="s">
        <v>1915</v>
      </c>
      <c r="G562" s="88"/>
      <c r="K562" s="237"/>
    </row>
    <row r="563" spans="1:11" ht="28.5">
      <c r="A563" s="984" t="s">
        <v>1917</v>
      </c>
      <c r="B563" s="985"/>
      <c r="C563" s="77" t="s">
        <v>3</v>
      </c>
      <c r="D563" s="77" t="s">
        <v>4</v>
      </c>
      <c r="E563" s="77" t="s">
        <v>1826</v>
      </c>
      <c r="F563" s="77" t="s">
        <v>367</v>
      </c>
      <c r="G563" s="77" t="s">
        <v>368</v>
      </c>
      <c r="K563" s="237"/>
    </row>
    <row r="564" spans="1:11" ht="30">
      <c r="A564" s="24">
        <v>122</v>
      </c>
      <c r="B564" s="78" t="s">
        <v>477</v>
      </c>
      <c r="C564" s="25" t="s">
        <v>12</v>
      </c>
      <c r="D564" s="25" t="s">
        <v>17</v>
      </c>
      <c r="E564" s="26">
        <v>1.4E-2</v>
      </c>
      <c r="F564" s="26">
        <f t="shared" ref="F564" si="146">H564</f>
        <v>55.59</v>
      </c>
      <c r="G564" s="26">
        <f t="shared" ref="G564" si="147">ROUND(F564*E564,2)</f>
        <v>0.78</v>
      </c>
      <c r="H564" s="375">
        <v>55.59</v>
      </c>
      <c r="I564" s="28" t="e">
        <f>IF(A564&lt;&gt;0,VLOOKUP(A564,#REF!,2,FALSE),"")</f>
        <v>#REF!</v>
      </c>
      <c r="K564" s="237"/>
    </row>
    <row r="565" spans="1:11" ht="30">
      <c r="A565" s="24">
        <v>20083</v>
      </c>
      <c r="B565" s="78" t="s">
        <v>479</v>
      </c>
      <c r="C565" s="25" t="s">
        <v>12</v>
      </c>
      <c r="D565" s="25" t="s">
        <v>17</v>
      </c>
      <c r="E565" s="26">
        <v>1.7000000000000001E-2</v>
      </c>
      <c r="F565" s="26">
        <f t="shared" ref="F565:F569" si="148">H565</f>
        <v>48.271500000000003</v>
      </c>
      <c r="G565" s="26">
        <f t="shared" ref="G565:G569" si="149">ROUND(F565*E565,2)</f>
        <v>0.82</v>
      </c>
      <c r="H565" s="375">
        <v>48.271500000000003</v>
      </c>
      <c r="I565" s="28" t="e">
        <f>IF(A565&lt;&gt;0,VLOOKUP(A565,#REF!,2,FALSE),"")</f>
        <v>#REF!</v>
      </c>
      <c r="K565" s="237"/>
    </row>
    <row r="566" spans="1:11">
      <c r="A566" s="24">
        <v>38383</v>
      </c>
      <c r="B566" s="78" t="s">
        <v>480</v>
      </c>
      <c r="C566" s="25" t="s">
        <v>12</v>
      </c>
      <c r="D566" s="25" t="s">
        <v>17</v>
      </c>
      <c r="E566" s="26">
        <v>5.2999999999999999E-2</v>
      </c>
      <c r="F566" s="26">
        <f t="shared" si="148"/>
        <v>1.649</v>
      </c>
      <c r="G566" s="26">
        <f t="shared" si="149"/>
        <v>0.09</v>
      </c>
      <c r="H566" s="375">
        <v>1.649</v>
      </c>
      <c r="I566" s="28" t="e">
        <f>IF(A566&lt;&gt;0,VLOOKUP(A566,#REF!,2,FALSE),"")</f>
        <v>#REF!</v>
      </c>
      <c r="K566" s="237"/>
    </row>
    <row r="567" spans="1:11" ht="30">
      <c r="A567" s="24">
        <v>7136</v>
      </c>
      <c r="B567" s="78" t="s">
        <v>489</v>
      </c>
      <c r="C567" s="25" t="s">
        <v>12</v>
      </c>
      <c r="D567" s="25" t="s">
        <v>17</v>
      </c>
      <c r="E567" s="26">
        <v>1</v>
      </c>
      <c r="F567" s="26">
        <f t="shared" si="148"/>
        <v>5.6950000000000003</v>
      </c>
      <c r="G567" s="26">
        <f t="shared" si="149"/>
        <v>5.7</v>
      </c>
      <c r="H567" s="375">
        <v>5.6950000000000003</v>
      </c>
      <c r="I567" s="28" t="e">
        <f>IF(A567&lt;&gt;0,VLOOKUP(A567,#REF!,2,FALSE),"")</f>
        <v>#REF!</v>
      </c>
      <c r="K567" s="237"/>
    </row>
    <row r="568" spans="1:11" ht="45">
      <c r="A568" s="24">
        <v>88248</v>
      </c>
      <c r="B568" s="78" t="s">
        <v>473</v>
      </c>
      <c r="C568" s="25" t="s">
        <v>12</v>
      </c>
      <c r="D568" s="25" t="s">
        <v>19</v>
      </c>
      <c r="E568" s="26">
        <v>0.14299999999999999</v>
      </c>
      <c r="F568" s="26">
        <f t="shared" si="148"/>
        <v>11.483499999999999</v>
      </c>
      <c r="G568" s="26">
        <f t="shared" si="149"/>
        <v>1.64</v>
      </c>
      <c r="H568" s="375">
        <v>11.483499999999999</v>
      </c>
      <c r="I568" s="28" t="e">
        <f>IF(A568&lt;&gt;0,VLOOKUP(A568,#REF!,2,FALSE),"")</f>
        <v>#REF!</v>
      </c>
      <c r="K568" s="237"/>
    </row>
    <row r="569" spans="1:11" ht="30">
      <c r="A569" s="24">
        <v>88267</v>
      </c>
      <c r="B569" s="78" t="s">
        <v>472</v>
      </c>
      <c r="C569" s="25" t="s">
        <v>12</v>
      </c>
      <c r="D569" s="25" t="s">
        <v>19</v>
      </c>
      <c r="E569" s="26">
        <v>0.14299999999999999</v>
      </c>
      <c r="F569" s="26">
        <f t="shared" si="148"/>
        <v>14.7135</v>
      </c>
      <c r="G569" s="26">
        <f t="shared" si="149"/>
        <v>2.1</v>
      </c>
      <c r="H569" s="375">
        <v>14.7135</v>
      </c>
      <c r="I569" s="28" t="e">
        <f>IF(A569&lt;&gt;0,VLOOKUP(A569,#REF!,2,FALSE),"")</f>
        <v>#REF!</v>
      </c>
      <c r="K569" s="237"/>
    </row>
    <row r="570" spans="1:11" ht="15" customHeight="1">
      <c r="A570" s="986" t="s">
        <v>1894</v>
      </c>
      <c r="B570" s="986"/>
      <c r="C570" s="986"/>
      <c r="D570" s="986"/>
      <c r="E570" s="986"/>
      <c r="F570" s="986"/>
      <c r="G570" s="79">
        <f>ROUND(SUM(G564:G569),2)</f>
        <v>11.13</v>
      </c>
      <c r="K570" s="237"/>
    </row>
    <row r="571" spans="1:11" ht="26.25" customHeight="1">
      <c r="A571" s="80"/>
      <c r="B571" s="80"/>
      <c r="C571" s="965"/>
      <c r="D571" s="966"/>
      <c r="E571" s="80"/>
      <c r="F571" s="80"/>
      <c r="G571" s="80"/>
      <c r="K571" s="237"/>
    </row>
    <row r="572" spans="1:11" ht="39.75" customHeight="1">
      <c r="A572" s="920" t="s">
        <v>2107</v>
      </c>
      <c r="B572" s="921"/>
      <c r="C572" s="921"/>
      <c r="D572" s="921"/>
      <c r="E572" s="921"/>
      <c r="F572" s="75" t="s">
        <v>1915</v>
      </c>
      <c r="G572" s="88"/>
      <c r="K572" s="237"/>
    </row>
    <row r="573" spans="1:11" ht="28.5">
      <c r="A573" s="984" t="s">
        <v>1917</v>
      </c>
      <c r="B573" s="985"/>
      <c r="C573" s="77" t="s">
        <v>3</v>
      </c>
      <c r="D573" s="77" t="s">
        <v>4</v>
      </c>
      <c r="E573" s="77" t="s">
        <v>1826</v>
      </c>
      <c r="F573" s="77" t="s">
        <v>367</v>
      </c>
      <c r="G573" s="77" t="s">
        <v>368</v>
      </c>
      <c r="K573" s="237"/>
    </row>
    <row r="574" spans="1:11" ht="30">
      <c r="A574" s="24">
        <v>122</v>
      </c>
      <c r="B574" s="78" t="s">
        <v>477</v>
      </c>
      <c r="C574" s="25" t="s">
        <v>12</v>
      </c>
      <c r="D574" s="25" t="s">
        <v>17</v>
      </c>
      <c r="E574" s="26">
        <v>1.4E-2</v>
      </c>
      <c r="F574" s="26">
        <f t="shared" ref="F574" si="150">H574</f>
        <v>55.59</v>
      </c>
      <c r="G574" s="26">
        <f t="shared" ref="G574" si="151">ROUND(F574*E574,2)</f>
        <v>0.78</v>
      </c>
      <c r="H574" s="375">
        <v>55.59</v>
      </c>
      <c r="I574" s="28" t="e">
        <f>IF(A574&lt;&gt;0,VLOOKUP(A574,#REF!,2,FALSE),"")</f>
        <v>#REF!</v>
      </c>
      <c r="K574" s="237"/>
    </row>
    <row r="575" spans="1:11" ht="30">
      <c r="A575" s="24">
        <v>20083</v>
      </c>
      <c r="B575" s="78" t="s">
        <v>479</v>
      </c>
      <c r="C575" s="25" t="s">
        <v>12</v>
      </c>
      <c r="D575" s="25" t="s">
        <v>17</v>
      </c>
      <c r="E575" s="26">
        <v>1.7000000000000001E-2</v>
      </c>
      <c r="F575" s="26">
        <f t="shared" ref="F575:F579" si="152">H575</f>
        <v>48.271500000000003</v>
      </c>
      <c r="G575" s="26">
        <f t="shared" ref="G575:G579" si="153">ROUND(F575*E575,2)</f>
        <v>0.82</v>
      </c>
      <c r="H575" s="375">
        <v>48.271500000000003</v>
      </c>
      <c r="I575" s="28" t="e">
        <f>IF(A575&lt;&gt;0,VLOOKUP(A575,#REF!,2,FALSE),"")</f>
        <v>#REF!</v>
      </c>
      <c r="K575" s="237"/>
    </row>
    <row r="576" spans="1:11">
      <c r="A576" s="24">
        <v>38383</v>
      </c>
      <c r="B576" s="78" t="s">
        <v>480</v>
      </c>
      <c r="C576" s="25" t="s">
        <v>12</v>
      </c>
      <c r="D576" s="25" t="s">
        <v>17</v>
      </c>
      <c r="E576" s="26">
        <v>5.2999999999999999E-2</v>
      </c>
      <c r="F576" s="26">
        <f t="shared" si="152"/>
        <v>1.649</v>
      </c>
      <c r="G576" s="26">
        <f t="shared" si="153"/>
        <v>0.09</v>
      </c>
      <c r="H576" s="375">
        <v>1.649</v>
      </c>
      <c r="I576" s="28" t="e">
        <f>IF(A576&lt;&gt;0,VLOOKUP(A576,#REF!,2,FALSE),"")</f>
        <v>#REF!</v>
      </c>
      <c r="K576" s="237"/>
    </row>
    <row r="577" spans="1:11" ht="30">
      <c r="A577" s="24">
        <v>7128</v>
      </c>
      <c r="B577" s="78" t="s">
        <v>490</v>
      </c>
      <c r="C577" s="25" t="s">
        <v>12</v>
      </c>
      <c r="D577" s="25" t="s">
        <v>17</v>
      </c>
      <c r="E577" s="26">
        <v>1</v>
      </c>
      <c r="F577" s="26">
        <f t="shared" si="152"/>
        <v>9.3330000000000002</v>
      </c>
      <c r="G577" s="26">
        <f t="shared" si="153"/>
        <v>9.33</v>
      </c>
      <c r="H577" s="375">
        <v>9.3330000000000002</v>
      </c>
      <c r="I577" s="28" t="e">
        <f>IF(A577&lt;&gt;0,VLOOKUP(A577,#REF!,2,FALSE),"")</f>
        <v>#REF!</v>
      </c>
      <c r="K577" s="237"/>
    </row>
    <row r="578" spans="1:11" ht="45">
      <c r="A578" s="24">
        <v>88248</v>
      </c>
      <c r="B578" s="78" t="s">
        <v>473</v>
      </c>
      <c r="C578" s="25" t="s">
        <v>12</v>
      </c>
      <c r="D578" s="25" t="s">
        <v>19</v>
      </c>
      <c r="E578" s="26">
        <v>0.14299999999999999</v>
      </c>
      <c r="F578" s="26">
        <f t="shared" si="152"/>
        <v>11.483499999999999</v>
      </c>
      <c r="G578" s="26">
        <f t="shared" si="153"/>
        <v>1.64</v>
      </c>
      <c r="H578" s="375">
        <v>11.483499999999999</v>
      </c>
      <c r="I578" s="28" t="e">
        <f>IF(A578&lt;&gt;0,VLOOKUP(A578,#REF!,2,FALSE),"")</f>
        <v>#REF!</v>
      </c>
      <c r="K578" s="237"/>
    </row>
    <row r="579" spans="1:11" ht="30">
      <c r="A579" s="24">
        <v>88267</v>
      </c>
      <c r="B579" s="78" t="s">
        <v>472</v>
      </c>
      <c r="C579" s="25" t="s">
        <v>12</v>
      </c>
      <c r="D579" s="25" t="s">
        <v>19</v>
      </c>
      <c r="E579" s="26">
        <v>0.14299999999999999</v>
      </c>
      <c r="F579" s="26">
        <f t="shared" si="152"/>
        <v>14.7135</v>
      </c>
      <c r="G579" s="26">
        <f t="shared" si="153"/>
        <v>2.1</v>
      </c>
      <c r="H579" s="375">
        <v>14.7135</v>
      </c>
      <c r="I579" s="28" t="e">
        <f>IF(A579&lt;&gt;0,VLOOKUP(A579,#REF!,2,FALSE),"")</f>
        <v>#REF!</v>
      </c>
      <c r="K579" s="237"/>
    </row>
    <row r="580" spans="1:11" ht="15" customHeight="1">
      <c r="A580" s="986" t="s">
        <v>1894</v>
      </c>
      <c r="B580" s="986"/>
      <c r="C580" s="986"/>
      <c r="D580" s="986"/>
      <c r="E580" s="986"/>
      <c r="F580" s="986"/>
      <c r="G580" s="79">
        <f>ROUND(SUM(G574:G579),2)</f>
        <v>14.76</v>
      </c>
      <c r="K580" s="237"/>
    </row>
    <row r="581" spans="1:11" ht="28.5" customHeight="1">
      <c r="A581" s="80"/>
      <c r="B581" s="80"/>
      <c r="C581" s="965"/>
      <c r="D581" s="966"/>
      <c r="E581" s="80"/>
      <c r="F581" s="80"/>
      <c r="G581" s="80"/>
      <c r="K581" s="237"/>
    </row>
    <row r="582" spans="1:11" ht="43.5" customHeight="1">
      <c r="A582" s="920" t="s">
        <v>2108</v>
      </c>
      <c r="B582" s="921"/>
      <c r="C582" s="921"/>
      <c r="D582" s="921"/>
      <c r="E582" s="921"/>
      <c r="F582" s="75" t="s">
        <v>1915</v>
      </c>
      <c r="G582" s="88"/>
      <c r="K582" s="237"/>
    </row>
    <row r="583" spans="1:11" ht="28.5">
      <c r="A583" s="984" t="s">
        <v>1917</v>
      </c>
      <c r="B583" s="985"/>
      <c r="C583" s="77" t="s">
        <v>3</v>
      </c>
      <c r="D583" s="77" t="s">
        <v>4</v>
      </c>
      <c r="E583" s="77" t="s">
        <v>1826</v>
      </c>
      <c r="F583" s="77" t="s">
        <v>367</v>
      </c>
      <c r="G583" s="77" t="s">
        <v>368</v>
      </c>
      <c r="K583" s="237"/>
    </row>
    <row r="584" spans="1:11" ht="30">
      <c r="A584" s="24">
        <v>122</v>
      </c>
      <c r="B584" s="78" t="s">
        <v>477</v>
      </c>
      <c r="C584" s="25" t="s">
        <v>12</v>
      </c>
      <c r="D584" s="25" t="s">
        <v>17</v>
      </c>
      <c r="E584" s="26">
        <v>1.4E-2</v>
      </c>
      <c r="F584" s="26">
        <f t="shared" ref="F584" si="154">H584</f>
        <v>55.59</v>
      </c>
      <c r="G584" s="26">
        <f t="shared" ref="G584" si="155">ROUND(F584*E584,2)</f>
        <v>0.78</v>
      </c>
      <c r="H584" s="375">
        <v>55.59</v>
      </c>
      <c r="I584" s="28" t="e">
        <f>IF(A584&lt;&gt;0,VLOOKUP(A584,#REF!,2,FALSE),"")</f>
        <v>#REF!</v>
      </c>
      <c r="K584" s="237"/>
    </row>
    <row r="585" spans="1:11" ht="30">
      <c r="A585" s="24">
        <v>20083</v>
      </c>
      <c r="B585" s="78" t="s">
        <v>479</v>
      </c>
      <c r="C585" s="25" t="s">
        <v>12</v>
      </c>
      <c r="D585" s="25" t="s">
        <v>17</v>
      </c>
      <c r="E585" s="26">
        <v>1.7000000000000001E-2</v>
      </c>
      <c r="F585" s="26">
        <f t="shared" ref="F585:F589" si="156">H585</f>
        <v>48.271500000000003</v>
      </c>
      <c r="G585" s="26">
        <f t="shared" ref="G585:G589" si="157">ROUND(F585*E585,2)</f>
        <v>0.82</v>
      </c>
      <c r="H585" s="375">
        <v>48.271500000000003</v>
      </c>
      <c r="I585" s="28" t="e">
        <f>IF(A585&lt;&gt;0,VLOOKUP(A585,#REF!,2,FALSE),"")</f>
        <v>#REF!</v>
      </c>
      <c r="K585" s="237"/>
    </row>
    <row r="586" spans="1:11">
      <c r="A586" s="24">
        <v>38383</v>
      </c>
      <c r="B586" s="78" t="s">
        <v>480</v>
      </c>
      <c r="C586" s="25" t="s">
        <v>12</v>
      </c>
      <c r="D586" s="25" t="s">
        <v>17</v>
      </c>
      <c r="E586" s="26">
        <v>5.2999999999999999E-2</v>
      </c>
      <c r="F586" s="26">
        <f t="shared" si="156"/>
        <v>1.649</v>
      </c>
      <c r="G586" s="26">
        <f t="shared" si="157"/>
        <v>0.09</v>
      </c>
      <c r="H586" s="375">
        <v>1.649</v>
      </c>
      <c r="I586" s="28" t="e">
        <f>IF(A586&lt;&gt;0,VLOOKUP(A586,#REF!,2,FALSE),"")</f>
        <v>#REF!</v>
      </c>
      <c r="K586" s="237"/>
    </row>
    <row r="587" spans="1:11" ht="30">
      <c r="A587" s="24">
        <v>7131</v>
      </c>
      <c r="B587" s="78" t="s">
        <v>491</v>
      </c>
      <c r="C587" s="25" t="s">
        <v>12</v>
      </c>
      <c r="D587" s="25" t="s">
        <v>17</v>
      </c>
      <c r="E587" s="26">
        <v>1</v>
      </c>
      <c r="F587" s="26">
        <f t="shared" si="156"/>
        <v>16.6175</v>
      </c>
      <c r="G587" s="26">
        <f t="shared" si="157"/>
        <v>16.62</v>
      </c>
      <c r="H587" s="375">
        <v>16.6175</v>
      </c>
      <c r="I587" s="28" t="e">
        <f>IF(A587&lt;&gt;0,VLOOKUP(A587,#REF!,2,FALSE),"")</f>
        <v>#REF!</v>
      </c>
      <c r="K587" s="237"/>
    </row>
    <row r="588" spans="1:11" ht="45">
      <c r="A588" s="24">
        <v>88248</v>
      </c>
      <c r="B588" s="78" t="s">
        <v>473</v>
      </c>
      <c r="C588" s="25" t="s">
        <v>12</v>
      </c>
      <c r="D588" s="25" t="s">
        <v>19</v>
      </c>
      <c r="E588" s="26">
        <v>0.14299999999999999</v>
      </c>
      <c r="F588" s="26">
        <f t="shared" si="156"/>
        <v>11.483499999999999</v>
      </c>
      <c r="G588" s="26">
        <f t="shared" si="157"/>
        <v>1.64</v>
      </c>
      <c r="H588" s="375">
        <v>11.483499999999999</v>
      </c>
      <c r="I588" s="28" t="e">
        <f>IF(A588&lt;&gt;0,VLOOKUP(A588,#REF!,2,FALSE),"")</f>
        <v>#REF!</v>
      </c>
      <c r="K588" s="237"/>
    </row>
    <row r="589" spans="1:11" ht="30">
      <c r="A589" s="24">
        <v>88267</v>
      </c>
      <c r="B589" s="78" t="s">
        <v>472</v>
      </c>
      <c r="C589" s="25" t="s">
        <v>12</v>
      </c>
      <c r="D589" s="25" t="s">
        <v>19</v>
      </c>
      <c r="E589" s="26">
        <v>0.14299999999999999</v>
      </c>
      <c r="F589" s="26">
        <f t="shared" si="156"/>
        <v>14.7135</v>
      </c>
      <c r="G589" s="26">
        <f t="shared" si="157"/>
        <v>2.1</v>
      </c>
      <c r="H589" s="375">
        <v>14.7135</v>
      </c>
      <c r="I589" s="28" t="e">
        <f>IF(A589&lt;&gt;0,VLOOKUP(A589,#REF!,2,FALSE),"")</f>
        <v>#REF!</v>
      </c>
      <c r="K589" s="237"/>
    </row>
    <row r="590" spans="1:11" ht="15" customHeight="1">
      <c r="A590" s="986" t="s">
        <v>1894</v>
      </c>
      <c r="B590" s="986"/>
      <c r="C590" s="986"/>
      <c r="D590" s="986"/>
      <c r="E590" s="986"/>
      <c r="F590" s="986"/>
      <c r="G590" s="79">
        <f>ROUND(SUM(G584:G589),2)</f>
        <v>22.05</v>
      </c>
      <c r="K590" s="237"/>
    </row>
    <row r="591" spans="1:11" ht="24.75" customHeight="1">
      <c r="A591" s="80"/>
      <c r="B591" s="80"/>
      <c r="C591" s="965"/>
      <c r="D591" s="966"/>
      <c r="E591" s="80"/>
      <c r="F591" s="80"/>
      <c r="G591" s="80"/>
      <c r="K591" s="237"/>
    </row>
    <row r="592" spans="1:11" ht="51.75" customHeight="1">
      <c r="A592" s="920" t="s">
        <v>2111</v>
      </c>
      <c r="B592" s="921"/>
      <c r="C592" s="921"/>
      <c r="D592" s="921"/>
      <c r="E592" s="921"/>
      <c r="F592" s="75" t="s">
        <v>1915</v>
      </c>
      <c r="G592" s="88"/>
      <c r="K592" s="237"/>
    </row>
    <row r="593" spans="1:11" ht="28.5">
      <c r="A593" s="984" t="s">
        <v>1917</v>
      </c>
      <c r="B593" s="985"/>
      <c r="C593" s="77" t="s">
        <v>3</v>
      </c>
      <c r="D593" s="77" t="s">
        <v>4</v>
      </c>
      <c r="E593" s="77" t="s">
        <v>1826</v>
      </c>
      <c r="F593" s="77" t="s">
        <v>367</v>
      </c>
      <c r="G593" s="77" t="s">
        <v>368</v>
      </c>
      <c r="K593" s="237"/>
    </row>
    <row r="594" spans="1:11" ht="60">
      <c r="A594" s="24">
        <v>4384</v>
      </c>
      <c r="B594" s="78" t="s">
        <v>492</v>
      </c>
      <c r="C594" s="25" t="s">
        <v>12</v>
      </c>
      <c r="D594" s="25" t="s">
        <v>17</v>
      </c>
      <c r="E594" s="26">
        <v>2</v>
      </c>
      <c r="F594" s="26">
        <f t="shared" ref="F594" si="158">H594</f>
        <v>10.591000000000001</v>
      </c>
      <c r="G594" s="26">
        <f t="shared" ref="G594" si="159">ROUND(F594*E594,2)</f>
        <v>21.18</v>
      </c>
      <c r="H594" s="375">
        <v>10.591000000000001</v>
      </c>
      <c r="I594" s="28" t="e">
        <f>IF(A594&lt;&gt;0,VLOOKUP(A594,#REF!,2,FALSE),"")</f>
        <v>#REF!</v>
      </c>
      <c r="K594" s="237"/>
    </row>
    <row r="595" spans="1:11" ht="30">
      <c r="A595" s="24">
        <v>6138</v>
      </c>
      <c r="B595" s="78" t="s">
        <v>154</v>
      </c>
      <c r="C595" s="25" t="s">
        <v>12</v>
      </c>
      <c r="D595" s="25" t="s">
        <v>17</v>
      </c>
      <c r="E595" s="26">
        <v>1</v>
      </c>
      <c r="F595" s="26">
        <f t="shared" ref="F595:F601" si="160">H595</f>
        <v>1.36</v>
      </c>
      <c r="G595" s="26">
        <f t="shared" ref="G595:G601" si="161">ROUND(F595*E595,2)</f>
        <v>1.36</v>
      </c>
      <c r="H595" s="375">
        <v>1.36</v>
      </c>
      <c r="I595" s="28" t="e">
        <f>IF(A595&lt;&gt;0,VLOOKUP(A595,#REF!,2,FALSE),"")</f>
        <v>#REF!</v>
      </c>
      <c r="K595" s="237"/>
    </row>
    <row r="596" spans="1:11">
      <c r="A596" s="24">
        <v>37329</v>
      </c>
      <c r="B596" s="78" t="s">
        <v>493</v>
      </c>
      <c r="C596" s="25" t="s">
        <v>12</v>
      </c>
      <c r="D596" s="25" t="s">
        <v>45</v>
      </c>
      <c r="E596" s="26">
        <v>0.1469</v>
      </c>
      <c r="F596" s="26">
        <f t="shared" si="160"/>
        <v>59.916499999999999</v>
      </c>
      <c r="G596" s="26">
        <f t="shared" si="161"/>
        <v>8.8000000000000007</v>
      </c>
      <c r="H596" s="375">
        <v>59.916499999999999</v>
      </c>
      <c r="I596" s="28" t="e">
        <f>IF(A596&lt;&gt;0,VLOOKUP(A596,#REF!,2,FALSE),"")</f>
        <v>#REF!</v>
      </c>
      <c r="K596" s="237"/>
    </row>
    <row r="597" spans="1:11" ht="60">
      <c r="A597" s="24">
        <v>11694</v>
      </c>
      <c r="B597" s="78" t="s">
        <v>494</v>
      </c>
      <c r="C597" s="25" t="s">
        <v>12</v>
      </c>
      <c r="D597" s="25" t="s">
        <v>17</v>
      </c>
      <c r="E597" s="26">
        <v>1</v>
      </c>
      <c r="F597" s="26">
        <f t="shared" si="160"/>
        <v>693.32799999999997</v>
      </c>
      <c r="G597" s="26">
        <f t="shared" si="161"/>
        <v>693.33</v>
      </c>
      <c r="H597" s="375">
        <v>693.32799999999997</v>
      </c>
      <c r="I597" s="28" t="e">
        <f>IF(A597&lt;&gt;0,VLOOKUP(A597,#REF!,2,FALSE),"")</f>
        <v>#REF!</v>
      </c>
      <c r="K597" s="237"/>
    </row>
    <row r="598" spans="1:11" ht="30">
      <c r="A598" s="24">
        <v>10420</v>
      </c>
      <c r="B598" s="78" t="s">
        <v>495</v>
      </c>
      <c r="C598" s="25" t="s">
        <v>12</v>
      </c>
      <c r="D598" s="25" t="s">
        <v>17</v>
      </c>
      <c r="E598" s="26">
        <v>1</v>
      </c>
      <c r="F598" s="26">
        <f t="shared" si="160"/>
        <v>103.292</v>
      </c>
      <c r="G598" s="26">
        <f t="shared" si="161"/>
        <v>103.29</v>
      </c>
      <c r="H598" s="375">
        <v>103.292</v>
      </c>
      <c r="I598" s="28" t="e">
        <f>IF(A598&lt;&gt;0,VLOOKUP(A598,#REF!,2,FALSE),"")</f>
        <v>#REF!</v>
      </c>
      <c r="K598" s="237"/>
    </row>
    <row r="599" spans="1:11" ht="30">
      <c r="A599" s="24">
        <v>377</v>
      </c>
      <c r="B599" s="78" t="s">
        <v>496</v>
      </c>
      <c r="C599" s="25" t="s">
        <v>12</v>
      </c>
      <c r="D599" s="25" t="s">
        <v>17</v>
      </c>
      <c r="E599" s="26">
        <v>1</v>
      </c>
      <c r="F599" s="26">
        <f t="shared" si="160"/>
        <v>27.03</v>
      </c>
      <c r="G599" s="26">
        <f t="shared" si="161"/>
        <v>27.03</v>
      </c>
      <c r="H599" s="375">
        <v>27.03</v>
      </c>
      <c r="I599" s="28" t="e">
        <f>IF(A599&lt;&gt;0,VLOOKUP(A599,#REF!,2,FALSE),"")</f>
        <v>#REF!</v>
      </c>
      <c r="K599" s="237"/>
    </row>
    <row r="600" spans="1:11" ht="30">
      <c r="A600" s="24">
        <v>88267</v>
      </c>
      <c r="B600" s="78" t="s">
        <v>472</v>
      </c>
      <c r="C600" s="25" t="s">
        <v>12</v>
      </c>
      <c r="D600" s="25" t="s">
        <v>19</v>
      </c>
      <c r="E600" s="26">
        <v>0.78</v>
      </c>
      <c r="F600" s="26">
        <f t="shared" si="160"/>
        <v>14.7135</v>
      </c>
      <c r="G600" s="26">
        <f t="shared" si="161"/>
        <v>11.48</v>
      </c>
      <c r="H600" s="375">
        <v>14.7135</v>
      </c>
      <c r="I600" s="28" t="e">
        <f>IF(A600&lt;&gt;0,VLOOKUP(A600,#REF!,2,FALSE),"")</f>
        <v>#REF!</v>
      </c>
      <c r="K600" s="237"/>
    </row>
    <row r="601" spans="1:11" ht="30">
      <c r="A601" s="24">
        <v>88316</v>
      </c>
      <c r="B601" s="78" t="s">
        <v>377</v>
      </c>
      <c r="C601" s="25" t="s">
        <v>12</v>
      </c>
      <c r="D601" s="25" t="s">
        <v>19</v>
      </c>
      <c r="E601" s="26">
        <v>0.44</v>
      </c>
      <c r="F601" s="26">
        <f t="shared" si="160"/>
        <v>11.798000000000002</v>
      </c>
      <c r="G601" s="26">
        <f t="shared" si="161"/>
        <v>5.19</v>
      </c>
      <c r="H601" s="375">
        <v>11.798000000000002</v>
      </c>
      <c r="I601" s="28" t="e">
        <f>IF(A601&lt;&gt;0,VLOOKUP(A601,#REF!,2,FALSE),"")</f>
        <v>#REF!</v>
      </c>
      <c r="K601" s="237"/>
    </row>
    <row r="602" spans="1:11" ht="15" customHeight="1">
      <c r="A602" s="986" t="s">
        <v>1894</v>
      </c>
      <c r="B602" s="986"/>
      <c r="C602" s="986"/>
      <c r="D602" s="986"/>
      <c r="E602" s="986"/>
      <c r="F602" s="986"/>
      <c r="G602" s="79">
        <f>ROUND(SUM(G594:G601),2)</f>
        <v>871.66</v>
      </c>
      <c r="K602" s="237"/>
    </row>
    <row r="603" spans="1:11" ht="26.25" customHeight="1">
      <c r="A603" s="80"/>
      <c r="B603" s="80"/>
      <c r="C603" s="965"/>
      <c r="D603" s="966"/>
      <c r="E603" s="80"/>
      <c r="F603" s="80"/>
      <c r="G603" s="80"/>
      <c r="K603" s="237"/>
    </row>
    <row r="604" spans="1:11" s="28" customFormat="1" ht="33" customHeight="1">
      <c r="A604" s="920" t="s">
        <v>2112</v>
      </c>
      <c r="B604" s="921"/>
      <c r="C604" s="921"/>
      <c r="D604" s="921"/>
      <c r="E604" s="921"/>
      <c r="F604" s="75" t="s">
        <v>1915</v>
      </c>
      <c r="G604" s="88"/>
      <c r="H604" s="374"/>
      <c r="J604" s="374"/>
      <c r="K604" s="237"/>
    </row>
    <row r="605" spans="1:11" s="28" customFormat="1" ht="28.5">
      <c r="A605" s="984" t="s">
        <v>1917</v>
      </c>
      <c r="B605" s="985"/>
      <c r="C605" s="77" t="s">
        <v>3</v>
      </c>
      <c r="D605" s="77" t="s">
        <v>4</v>
      </c>
      <c r="E605" s="77" t="s">
        <v>1826</v>
      </c>
      <c r="F605" s="77" t="s">
        <v>367</v>
      </c>
      <c r="G605" s="77" t="s">
        <v>368</v>
      </c>
      <c r="H605" s="374"/>
      <c r="J605" s="374"/>
      <c r="K605" s="237"/>
    </row>
    <row r="606" spans="1:11">
      <c r="A606" s="24">
        <v>4823</v>
      </c>
      <c r="B606" s="78" t="s">
        <v>497</v>
      </c>
      <c r="C606" s="25" t="s">
        <v>12</v>
      </c>
      <c r="D606" s="25" t="s">
        <v>45</v>
      </c>
      <c r="E606" s="26">
        <v>0.38440000000000002</v>
      </c>
      <c r="F606" s="26">
        <f t="shared" ref="F606" si="162">H606</f>
        <v>33.107500000000002</v>
      </c>
      <c r="G606" s="26">
        <f t="shared" ref="G606" si="163">ROUND(F606*E606,2)</f>
        <v>12.73</v>
      </c>
      <c r="H606" s="375">
        <v>33.107500000000002</v>
      </c>
      <c r="I606" s="28" t="e">
        <f>IF(A606&lt;&gt;0,VLOOKUP(A606,#REF!,2,FALSE),"")</f>
        <v>#REF!</v>
      </c>
      <c r="K606" s="237"/>
    </row>
    <row r="607" spans="1:11" ht="60">
      <c r="A607" s="24">
        <v>7568</v>
      </c>
      <c r="B607" s="78" t="s">
        <v>425</v>
      </c>
      <c r="C607" s="25" t="s">
        <v>12</v>
      </c>
      <c r="D607" s="25" t="s">
        <v>17</v>
      </c>
      <c r="E607" s="26">
        <v>6</v>
      </c>
      <c r="F607" s="26">
        <f t="shared" ref="F607:F613" si="164">H607</f>
        <v>0.30599999999999999</v>
      </c>
      <c r="G607" s="26">
        <f t="shared" ref="G607:G613" si="165">ROUND(F607*E607,2)</f>
        <v>1.84</v>
      </c>
      <c r="H607" s="375">
        <v>0.30599999999999999</v>
      </c>
      <c r="I607" s="28" t="e">
        <f>IF(A607&lt;&gt;0,VLOOKUP(A607,#REF!,2,FALSE),"")</f>
        <v>#REF!</v>
      </c>
      <c r="K607" s="237"/>
    </row>
    <row r="608" spans="1:11" ht="60">
      <c r="A608" s="24">
        <v>11795</v>
      </c>
      <c r="B608" s="78" t="s">
        <v>498</v>
      </c>
      <c r="C608" s="25" t="s">
        <v>12</v>
      </c>
      <c r="D608" s="25" t="s">
        <v>26</v>
      </c>
      <c r="E608" s="26">
        <v>0.377</v>
      </c>
      <c r="F608" s="26">
        <f t="shared" si="164"/>
        <v>359.24399999999997</v>
      </c>
      <c r="G608" s="26">
        <f t="shared" si="165"/>
        <v>135.43</v>
      </c>
      <c r="H608" s="375">
        <v>359.24399999999997</v>
      </c>
      <c r="I608" s="28" t="e">
        <f>IF(A608&lt;&gt;0,VLOOKUP(A608,#REF!,2,FALSE),"")</f>
        <v>#REF!</v>
      </c>
      <c r="K608" s="237"/>
    </row>
    <row r="609" spans="1:11">
      <c r="A609" s="24">
        <v>37329</v>
      </c>
      <c r="B609" s="78" t="s">
        <v>493</v>
      </c>
      <c r="C609" s="25" t="s">
        <v>12</v>
      </c>
      <c r="D609" s="25" t="s">
        <v>45</v>
      </c>
      <c r="E609" s="26">
        <v>2.5700000000000001E-2</v>
      </c>
      <c r="F609" s="26">
        <f t="shared" si="164"/>
        <v>59.916499999999999</v>
      </c>
      <c r="G609" s="26">
        <f t="shared" si="165"/>
        <v>1.54</v>
      </c>
      <c r="H609" s="375">
        <v>59.916499999999999</v>
      </c>
      <c r="I609" s="28" t="e">
        <f>IF(A609&lt;&gt;0,VLOOKUP(A609,#REF!,2,FALSE),"")</f>
        <v>#REF!</v>
      </c>
      <c r="K609" s="237"/>
    </row>
    <row r="610" spans="1:11" ht="45">
      <c r="A610" s="24">
        <v>37590</v>
      </c>
      <c r="B610" s="78" t="s">
        <v>499</v>
      </c>
      <c r="C610" s="25" t="s">
        <v>12</v>
      </c>
      <c r="D610" s="25" t="s">
        <v>17</v>
      </c>
      <c r="E610" s="26">
        <v>2</v>
      </c>
      <c r="F610" s="26">
        <f t="shared" si="164"/>
        <v>14.407499999999999</v>
      </c>
      <c r="G610" s="26">
        <f t="shared" si="165"/>
        <v>28.82</v>
      </c>
      <c r="H610" s="375">
        <v>14.407499999999999</v>
      </c>
      <c r="I610" s="28" t="e">
        <f>IF(A610&lt;&gt;0,VLOOKUP(A610,#REF!,2,FALSE),"")</f>
        <v>#REF!</v>
      </c>
      <c r="K610" s="237"/>
    </row>
    <row r="611" spans="1:11" s="246" customFormat="1" ht="45">
      <c r="A611" s="248">
        <v>7286</v>
      </c>
      <c r="B611" s="249" t="s">
        <v>500</v>
      </c>
      <c r="C611" s="250" t="s">
        <v>44</v>
      </c>
      <c r="D611" s="250" t="s">
        <v>17</v>
      </c>
      <c r="E611" s="251">
        <v>1</v>
      </c>
      <c r="F611" s="251">
        <f t="shared" si="164"/>
        <v>580.48199999999997</v>
      </c>
      <c r="G611" s="251">
        <f t="shared" si="165"/>
        <v>580.48</v>
      </c>
      <c r="H611" s="364">
        <v>580.48199999999997</v>
      </c>
      <c r="I611" s="45" t="e">
        <f>IF(A611&lt;&gt;0,VLOOKUP(A611,#REF!,2,FALSE),"")</f>
        <v>#REF!</v>
      </c>
      <c r="J611" s="364"/>
      <c r="K611" s="237"/>
    </row>
    <row r="612" spans="1:11" ht="30">
      <c r="A612" s="24">
        <v>88274</v>
      </c>
      <c r="B612" s="78" t="s">
        <v>501</v>
      </c>
      <c r="C612" s="25" t="s">
        <v>12</v>
      </c>
      <c r="D612" s="25" t="s">
        <v>19</v>
      </c>
      <c r="E612" s="26">
        <v>1.92</v>
      </c>
      <c r="F612" s="26">
        <f t="shared" si="164"/>
        <v>16.745000000000001</v>
      </c>
      <c r="G612" s="26">
        <f t="shared" si="165"/>
        <v>32.15</v>
      </c>
      <c r="H612" s="375">
        <v>16.745000000000001</v>
      </c>
      <c r="I612" s="28" t="e">
        <f>IF(A612&lt;&gt;0,VLOOKUP(A612,#REF!,2,FALSE),"")</f>
        <v>#REF!</v>
      </c>
      <c r="K612" s="237"/>
    </row>
    <row r="613" spans="1:11" ht="30">
      <c r="A613" s="24">
        <v>88316</v>
      </c>
      <c r="B613" s="78" t="s">
        <v>377</v>
      </c>
      <c r="C613" s="25" t="s">
        <v>12</v>
      </c>
      <c r="D613" s="25" t="s">
        <v>19</v>
      </c>
      <c r="E613" s="26">
        <v>0.98</v>
      </c>
      <c r="F613" s="26">
        <f t="shared" si="164"/>
        <v>11.798000000000002</v>
      </c>
      <c r="G613" s="26">
        <f t="shared" si="165"/>
        <v>11.56</v>
      </c>
      <c r="H613" s="375">
        <v>11.798000000000002</v>
      </c>
      <c r="I613" s="28" t="e">
        <f>IF(A613&lt;&gt;0,VLOOKUP(A613,#REF!,2,FALSE),"")</f>
        <v>#REF!</v>
      </c>
      <c r="K613" s="237"/>
    </row>
    <row r="614" spans="1:11" ht="15" customHeight="1">
      <c r="A614" s="986" t="s">
        <v>1894</v>
      </c>
      <c r="B614" s="986"/>
      <c r="C614" s="986"/>
      <c r="D614" s="986"/>
      <c r="E614" s="986"/>
      <c r="F614" s="986"/>
      <c r="G614" s="79">
        <f>ROUND(SUM(G606:G613),2)</f>
        <v>804.55</v>
      </c>
      <c r="K614" s="237"/>
    </row>
    <row r="615" spans="1:11" ht="22.5" customHeight="1">
      <c r="A615" s="80"/>
      <c r="B615" s="80"/>
      <c r="C615" s="965"/>
      <c r="D615" s="966"/>
      <c r="E615" s="80"/>
      <c r="F615" s="80"/>
      <c r="G615" s="80"/>
      <c r="K615" s="237"/>
    </row>
    <row r="616" spans="1:11" ht="37.5" customHeight="1">
      <c r="A616" s="920" t="s">
        <v>632</v>
      </c>
      <c r="B616" s="921"/>
      <c r="C616" s="921"/>
      <c r="D616" s="921"/>
      <c r="E616" s="921"/>
      <c r="F616" s="75" t="s">
        <v>70</v>
      </c>
      <c r="G616" s="88"/>
      <c r="K616" s="237"/>
    </row>
    <row r="617" spans="1:11" ht="28.5">
      <c r="A617" s="984" t="s">
        <v>1917</v>
      </c>
      <c r="B617" s="985"/>
      <c r="C617" s="77" t="s">
        <v>3</v>
      </c>
      <c r="D617" s="77" t="s">
        <v>4</v>
      </c>
      <c r="E617" s="77" t="s">
        <v>1826</v>
      </c>
      <c r="F617" s="77" t="s">
        <v>367</v>
      </c>
      <c r="G617" s="77" t="s">
        <v>368</v>
      </c>
      <c r="K617" s="237"/>
    </row>
    <row r="618" spans="1:11" s="28" customFormat="1">
      <c r="A618" s="25">
        <v>4350</v>
      </c>
      <c r="B618" s="78" t="e">
        <f>I618</f>
        <v>#REF!</v>
      </c>
      <c r="C618" s="25" t="s">
        <v>12</v>
      </c>
      <c r="D618" s="25" t="s">
        <v>17</v>
      </c>
      <c r="E618" s="26">
        <v>2</v>
      </c>
      <c r="F618" s="26">
        <f t="shared" ref="F618" si="166">H618</f>
        <v>0.29749999999999999</v>
      </c>
      <c r="G618" s="26">
        <f t="shared" ref="G618" si="167">ROUND(F618*E618,2)</f>
        <v>0.6</v>
      </c>
      <c r="H618" s="374">
        <v>0.29749999999999999</v>
      </c>
      <c r="I618" s="28" t="e">
        <f>IF(A618&lt;&gt;0,VLOOKUP(A618,#REF!,2,FALSE),"")</f>
        <v>#REF!</v>
      </c>
      <c r="J618" s="374"/>
      <c r="K618" s="237"/>
    </row>
    <row r="619" spans="1:11" ht="30">
      <c r="A619" s="24">
        <v>10425</v>
      </c>
      <c r="B619" s="78" t="s">
        <v>502</v>
      </c>
      <c r="C619" s="25" t="s">
        <v>12</v>
      </c>
      <c r="D619" s="25" t="s">
        <v>17</v>
      </c>
      <c r="E619" s="26">
        <v>1</v>
      </c>
      <c r="F619" s="26">
        <f t="shared" ref="F619" si="168">H619</f>
        <v>67.405000000000001</v>
      </c>
      <c r="G619" s="26">
        <f t="shared" ref="G619" si="169">ROUND(F619*E619,2)</f>
        <v>67.41</v>
      </c>
      <c r="H619" s="375">
        <v>67.405000000000001</v>
      </c>
      <c r="I619" s="28" t="e">
        <f>IF(A619&lt;&gt;0,VLOOKUP(A619,#REF!,2,FALSE),"")</f>
        <v>#REF!</v>
      </c>
      <c r="K619" s="237"/>
    </row>
    <row r="620" spans="1:11" ht="30">
      <c r="A620" s="24">
        <v>11683</v>
      </c>
      <c r="B620" s="78" t="s">
        <v>503</v>
      </c>
      <c r="C620" s="25" t="s">
        <v>12</v>
      </c>
      <c r="D620" s="25" t="s">
        <v>17</v>
      </c>
      <c r="E620" s="26">
        <v>1</v>
      </c>
      <c r="F620" s="26">
        <f t="shared" ref="F620:F627" si="170">H620</f>
        <v>22.219000000000001</v>
      </c>
      <c r="G620" s="26">
        <f t="shared" ref="G620:G627" si="171">ROUND(F620*E620,2)</f>
        <v>22.22</v>
      </c>
      <c r="H620" s="375">
        <v>22.219000000000001</v>
      </c>
      <c r="I620" s="28" t="e">
        <f>IF(A620&lt;&gt;0,VLOOKUP(A620,#REF!,2,FALSE),"")</f>
        <v>#REF!</v>
      </c>
      <c r="K620" s="237"/>
    </row>
    <row r="621" spans="1:11" ht="30">
      <c r="A621" s="24">
        <v>3146</v>
      </c>
      <c r="B621" s="78" t="s">
        <v>471</v>
      </c>
      <c r="C621" s="25" t="s">
        <v>12</v>
      </c>
      <c r="D621" s="25" t="s">
        <v>17</v>
      </c>
      <c r="E621" s="26">
        <v>8.4000000000000005E-2</v>
      </c>
      <c r="F621" s="26">
        <f t="shared" si="170"/>
        <v>3.06</v>
      </c>
      <c r="G621" s="26">
        <f t="shared" si="171"/>
        <v>0.26</v>
      </c>
      <c r="H621" s="375">
        <v>3.06</v>
      </c>
      <c r="I621" s="28" t="e">
        <f>IF(A621&lt;&gt;0,VLOOKUP(A621,#REF!,2,FALSE),"")</f>
        <v>#REF!</v>
      </c>
      <c r="K621" s="237"/>
    </row>
    <row r="622" spans="1:11" ht="60">
      <c r="A622" s="24">
        <v>4351</v>
      </c>
      <c r="B622" s="78" t="s">
        <v>504</v>
      </c>
      <c r="C622" s="25" t="s">
        <v>12</v>
      </c>
      <c r="D622" s="25" t="s">
        <v>17</v>
      </c>
      <c r="E622" s="26">
        <v>2</v>
      </c>
      <c r="F622" s="26">
        <f t="shared" si="170"/>
        <v>7.8540000000000001</v>
      </c>
      <c r="G622" s="26">
        <f t="shared" si="171"/>
        <v>15.71</v>
      </c>
      <c r="H622" s="375">
        <v>7.8540000000000001</v>
      </c>
      <c r="I622" s="28" t="e">
        <f>IF(A622&lt;&gt;0,VLOOKUP(A622,#REF!,2,FALSE),"")</f>
        <v>#REF!</v>
      </c>
      <c r="K622" s="237"/>
    </row>
    <row r="623" spans="1:11" ht="30">
      <c r="A623" s="24">
        <v>6136</v>
      </c>
      <c r="B623" s="78" t="s">
        <v>505</v>
      </c>
      <c r="C623" s="25" t="s">
        <v>12</v>
      </c>
      <c r="D623" s="25" t="s">
        <v>17</v>
      </c>
      <c r="E623" s="26">
        <v>1</v>
      </c>
      <c r="F623" s="26">
        <f t="shared" si="170"/>
        <v>96.9</v>
      </c>
      <c r="G623" s="26">
        <f t="shared" si="171"/>
        <v>96.9</v>
      </c>
      <c r="H623" s="375">
        <v>96.9</v>
      </c>
      <c r="I623" s="39" t="e">
        <f>IF(A623&lt;&gt;0,VLOOKUP(A623,#REF!,2,FALSE),"")</f>
        <v>#REF!</v>
      </c>
      <c r="K623" s="237"/>
    </row>
    <row r="624" spans="1:11" ht="45">
      <c r="A624" s="24">
        <v>13415</v>
      </c>
      <c r="B624" s="78" t="s">
        <v>506</v>
      </c>
      <c r="C624" s="25" t="s">
        <v>12</v>
      </c>
      <c r="D624" s="25" t="s">
        <v>17</v>
      </c>
      <c r="E624" s="26">
        <v>1</v>
      </c>
      <c r="F624" s="26">
        <f t="shared" si="170"/>
        <v>46.622500000000002</v>
      </c>
      <c r="G624" s="26">
        <f t="shared" si="171"/>
        <v>46.62</v>
      </c>
      <c r="H624" s="375">
        <v>46.622500000000002</v>
      </c>
      <c r="I624" s="39" t="e">
        <f>IF(A624&lt;&gt;0,VLOOKUP(A624,#REF!,2,FALSE),"")</f>
        <v>#REF!</v>
      </c>
      <c r="K624" s="237"/>
    </row>
    <row r="625" spans="1:11" ht="30">
      <c r="A625" s="24">
        <v>10228</v>
      </c>
      <c r="B625" s="78" t="s">
        <v>507</v>
      </c>
      <c r="C625" s="25" t="s">
        <v>12</v>
      </c>
      <c r="D625" s="25" t="s">
        <v>17</v>
      </c>
      <c r="E625" s="26">
        <v>1</v>
      </c>
      <c r="F625" s="26">
        <f t="shared" si="170"/>
        <v>190.57</v>
      </c>
      <c r="G625" s="26">
        <f t="shared" si="171"/>
        <v>190.57</v>
      </c>
      <c r="H625" s="375">
        <v>190.57</v>
      </c>
      <c r="I625" s="39" t="e">
        <f>IF(A625&lt;&gt;0,VLOOKUP(A625,#REF!,2,FALSE),"")</f>
        <v>#REF!</v>
      </c>
      <c r="K625" s="237"/>
    </row>
    <row r="626" spans="1:11" ht="30">
      <c r="A626" s="24">
        <v>88267</v>
      </c>
      <c r="B626" s="78" t="s">
        <v>472</v>
      </c>
      <c r="C626" s="25" t="s">
        <v>12</v>
      </c>
      <c r="D626" s="25" t="s">
        <v>19</v>
      </c>
      <c r="E626" s="26">
        <v>2.75</v>
      </c>
      <c r="F626" s="26">
        <f t="shared" si="170"/>
        <v>14.7135</v>
      </c>
      <c r="G626" s="26">
        <f t="shared" si="171"/>
        <v>40.46</v>
      </c>
      <c r="H626" s="375">
        <v>14.7135</v>
      </c>
      <c r="I626" s="28" t="e">
        <f>IF(A626&lt;&gt;0,VLOOKUP(A626,#REF!,2,FALSE),"")</f>
        <v>#REF!</v>
      </c>
      <c r="K626" s="237"/>
    </row>
    <row r="627" spans="1:11" ht="30">
      <c r="A627" s="24">
        <v>88252</v>
      </c>
      <c r="B627" s="78" t="s">
        <v>460</v>
      </c>
      <c r="C627" s="25" t="s">
        <v>12</v>
      </c>
      <c r="D627" s="25" t="s">
        <v>19</v>
      </c>
      <c r="E627" s="26">
        <v>2.75</v>
      </c>
      <c r="F627" s="26">
        <f t="shared" si="170"/>
        <v>12.3505</v>
      </c>
      <c r="G627" s="26">
        <f t="shared" si="171"/>
        <v>33.96</v>
      </c>
      <c r="H627" s="375">
        <v>12.3505</v>
      </c>
      <c r="I627" s="28" t="e">
        <f>IF(A627&lt;&gt;0,VLOOKUP(A627,#REF!,2,FALSE),"")</f>
        <v>#REF!</v>
      </c>
      <c r="K627" s="237"/>
    </row>
    <row r="628" spans="1:11" ht="15" customHeight="1">
      <c r="A628" s="986" t="s">
        <v>1894</v>
      </c>
      <c r="B628" s="986"/>
      <c r="C628" s="986"/>
      <c r="D628" s="986"/>
      <c r="E628" s="986"/>
      <c r="F628" s="986"/>
      <c r="G628" s="79">
        <f>ROUND(SUM(G618:G627),2)</f>
        <v>514.71</v>
      </c>
      <c r="K628" s="237"/>
    </row>
    <row r="629" spans="1:11">
      <c r="A629" s="80"/>
      <c r="B629" s="80"/>
      <c r="C629" s="965"/>
      <c r="D629" s="966"/>
      <c r="E629" s="80"/>
      <c r="F629" s="80"/>
      <c r="G629" s="80"/>
      <c r="K629" s="237"/>
    </row>
    <row r="630" spans="1:11">
      <c r="A630" s="80"/>
      <c r="B630" s="80"/>
      <c r="C630" s="1130"/>
      <c r="D630" s="1130"/>
      <c r="E630" s="80"/>
      <c r="F630" s="80"/>
      <c r="G630" s="80"/>
      <c r="K630" s="237"/>
    </row>
    <row r="631" spans="1:11" ht="35.25" customHeight="1">
      <c r="A631" s="920" t="s">
        <v>2113</v>
      </c>
      <c r="B631" s="921"/>
      <c r="C631" s="921"/>
      <c r="D631" s="921"/>
      <c r="E631" s="921"/>
      <c r="F631" s="75" t="s">
        <v>44</v>
      </c>
      <c r="G631" s="90"/>
      <c r="K631" s="237"/>
    </row>
    <row r="632" spans="1:11" ht="28.5">
      <c r="A632" s="1131" t="s">
        <v>364</v>
      </c>
      <c r="B632" s="1132"/>
      <c r="C632" s="77" t="s">
        <v>3</v>
      </c>
      <c r="D632" s="77" t="s">
        <v>4</v>
      </c>
      <c r="E632" s="77" t="s">
        <v>1826</v>
      </c>
      <c r="F632" s="77" t="s">
        <v>367</v>
      </c>
      <c r="G632" s="77" t="s">
        <v>368</v>
      </c>
      <c r="K632" s="237"/>
    </row>
    <row r="633" spans="1:11" s="45" customFormat="1" ht="30">
      <c r="A633" s="24">
        <v>10646</v>
      </c>
      <c r="B633" s="78" t="s">
        <v>1827</v>
      </c>
      <c r="C633" s="25" t="s">
        <v>44</v>
      </c>
      <c r="D633" s="25" t="s">
        <v>52</v>
      </c>
      <c r="E633" s="26">
        <v>1</v>
      </c>
      <c r="F633" s="26">
        <f t="shared" ref="F633" si="172">H633</f>
        <v>718.98099999999999</v>
      </c>
      <c r="G633" s="26">
        <f t="shared" ref="G633" si="173">ROUND(F633*E633,2)</f>
        <v>718.98</v>
      </c>
      <c r="H633" s="364">
        <v>718.98099999999999</v>
      </c>
      <c r="I633" s="45" t="e">
        <f>IF(A633&lt;&gt;0,VLOOKUP(A633,#REF!,2,FALSE),"")</f>
        <v>#REF!</v>
      </c>
      <c r="J633" s="364"/>
      <c r="K633" s="237"/>
    </row>
    <row r="634" spans="1:11" ht="30">
      <c r="A634" s="24">
        <v>370</v>
      </c>
      <c r="B634" s="78" t="s">
        <v>396</v>
      </c>
      <c r="C634" s="25" t="s">
        <v>12</v>
      </c>
      <c r="D634" s="25" t="s">
        <v>35</v>
      </c>
      <c r="E634" s="91">
        <v>0.69299999999999995</v>
      </c>
      <c r="F634" s="26">
        <f t="shared" ref="F634" si="174">H634</f>
        <v>42.5</v>
      </c>
      <c r="G634" s="26">
        <f t="shared" ref="G634" si="175">ROUND(F634*E634,2)</f>
        <v>29.45</v>
      </c>
      <c r="H634" s="375">
        <v>42.5</v>
      </c>
      <c r="I634" s="28" t="e">
        <f>IF(A634&lt;&gt;0,VLOOKUP(A634,#REF!,2,FALSE),"")</f>
        <v>#REF!</v>
      </c>
      <c r="K634" s="237"/>
    </row>
    <row r="635" spans="1:11" ht="30">
      <c r="A635" s="24">
        <v>88309</v>
      </c>
      <c r="B635" s="78" t="s">
        <v>390</v>
      </c>
      <c r="C635" s="25" t="s">
        <v>12</v>
      </c>
      <c r="D635" s="25" t="s">
        <v>19</v>
      </c>
      <c r="E635" s="26">
        <v>0.18</v>
      </c>
      <c r="F635" s="26">
        <f t="shared" ref="F635:F637" si="176">H635</f>
        <v>15.121499999999999</v>
      </c>
      <c r="G635" s="26">
        <f t="shared" ref="G635:G637" si="177">ROUND(F635*E635,2)</f>
        <v>2.72</v>
      </c>
      <c r="H635" s="375">
        <v>15.121499999999999</v>
      </c>
      <c r="I635" s="28" t="e">
        <f>IF(A635&lt;&gt;0,VLOOKUP(A635,#REF!,2,FALSE),"")</f>
        <v>#REF!</v>
      </c>
      <c r="K635" s="237"/>
    </row>
    <row r="636" spans="1:11" ht="30">
      <c r="A636" s="24">
        <v>88316</v>
      </c>
      <c r="B636" s="78" t="s">
        <v>377</v>
      </c>
      <c r="C636" s="25" t="s">
        <v>12</v>
      </c>
      <c r="D636" s="25" t="s">
        <v>19</v>
      </c>
      <c r="E636" s="26">
        <v>0.3</v>
      </c>
      <c r="F636" s="26">
        <f t="shared" si="176"/>
        <v>11.798000000000002</v>
      </c>
      <c r="G636" s="26">
        <f t="shared" si="177"/>
        <v>3.54</v>
      </c>
      <c r="H636" s="375">
        <v>11.798000000000002</v>
      </c>
      <c r="I636" s="28" t="e">
        <f>IF(A636&lt;&gt;0,VLOOKUP(A636,#REF!,2,FALSE),"")</f>
        <v>#REF!</v>
      </c>
      <c r="K636" s="237"/>
    </row>
    <row r="637" spans="1:11" ht="105">
      <c r="A637" s="24">
        <v>53786</v>
      </c>
      <c r="B637" s="78" t="s">
        <v>1806</v>
      </c>
      <c r="C637" s="25" t="s">
        <v>12</v>
      </c>
      <c r="D637" s="25" t="s">
        <v>19</v>
      </c>
      <c r="E637" s="92">
        <v>4.4999999999999997E-3</v>
      </c>
      <c r="F637" s="26">
        <f t="shared" si="176"/>
        <v>35.173000000000002</v>
      </c>
      <c r="G637" s="26">
        <f t="shared" si="177"/>
        <v>0.16</v>
      </c>
      <c r="H637" s="375">
        <v>35.173000000000002</v>
      </c>
      <c r="I637" s="28" t="e">
        <f>IF(A637&lt;&gt;0,VLOOKUP(A637,#REF!,2,FALSE),"")</f>
        <v>#REF!</v>
      </c>
      <c r="K637" s="237"/>
    </row>
    <row r="638" spans="1:11" ht="15" customHeight="1">
      <c r="A638" s="986" t="s">
        <v>1894</v>
      </c>
      <c r="B638" s="986"/>
      <c r="C638" s="986"/>
      <c r="D638" s="986"/>
      <c r="E638" s="986"/>
      <c r="F638" s="986"/>
      <c r="G638" s="79">
        <f>ROUND(SUM(G633:G637),2)</f>
        <v>754.85</v>
      </c>
      <c r="K638" s="237"/>
    </row>
    <row r="639" spans="1:11" ht="30" customHeight="1">
      <c r="A639" s="80"/>
      <c r="B639" s="80"/>
      <c r="C639" s="965"/>
      <c r="D639" s="966"/>
      <c r="E639" s="80"/>
      <c r="F639" s="80"/>
      <c r="G639" s="80"/>
      <c r="K639" s="237"/>
    </row>
    <row r="640" spans="1:11" ht="36" customHeight="1">
      <c r="A640" s="920" t="s">
        <v>2482</v>
      </c>
      <c r="B640" s="921"/>
      <c r="C640" s="921"/>
      <c r="D640" s="921"/>
      <c r="E640" s="921"/>
      <c r="F640" s="75" t="s">
        <v>44</v>
      </c>
      <c r="G640" s="88"/>
      <c r="K640" s="237"/>
    </row>
    <row r="641" spans="1:11" ht="28.5">
      <c r="A641" s="984" t="s">
        <v>364</v>
      </c>
      <c r="B641" s="985"/>
      <c r="C641" s="77" t="s">
        <v>3</v>
      </c>
      <c r="D641" s="77" t="s">
        <v>4</v>
      </c>
      <c r="E641" s="77" t="s">
        <v>1826</v>
      </c>
      <c r="F641" s="77" t="s">
        <v>367</v>
      </c>
      <c r="G641" s="77" t="s">
        <v>368</v>
      </c>
      <c r="K641" s="237"/>
    </row>
    <row r="642" spans="1:11" ht="30">
      <c r="A642" s="24">
        <v>370</v>
      </c>
      <c r="B642" s="78" t="s">
        <v>396</v>
      </c>
      <c r="C642" s="25" t="s">
        <v>12</v>
      </c>
      <c r="D642" s="25" t="s">
        <v>35</v>
      </c>
      <c r="E642" s="26">
        <v>0.498</v>
      </c>
      <c r="F642" s="26">
        <f t="shared" ref="F642" si="178">H642</f>
        <v>42.5</v>
      </c>
      <c r="G642" s="26">
        <f t="shared" ref="G642" si="179">ROUND(F642*E642,2)</f>
        <v>21.17</v>
      </c>
      <c r="H642" s="375">
        <v>42.5</v>
      </c>
      <c r="I642" s="28" t="e">
        <f>IF(A642&lt;&gt;0,VLOOKUP(A642,#REF!,2,FALSE),"")</f>
        <v>#REF!</v>
      </c>
      <c r="K642" s="237"/>
    </row>
    <row r="643" spans="1:11" s="45" customFormat="1" ht="30">
      <c r="A643" s="24">
        <v>10639</v>
      </c>
      <c r="B643" s="78" t="s">
        <v>1828</v>
      </c>
      <c r="C643" s="25" t="s">
        <v>44</v>
      </c>
      <c r="D643" s="25" t="s">
        <v>52</v>
      </c>
      <c r="E643" s="26">
        <v>1</v>
      </c>
      <c r="F643" s="26">
        <f t="shared" ref="F643:F645" si="180">H643</f>
        <v>468.52850000000001</v>
      </c>
      <c r="G643" s="26">
        <f t="shared" ref="G643:G645" si="181">ROUND(F643*E643,2)</f>
        <v>468.53</v>
      </c>
      <c r="H643" s="364">
        <v>468.52850000000001</v>
      </c>
      <c r="I643" s="45" t="e">
        <f>IF(A643&lt;&gt;0,VLOOKUP(A643,#REF!,2,FALSE),"")</f>
        <v>#REF!</v>
      </c>
      <c r="J643" s="364"/>
      <c r="K643" s="237"/>
    </row>
    <row r="644" spans="1:11" ht="30">
      <c r="A644" s="24">
        <v>88309</v>
      </c>
      <c r="B644" s="78" t="s">
        <v>390</v>
      </c>
      <c r="C644" s="25" t="s">
        <v>12</v>
      </c>
      <c r="D644" s="25" t="s">
        <v>19</v>
      </c>
      <c r="E644" s="26">
        <v>0.18</v>
      </c>
      <c r="F644" s="26">
        <f t="shared" si="180"/>
        <v>15.121499999999999</v>
      </c>
      <c r="G644" s="26">
        <f t="shared" si="181"/>
        <v>2.72</v>
      </c>
      <c r="H644" s="375">
        <v>15.121499999999999</v>
      </c>
      <c r="I644" s="28" t="e">
        <f>IF(A644&lt;&gt;0,VLOOKUP(A644,#REF!,2,FALSE),"")</f>
        <v>#REF!</v>
      </c>
      <c r="K644" s="237"/>
    </row>
    <row r="645" spans="1:11" ht="30">
      <c r="A645" s="24">
        <v>88316</v>
      </c>
      <c r="B645" s="78" t="s">
        <v>377</v>
      </c>
      <c r="C645" s="25" t="s">
        <v>12</v>
      </c>
      <c r="D645" s="25" t="s">
        <v>19</v>
      </c>
      <c r="E645" s="26">
        <v>0.3</v>
      </c>
      <c r="F645" s="26">
        <f t="shared" si="180"/>
        <v>11.798000000000002</v>
      </c>
      <c r="G645" s="26">
        <f t="shared" si="181"/>
        <v>3.54</v>
      </c>
      <c r="H645" s="375">
        <v>11.798000000000002</v>
      </c>
      <c r="I645" s="28" t="e">
        <f>IF(A645&lt;&gt;0,VLOOKUP(A645,#REF!,2,FALSE),"")</f>
        <v>#REF!</v>
      </c>
      <c r="K645" s="237"/>
    </row>
    <row r="646" spans="1:11" ht="15" customHeight="1">
      <c r="A646" s="986" t="s">
        <v>1894</v>
      </c>
      <c r="B646" s="986"/>
      <c r="C646" s="986"/>
      <c r="D646" s="986"/>
      <c r="E646" s="986"/>
      <c r="F646" s="986"/>
      <c r="G646" s="79">
        <f>ROUND(SUM(G642:G645),2)</f>
        <v>495.96</v>
      </c>
      <c r="K646" s="237"/>
    </row>
    <row r="647" spans="1:11" ht="26.25" customHeight="1">
      <c r="A647" s="80"/>
      <c r="B647" s="80"/>
      <c r="C647" s="965"/>
      <c r="D647" s="966"/>
      <c r="E647" s="80"/>
      <c r="F647" s="80"/>
      <c r="G647" s="80"/>
      <c r="K647" s="237"/>
    </row>
    <row r="648" spans="1:11" ht="29.25" customHeight="1">
      <c r="A648" s="920" t="s">
        <v>2481</v>
      </c>
      <c r="B648" s="921"/>
      <c r="C648" s="921"/>
      <c r="D648" s="921"/>
      <c r="E648" s="921"/>
      <c r="F648" s="75" t="s">
        <v>44</v>
      </c>
      <c r="G648" s="88"/>
      <c r="K648" s="237"/>
    </row>
    <row r="649" spans="1:11" ht="28.5">
      <c r="A649" s="984" t="s">
        <v>364</v>
      </c>
      <c r="B649" s="985"/>
      <c r="C649" s="77" t="s">
        <v>3</v>
      </c>
      <c r="D649" s="77" t="s">
        <v>4</v>
      </c>
      <c r="E649" s="77" t="s">
        <v>1826</v>
      </c>
      <c r="F649" s="77" t="s">
        <v>367</v>
      </c>
      <c r="G649" s="77" t="s">
        <v>368</v>
      </c>
      <c r="K649" s="237"/>
    </row>
    <row r="650" spans="1:11" ht="30">
      <c r="A650" s="24">
        <v>370</v>
      </c>
      <c r="B650" s="78" t="s">
        <v>396</v>
      </c>
      <c r="C650" s="25" t="s">
        <v>12</v>
      </c>
      <c r="D650" s="25" t="s">
        <v>35</v>
      </c>
      <c r="E650" s="92">
        <v>1.141</v>
      </c>
      <c r="F650" s="26">
        <f t="shared" ref="F650" si="182">H650</f>
        <v>42.5</v>
      </c>
      <c r="G650" s="26">
        <f t="shared" ref="G650" si="183">ROUND(F650*E650,2)</f>
        <v>48.49</v>
      </c>
      <c r="H650" s="375">
        <v>42.5</v>
      </c>
      <c r="I650" s="28" t="e">
        <f>IF(A650&lt;&gt;0,VLOOKUP(A650,#REF!,2,FALSE),"")</f>
        <v>#REF!</v>
      </c>
      <c r="K650" s="237"/>
    </row>
    <row r="651" spans="1:11" s="45" customFormat="1" ht="30">
      <c r="A651" s="24">
        <v>10648</v>
      </c>
      <c r="B651" s="78" t="s">
        <v>2480</v>
      </c>
      <c r="C651" s="25" t="s">
        <v>44</v>
      </c>
      <c r="D651" s="25" t="s">
        <v>52</v>
      </c>
      <c r="E651" s="92">
        <v>1</v>
      </c>
      <c r="F651" s="26">
        <f t="shared" ref="F651:F654" si="184">H651</f>
        <v>1236.6990000000001</v>
      </c>
      <c r="G651" s="26">
        <f t="shared" ref="G651:G654" si="185">ROUND(F651*E651,2)</f>
        <v>1236.7</v>
      </c>
      <c r="H651" s="364">
        <v>1236.6990000000001</v>
      </c>
      <c r="I651" s="45" t="e">
        <f>IF(A651&lt;&gt;0,VLOOKUP(A651,#REF!,2,FALSE),"")</f>
        <v>#REF!</v>
      </c>
      <c r="J651" s="364"/>
      <c r="K651" s="237"/>
    </row>
    <row r="652" spans="1:11" ht="30">
      <c r="A652" s="24">
        <v>88309</v>
      </c>
      <c r="B652" s="78" t="s">
        <v>390</v>
      </c>
      <c r="C652" s="25" t="s">
        <v>12</v>
      </c>
      <c r="D652" s="25" t="s">
        <v>19</v>
      </c>
      <c r="E652" s="92">
        <v>0.20300000000000001</v>
      </c>
      <c r="F652" s="26">
        <f t="shared" si="184"/>
        <v>15.121499999999999</v>
      </c>
      <c r="G652" s="26">
        <f t="shared" si="185"/>
        <v>3.07</v>
      </c>
      <c r="H652" s="375">
        <v>15.121499999999999</v>
      </c>
      <c r="I652" s="28" t="e">
        <f>IF(A652&lt;&gt;0,VLOOKUP(A652,#REF!,2,FALSE),"")</f>
        <v>#REF!</v>
      </c>
      <c r="K652" s="237"/>
    </row>
    <row r="653" spans="1:11" ht="30">
      <c r="A653" s="24">
        <v>88316</v>
      </c>
      <c r="B653" s="78" t="s">
        <v>377</v>
      </c>
      <c r="C653" s="25" t="s">
        <v>12</v>
      </c>
      <c r="D653" s="25" t="s">
        <v>19</v>
      </c>
      <c r="E653" s="92">
        <v>0.36899999999999999</v>
      </c>
      <c r="F653" s="26">
        <f t="shared" si="184"/>
        <v>11.798000000000002</v>
      </c>
      <c r="G653" s="26">
        <f t="shared" si="185"/>
        <v>4.3499999999999996</v>
      </c>
      <c r="H653" s="375">
        <v>11.798000000000002</v>
      </c>
      <c r="I653" s="28" t="e">
        <f>IF(A653&lt;&gt;0,VLOOKUP(A653,#REF!,2,FALSE),"")</f>
        <v>#REF!</v>
      </c>
      <c r="K653" s="237"/>
    </row>
    <row r="654" spans="1:11" ht="105">
      <c r="A654" s="24">
        <v>53786</v>
      </c>
      <c r="B654" s="78" t="s">
        <v>1806</v>
      </c>
      <c r="C654" s="25" t="s">
        <v>12</v>
      </c>
      <c r="D654" s="25" t="s">
        <v>19</v>
      </c>
      <c r="E654" s="92">
        <v>1.5800000000000002E-2</v>
      </c>
      <c r="F654" s="26">
        <f t="shared" si="184"/>
        <v>35.173000000000002</v>
      </c>
      <c r="G654" s="26">
        <f t="shared" si="185"/>
        <v>0.56000000000000005</v>
      </c>
      <c r="H654" s="375">
        <v>35.173000000000002</v>
      </c>
      <c r="I654" s="28" t="e">
        <f>IF(A654&lt;&gt;0,VLOOKUP(A654,#REF!,2,FALSE),"")</f>
        <v>#REF!</v>
      </c>
      <c r="K654" s="237"/>
    </row>
    <row r="655" spans="1:11" ht="15" customHeight="1">
      <c r="A655" s="986" t="s">
        <v>1894</v>
      </c>
      <c r="B655" s="986"/>
      <c r="C655" s="986"/>
      <c r="D655" s="986"/>
      <c r="E655" s="986"/>
      <c r="F655" s="986"/>
      <c r="G655" s="79">
        <f>ROUND(SUM(G650:G654),2)</f>
        <v>1293.17</v>
      </c>
      <c r="K655" s="237"/>
    </row>
    <row r="656" spans="1:11" ht="22.5" customHeight="1">
      <c r="A656" s="80"/>
      <c r="B656" s="80"/>
      <c r="C656" s="965"/>
      <c r="D656" s="966"/>
      <c r="E656" s="80"/>
      <c r="F656" s="80"/>
      <c r="G656" s="80"/>
      <c r="K656" s="237"/>
    </row>
    <row r="657" spans="1:11" ht="21.75" customHeight="1">
      <c r="A657" s="920" t="s">
        <v>2115</v>
      </c>
      <c r="B657" s="921"/>
      <c r="C657" s="921"/>
      <c r="D657" s="921"/>
      <c r="E657" s="921"/>
      <c r="F657" s="75" t="s">
        <v>1915</v>
      </c>
      <c r="G657" s="88"/>
      <c r="K657" s="237"/>
    </row>
    <row r="658" spans="1:11" ht="28.5">
      <c r="A658" s="984" t="s">
        <v>364</v>
      </c>
      <c r="B658" s="985"/>
      <c r="C658" s="77" t="s">
        <v>3</v>
      </c>
      <c r="D658" s="77" t="s">
        <v>4</v>
      </c>
      <c r="E658" s="77" t="s">
        <v>1826</v>
      </c>
      <c r="F658" s="93" t="s">
        <v>367</v>
      </c>
      <c r="G658" s="77" t="s">
        <v>368</v>
      </c>
      <c r="K658" s="237"/>
    </row>
    <row r="659" spans="1:11" ht="30">
      <c r="A659" s="24">
        <v>39319</v>
      </c>
      <c r="B659" s="78" t="s">
        <v>512</v>
      </c>
      <c r="C659" s="25" t="s">
        <v>12</v>
      </c>
      <c r="D659" s="25" t="s">
        <v>17</v>
      </c>
      <c r="E659" s="26">
        <v>1</v>
      </c>
      <c r="F659" s="26">
        <f t="shared" ref="F659:F661" si="186">H659</f>
        <v>5.1764999999999999</v>
      </c>
      <c r="G659" s="26">
        <f t="shared" ref="G659:G661" si="187">ROUND(F659*E659,2)</f>
        <v>5.18</v>
      </c>
      <c r="H659" s="375">
        <v>5.1764999999999999</v>
      </c>
      <c r="I659" s="28" t="e">
        <f>IF(A659&lt;&gt;0,VLOOKUP(A659,#REF!,2,FALSE),"")</f>
        <v>#REF!</v>
      </c>
      <c r="K659" s="237"/>
    </row>
    <row r="660" spans="1:11" ht="30">
      <c r="A660" s="24">
        <v>88267</v>
      </c>
      <c r="B660" s="78" t="s">
        <v>472</v>
      </c>
      <c r="C660" s="25" t="s">
        <v>12</v>
      </c>
      <c r="D660" s="25" t="s">
        <v>19</v>
      </c>
      <c r="E660" s="26">
        <v>0.61899999999999999</v>
      </c>
      <c r="F660" s="26">
        <f t="shared" si="186"/>
        <v>14.7135</v>
      </c>
      <c r="G660" s="26">
        <f t="shared" si="187"/>
        <v>9.11</v>
      </c>
      <c r="H660" s="375">
        <v>14.7135</v>
      </c>
      <c r="I660" s="28" t="e">
        <f>IF(A660&lt;&gt;0,VLOOKUP(A660,#REF!,2,FALSE),"")</f>
        <v>#REF!</v>
      </c>
      <c r="K660" s="237"/>
    </row>
    <row r="661" spans="1:11" ht="45">
      <c r="A661" s="24">
        <v>88248</v>
      </c>
      <c r="B661" s="78" t="s">
        <v>473</v>
      </c>
      <c r="C661" s="25" t="s">
        <v>12</v>
      </c>
      <c r="D661" s="25" t="s">
        <v>19</v>
      </c>
      <c r="E661" s="26">
        <v>0.61899999999999999</v>
      </c>
      <c r="F661" s="26">
        <f t="shared" si="186"/>
        <v>11.483499999999999</v>
      </c>
      <c r="G661" s="26">
        <f t="shared" si="187"/>
        <v>7.11</v>
      </c>
      <c r="H661" s="375">
        <v>11.483499999999999</v>
      </c>
      <c r="I661" s="28" t="e">
        <f>IF(A661&lt;&gt;0,VLOOKUP(A661,#REF!,2,FALSE),"")</f>
        <v>#REF!</v>
      </c>
      <c r="K661" s="237"/>
    </row>
    <row r="662" spans="1:11" ht="15" customHeight="1">
      <c r="A662" s="986" t="s">
        <v>1894</v>
      </c>
      <c r="B662" s="986"/>
      <c r="C662" s="986"/>
      <c r="D662" s="986"/>
      <c r="E662" s="986"/>
      <c r="F662" s="986"/>
      <c r="G662" s="79">
        <f>ROUND(SUM(G659:G661),2)</f>
        <v>21.4</v>
      </c>
      <c r="K662" s="237"/>
    </row>
    <row r="663" spans="1:11" ht="24.75" customHeight="1">
      <c r="A663" s="80"/>
      <c r="B663" s="80"/>
      <c r="C663" s="965"/>
      <c r="D663" s="966"/>
      <c r="E663" s="80"/>
      <c r="F663" s="80"/>
      <c r="G663" s="80"/>
      <c r="K663" s="237"/>
    </row>
    <row r="664" spans="1:11" ht="22.5" customHeight="1">
      <c r="A664" s="920" t="s">
        <v>2116</v>
      </c>
      <c r="B664" s="921"/>
      <c r="C664" s="921"/>
      <c r="D664" s="921"/>
      <c r="E664" s="929"/>
      <c r="F664" s="75" t="s">
        <v>1915</v>
      </c>
      <c r="G664" s="88"/>
      <c r="K664" s="237"/>
    </row>
    <row r="665" spans="1:11" ht="28.5">
      <c r="A665" s="984" t="s">
        <v>364</v>
      </c>
      <c r="B665" s="985"/>
      <c r="C665" s="77" t="s">
        <v>3</v>
      </c>
      <c r="D665" s="77" t="s">
        <v>4</v>
      </c>
      <c r="E665" s="77" t="s">
        <v>1826</v>
      </c>
      <c r="F665" s="77" t="s">
        <v>367</v>
      </c>
      <c r="G665" s="77" t="s">
        <v>368</v>
      </c>
      <c r="K665" s="237"/>
    </row>
    <row r="666" spans="1:11" ht="30">
      <c r="A666" s="24">
        <v>39321</v>
      </c>
      <c r="B666" s="78" t="s">
        <v>513</v>
      </c>
      <c r="C666" s="25" t="s">
        <v>12</v>
      </c>
      <c r="D666" s="25" t="s">
        <v>17</v>
      </c>
      <c r="E666" s="26">
        <v>1</v>
      </c>
      <c r="F666" s="26">
        <f t="shared" ref="F666" si="188">H666</f>
        <v>13.2515</v>
      </c>
      <c r="G666" s="26">
        <f t="shared" ref="G666" si="189">ROUND(F666*E666,2)</f>
        <v>13.25</v>
      </c>
      <c r="H666" s="375">
        <v>13.2515</v>
      </c>
      <c r="I666" s="28" t="e">
        <f>IF(A666&lt;&gt;0,VLOOKUP(A666,#REF!,2,FALSE),"")</f>
        <v>#REF!</v>
      </c>
      <c r="K666" s="237"/>
    </row>
    <row r="667" spans="1:11" ht="30">
      <c r="A667" s="24">
        <v>88267</v>
      </c>
      <c r="B667" s="78" t="s">
        <v>472</v>
      </c>
      <c r="C667" s="25" t="s">
        <v>12</v>
      </c>
      <c r="D667" s="25" t="s">
        <v>19</v>
      </c>
      <c r="E667" s="26">
        <v>0.61899999999999999</v>
      </c>
      <c r="F667" s="26">
        <f t="shared" ref="F667:F668" si="190">H667</f>
        <v>14.7135</v>
      </c>
      <c r="G667" s="26">
        <f t="shared" ref="G667:G668" si="191">ROUND(F667*E667,2)</f>
        <v>9.11</v>
      </c>
      <c r="H667" s="375">
        <v>14.7135</v>
      </c>
      <c r="I667" s="28" t="e">
        <f>IF(A667&lt;&gt;0,VLOOKUP(A667,#REF!,2,FALSE),"")</f>
        <v>#REF!</v>
      </c>
      <c r="K667" s="237"/>
    </row>
    <row r="668" spans="1:11" ht="45">
      <c r="A668" s="24">
        <v>88248</v>
      </c>
      <c r="B668" s="78" t="s">
        <v>473</v>
      </c>
      <c r="C668" s="25" t="s">
        <v>12</v>
      </c>
      <c r="D668" s="25" t="s">
        <v>19</v>
      </c>
      <c r="E668" s="26">
        <v>0.61899999999999999</v>
      </c>
      <c r="F668" s="26">
        <f t="shared" si="190"/>
        <v>11.483499999999999</v>
      </c>
      <c r="G668" s="26">
        <f t="shared" si="191"/>
        <v>7.11</v>
      </c>
      <c r="H668" s="375">
        <v>11.483499999999999</v>
      </c>
      <c r="I668" s="28" t="e">
        <f>IF(A668&lt;&gt;0,VLOOKUP(A668,#REF!,2,FALSE),"")</f>
        <v>#REF!</v>
      </c>
      <c r="K668" s="237"/>
    </row>
    <row r="669" spans="1:11" ht="15" customHeight="1">
      <c r="A669" s="986" t="s">
        <v>1894</v>
      </c>
      <c r="B669" s="986"/>
      <c r="C669" s="986"/>
      <c r="D669" s="986"/>
      <c r="E669" s="986"/>
      <c r="F669" s="986"/>
      <c r="G669" s="79">
        <f>ROUND(SUM(G666:G668),2)</f>
        <v>29.47</v>
      </c>
      <c r="K669" s="237"/>
    </row>
    <row r="670" spans="1:11" ht="32.25" customHeight="1">
      <c r="A670" s="80"/>
      <c r="B670" s="80"/>
      <c r="C670" s="965"/>
      <c r="D670" s="966"/>
      <c r="E670" s="80"/>
      <c r="F670" s="80"/>
      <c r="G670" s="80"/>
      <c r="K670" s="237"/>
    </row>
    <row r="671" spans="1:11" ht="56.25" customHeight="1">
      <c r="A671" s="920" t="s">
        <v>2119</v>
      </c>
      <c r="B671" s="921"/>
      <c r="C671" s="921"/>
      <c r="D671" s="921"/>
      <c r="E671" s="921"/>
      <c r="F671" s="75" t="s">
        <v>1915</v>
      </c>
      <c r="G671" s="88"/>
      <c r="K671" s="237"/>
    </row>
    <row r="672" spans="1:11" ht="28.5">
      <c r="A672" s="984" t="s">
        <v>364</v>
      </c>
      <c r="B672" s="985"/>
      <c r="C672" s="77" t="s">
        <v>3</v>
      </c>
      <c r="D672" s="77" t="s">
        <v>4</v>
      </c>
      <c r="E672" s="77" t="s">
        <v>1826</v>
      </c>
      <c r="F672" s="77" t="s">
        <v>367</v>
      </c>
      <c r="G672" s="77" t="s">
        <v>368</v>
      </c>
      <c r="K672" s="237"/>
    </row>
    <row r="673" spans="1:11">
      <c r="A673" s="24">
        <v>1379</v>
      </c>
      <c r="B673" s="78" t="s">
        <v>397</v>
      </c>
      <c r="C673" s="25" t="s">
        <v>12</v>
      </c>
      <c r="D673" s="25" t="s">
        <v>45</v>
      </c>
      <c r="E673" s="26">
        <v>0.8</v>
      </c>
      <c r="F673" s="26">
        <f t="shared" ref="F673" si="192">H673</f>
        <v>0.60349999999999993</v>
      </c>
      <c r="G673" s="26">
        <f t="shared" ref="G673" si="193">ROUND(F673*E673,2)</f>
        <v>0.48</v>
      </c>
      <c r="H673" s="375">
        <v>0.60349999999999993</v>
      </c>
      <c r="I673" s="28" t="e">
        <f>IF(A673&lt;&gt;0,VLOOKUP(A673,#REF!,2,FALSE),"")</f>
        <v>#REF!</v>
      </c>
      <c r="K673" s="237"/>
    </row>
    <row r="674" spans="1:11">
      <c r="A674" s="24">
        <v>7258</v>
      </c>
      <c r="B674" s="78" t="s">
        <v>403</v>
      </c>
      <c r="C674" s="25" t="s">
        <v>12</v>
      </c>
      <c r="D674" s="25" t="s">
        <v>17</v>
      </c>
      <c r="E674" s="26">
        <v>75.885999999999996</v>
      </c>
      <c r="F674" s="26">
        <f t="shared" ref="F674:F681" si="194">H674</f>
        <v>0.59499999999999997</v>
      </c>
      <c r="G674" s="26">
        <f t="shared" ref="G674:G681" si="195">ROUND(F674*E674,2)</f>
        <v>45.15</v>
      </c>
      <c r="H674" s="375">
        <v>0.59499999999999997</v>
      </c>
      <c r="I674" s="28" t="e">
        <f>IF(A674&lt;&gt;0,VLOOKUP(A674,#REF!,2,FALSE),"")</f>
        <v>#REF!</v>
      </c>
      <c r="K674" s="237"/>
    </row>
    <row r="675" spans="1:11" ht="30">
      <c r="A675" s="24">
        <v>41613</v>
      </c>
      <c r="B675" s="78" t="s">
        <v>514</v>
      </c>
      <c r="C675" s="25" t="s">
        <v>12</v>
      </c>
      <c r="D675" s="25" t="s">
        <v>17</v>
      </c>
      <c r="E675" s="26">
        <v>1</v>
      </c>
      <c r="F675" s="26">
        <f t="shared" si="194"/>
        <v>72.182000000000002</v>
      </c>
      <c r="G675" s="26">
        <f t="shared" si="195"/>
        <v>72.180000000000007</v>
      </c>
      <c r="H675" s="375">
        <v>72.182000000000002</v>
      </c>
      <c r="I675" s="28" t="e">
        <f>IF(A675&lt;&gt;0,VLOOKUP(A675,#REF!,2,FALSE),"")</f>
        <v>#REF!</v>
      </c>
      <c r="K675" s="237"/>
    </row>
    <row r="676" spans="1:11" ht="90">
      <c r="A676" s="24">
        <v>87335</v>
      </c>
      <c r="B676" s="78" t="s">
        <v>1807</v>
      </c>
      <c r="C676" s="25" t="s">
        <v>12</v>
      </c>
      <c r="D676" s="25" t="s">
        <v>35</v>
      </c>
      <c r="E676" s="26">
        <v>2.2800000000000001E-2</v>
      </c>
      <c r="F676" s="26">
        <f t="shared" si="194"/>
        <v>358.92949999999996</v>
      </c>
      <c r="G676" s="26">
        <f t="shared" si="195"/>
        <v>8.18</v>
      </c>
      <c r="H676" s="375">
        <v>358.92949999999996</v>
      </c>
      <c r="I676" s="28" t="e">
        <f>IF(A676&lt;&gt;0,VLOOKUP(A676,#REF!,2,FALSE),"")</f>
        <v>#REF!</v>
      </c>
      <c r="K676" s="237"/>
    </row>
    <row r="677" spans="1:11" ht="30">
      <c r="A677" s="24">
        <v>88309</v>
      </c>
      <c r="B677" s="78" t="s">
        <v>390</v>
      </c>
      <c r="C677" s="25" t="s">
        <v>12</v>
      </c>
      <c r="D677" s="25" t="s">
        <v>19</v>
      </c>
      <c r="E677" s="26">
        <v>1.9</v>
      </c>
      <c r="F677" s="26">
        <f t="shared" si="194"/>
        <v>15.121499999999999</v>
      </c>
      <c r="G677" s="26">
        <f t="shared" si="195"/>
        <v>28.73</v>
      </c>
      <c r="H677" s="375">
        <v>15.121499999999999</v>
      </c>
      <c r="I677" s="28" t="e">
        <f>IF(A677&lt;&gt;0,VLOOKUP(A677,#REF!,2,FALSE),"")</f>
        <v>#REF!</v>
      </c>
      <c r="K677" s="237"/>
    </row>
    <row r="678" spans="1:11" ht="30">
      <c r="A678" s="24">
        <v>88316</v>
      </c>
      <c r="B678" s="78" t="s">
        <v>377</v>
      </c>
      <c r="C678" s="25" t="s">
        <v>12</v>
      </c>
      <c r="D678" s="25" t="s">
        <v>19</v>
      </c>
      <c r="E678" s="26">
        <v>1.65</v>
      </c>
      <c r="F678" s="26">
        <f t="shared" si="194"/>
        <v>11.798000000000002</v>
      </c>
      <c r="G678" s="26">
        <f t="shared" si="195"/>
        <v>19.47</v>
      </c>
      <c r="H678" s="375">
        <v>11.798000000000002</v>
      </c>
      <c r="I678" s="28" t="e">
        <f>IF(A678&lt;&gt;0,VLOOKUP(A678,#REF!,2,FALSE),"")</f>
        <v>#REF!</v>
      </c>
      <c r="K678" s="237"/>
    </row>
    <row r="679" spans="1:11" ht="45">
      <c r="A679" s="24">
        <v>88630</v>
      </c>
      <c r="B679" s="78" t="s">
        <v>1808</v>
      </c>
      <c r="C679" s="25" t="s">
        <v>12</v>
      </c>
      <c r="D679" s="25" t="s">
        <v>35</v>
      </c>
      <c r="E679" s="26">
        <v>1.6500000000000001E-2</v>
      </c>
      <c r="F679" s="26">
        <f t="shared" si="194"/>
        <v>317.60249999999996</v>
      </c>
      <c r="G679" s="26">
        <f t="shared" si="195"/>
        <v>5.24</v>
      </c>
      <c r="H679" s="375">
        <v>317.60249999999996</v>
      </c>
      <c r="I679" s="28" t="e">
        <f>IF(A679&lt;&gt;0,VLOOKUP(A679,#REF!,2,FALSE),"")</f>
        <v>#REF!</v>
      </c>
      <c r="K679" s="237"/>
    </row>
    <row r="680" spans="1:11" ht="30">
      <c r="A680" s="24">
        <v>93358</v>
      </c>
      <c r="B680" s="78" t="s">
        <v>1774</v>
      </c>
      <c r="C680" s="25" t="s">
        <v>12</v>
      </c>
      <c r="D680" s="25" t="s">
        <v>35</v>
      </c>
      <c r="E680" s="26">
        <v>0.216</v>
      </c>
      <c r="F680" s="26">
        <f t="shared" si="194"/>
        <v>46.664999999999999</v>
      </c>
      <c r="G680" s="26">
        <f t="shared" si="195"/>
        <v>10.08</v>
      </c>
      <c r="H680" s="375">
        <v>46.664999999999999</v>
      </c>
      <c r="I680" s="28" t="e">
        <f>IF(A680&lt;&gt;0,VLOOKUP(A680,#REF!,2,FALSE),"")</f>
        <v>#REF!</v>
      </c>
      <c r="K680" s="237"/>
    </row>
    <row r="681" spans="1:11" ht="45">
      <c r="A681" s="24">
        <v>94969</v>
      </c>
      <c r="B681" s="78" t="s">
        <v>1795</v>
      </c>
      <c r="C681" s="25" t="s">
        <v>12</v>
      </c>
      <c r="D681" s="25" t="s">
        <v>35</v>
      </c>
      <c r="E681" s="26">
        <v>1.7999999999999999E-2</v>
      </c>
      <c r="F681" s="26">
        <f t="shared" si="194"/>
        <v>291.31200000000001</v>
      </c>
      <c r="G681" s="26">
        <f t="shared" si="195"/>
        <v>5.24</v>
      </c>
      <c r="H681" s="375">
        <v>291.31200000000001</v>
      </c>
      <c r="I681" s="28" t="e">
        <f>IF(A681&lt;&gt;0,VLOOKUP(A681,#REF!,2,FALSE),"")</f>
        <v>#REF!</v>
      </c>
      <c r="K681" s="237"/>
    </row>
    <row r="682" spans="1:11" ht="15" customHeight="1">
      <c r="A682" s="986" t="s">
        <v>1894</v>
      </c>
      <c r="B682" s="986"/>
      <c r="C682" s="986"/>
      <c r="D682" s="986"/>
      <c r="E682" s="986"/>
      <c r="F682" s="986"/>
      <c r="G682" s="79">
        <f>ROUND(SUM(G673:G681),2)</f>
        <v>194.75</v>
      </c>
      <c r="K682" s="237"/>
    </row>
    <row r="683" spans="1:11" ht="27.75" customHeight="1">
      <c r="A683" s="80"/>
      <c r="B683" s="80"/>
      <c r="C683" s="965"/>
      <c r="D683" s="966"/>
      <c r="E683" s="80"/>
      <c r="F683" s="80"/>
      <c r="G683" s="80"/>
      <c r="K683" s="237"/>
    </row>
    <row r="684" spans="1:11" ht="29.25" customHeight="1">
      <c r="A684" s="920" t="s">
        <v>2120</v>
      </c>
      <c r="B684" s="921"/>
      <c r="C684" s="921"/>
      <c r="D684" s="921"/>
      <c r="E684" s="921"/>
      <c r="F684" s="75" t="s">
        <v>1915</v>
      </c>
      <c r="G684" s="88"/>
      <c r="K684" s="237"/>
    </row>
    <row r="685" spans="1:11" ht="28.5">
      <c r="A685" s="984" t="s">
        <v>364</v>
      </c>
      <c r="B685" s="985"/>
      <c r="C685" s="77" t="s">
        <v>3</v>
      </c>
      <c r="D685" s="77" t="s">
        <v>4</v>
      </c>
      <c r="E685" s="77" t="s">
        <v>1826</v>
      </c>
      <c r="F685" s="77" t="s">
        <v>367</v>
      </c>
      <c r="G685" s="77" t="s">
        <v>368</v>
      </c>
      <c r="K685" s="237"/>
    </row>
    <row r="686" spans="1:11" ht="30">
      <c r="A686" s="84">
        <v>370</v>
      </c>
      <c r="B686" s="85" t="s">
        <v>396</v>
      </c>
      <c r="C686" s="86" t="s">
        <v>12</v>
      </c>
      <c r="D686" s="86" t="s">
        <v>35</v>
      </c>
      <c r="E686" s="81">
        <v>0.11</v>
      </c>
      <c r="F686" s="26">
        <f t="shared" ref="F686" si="196">H686</f>
        <v>42.5</v>
      </c>
      <c r="G686" s="26">
        <f t="shared" ref="G686" si="197">ROUND(F686*E686,2)</f>
        <v>4.68</v>
      </c>
      <c r="H686" s="375">
        <v>42.5</v>
      </c>
      <c r="I686" s="28" t="e">
        <f>IF(A686&lt;&gt;0,VLOOKUP(A686,#REF!,2,FALSE),"")</f>
        <v>#REF!</v>
      </c>
      <c r="K686" s="237"/>
    </row>
    <row r="687" spans="1:11">
      <c r="A687" s="84">
        <v>34753</v>
      </c>
      <c r="B687" s="85" t="s">
        <v>515</v>
      </c>
      <c r="C687" s="86" t="s">
        <v>12</v>
      </c>
      <c r="D687" s="86" t="s">
        <v>516</v>
      </c>
      <c r="E687" s="81">
        <v>0.41</v>
      </c>
      <c r="F687" s="26">
        <f t="shared" ref="F687:F691" si="198">H687</f>
        <v>0.66300000000000003</v>
      </c>
      <c r="G687" s="26">
        <f t="shared" ref="G687:G691" si="199">ROUND(F687*E687,2)</f>
        <v>0.27</v>
      </c>
      <c r="H687" s="375">
        <v>0.66300000000000003</v>
      </c>
      <c r="I687" s="28" t="e">
        <f>IF(A687&lt;&gt;0,VLOOKUP(A687,#REF!,2,FALSE),"")</f>
        <v>#REF!</v>
      </c>
      <c r="K687" s="237"/>
    </row>
    <row r="688" spans="1:11" ht="30">
      <c r="A688" s="84">
        <v>4721</v>
      </c>
      <c r="B688" s="85" t="s">
        <v>398</v>
      </c>
      <c r="C688" s="86" t="s">
        <v>12</v>
      </c>
      <c r="D688" s="86" t="s">
        <v>35</v>
      </c>
      <c r="E688" s="81">
        <v>3.1E-2</v>
      </c>
      <c r="F688" s="26">
        <f t="shared" si="198"/>
        <v>78.208500000000001</v>
      </c>
      <c r="G688" s="26">
        <f t="shared" si="199"/>
        <v>2.42</v>
      </c>
      <c r="H688" s="375">
        <v>78.208500000000001</v>
      </c>
      <c r="I688" s="28" t="e">
        <f>IF(A688&lt;&gt;0,VLOOKUP(A688,#REF!,2,FALSE),"")</f>
        <v>#REF!</v>
      </c>
      <c r="K688" s="237"/>
    </row>
    <row r="689" spans="1:11" ht="30">
      <c r="A689" s="84">
        <v>7271</v>
      </c>
      <c r="B689" s="85" t="s">
        <v>517</v>
      </c>
      <c r="C689" s="86" t="s">
        <v>12</v>
      </c>
      <c r="D689" s="86" t="s">
        <v>17</v>
      </c>
      <c r="E689" s="81">
        <v>20</v>
      </c>
      <c r="F689" s="26">
        <f t="shared" si="198"/>
        <v>0.68850000000000011</v>
      </c>
      <c r="G689" s="26">
        <f t="shared" si="199"/>
        <v>13.77</v>
      </c>
      <c r="H689" s="375">
        <v>0.68850000000000011</v>
      </c>
      <c r="I689" s="28" t="e">
        <f>IF(A689&lt;&gt;0,VLOOKUP(A689,#REF!,2,FALSE),"")</f>
        <v>#REF!</v>
      </c>
      <c r="K689" s="237"/>
    </row>
    <row r="690" spans="1:11" ht="30">
      <c r="A690" s="84">
        <v>88309</v>
      </c>
      <c r="B690" s="85" t="s">
        <v>390</v>
      </c>
      <c r="C690" s="86" t="s">
        <v>12</v>
      </c>
      <c r="D690" s="86" t="s">
        <v>19</v>
      </c>
      <c r="E690" s="81">
        <v>0.98</v>
      </c>
      <c r="F690" s="26">
        <f t="shared" si="198"/>
        <v>15.121499999999999</v>
      </c>
      <c r="G690" s="26">
        <f t="shared" si="199"/>
        <v>14.82</v>
      </c>
      <c r="H690" s="375">
        <v>15.121499999999999</v>
      </c>
      <c r="I690" s="28" t="e">
        <f>IF(A690&lt;&gt;0,VLOOKUP(A690,#REF!,2,FALSE),"")</f>
        <v>#REF!</v>
      </c>
      <c r="K690" s="237"/>
    </row>
    <row r="691" spans="1:11" ht="30">
      <c r="A691" s="84">
        <v>88316</v>
      </c>
      <c r="B691" s="85" t="s">
        <v>377</v>
      </c>
      <c r="C691" s="86" t="s">
        <v>12</v>
      </c>
      <c r="D691" s="86" t="s">
        <v>19</v>
      </c>
      <c r="E691" s="81">
        <v>2.0699999999999998</v>
      </c>
      <c r="F691" s="26">
        <f t="shared" si="198"/>
        <v>11.798000000000002</v>
      </c>
      <c r="G691" s="26">
        <f t="shared" si="199"/>
        <v>24.42</v>
      </c>
      <c r="H691" s="375">
        <v>11.798000000000002</v>
      </c>
      <c r="I691" s="28" t="e">
        <f>IF(A691&lt;&gt;0,VLOOKUP(A691,#REF!,2,FALSE),"")</f>
        <v>#REF!</v>
      </c>
      <c r="K691" s="237"/>
    </row>
    <row r="692" spans="1:11" ht="15" customHeight="1">
      <c r="A692" s="986" t="s">
        <v>1894</v>
      </c>
      <c r="B692" s="986"/>
      <c r="C692" s="986"/>
      <c r="D692" s="986"/>
      <c r="E692" s="986"/>
      <c r="F692" s="986"/>
      <c r="G692" s="79">
        <f>ROUND(SUM(G686:G691),2)</f>
        <v>60.38</v>
      </c>
      <c r="K692" s="237"/>
    </row>
    <row r="693" spans="1:11" ht="26.25" customHeight="1">
      <c r="A693" s="80"/>
      <c r="B693" s="80"/>
      <c r="C693" s="965"/>
      <c r="D693" s="966"/>
      <c r="E693" s="80"/>
      <c r="F693" s="80"/>
      <c r="G693" s="80"/>
      <c r="K693" s="237"/>
    </row>
    <row r="694" spans="1:11" ht="28.5" customHeight="1">
      <c r="A694" s="920" t="s">
        <v>2121</v>
      </c>
      <c r="B694" s="921"/>
      <c r="C694" s="921"/>
      <c r="D694" s="921"/>
      <c r="E694" s="921"/>
      <c r="F694" s="75" t="s">
        <v>70</v>
      </c>
      <c r="G694" s="88"/>
      <c r="K694" s="237"/>
    </row>
    <row r="695" spans="1:11" ht="28.5">
      <c r="A695" s="984" t="s">
        <v>364</v>
      </c>
      <c r="B695" s="985"/>
      <c r="C695" s="77" t="s">
        <v>3</v>
      </c>
      <c r="D695" s="77" t="s">
        <v>4</v>
      </c>
      <c r="E695" s="77" t="s">
        <v>1826</v>
      </c>
      <c r="F695" s="93" t="s">
        <v>367</v>
      </c>
      <c r="G695" s="77" t="s">
        <v>368</v>
      </c>
      <c r="K695" s="237"/>
    </row>
    <row r="696" spans="1:11">
      <c r="A696" s="25">
        <v>301</v>
      </c>
      <c r="B696" s="78" t="s">
        <v>521</v>
      </c>
      <c r="C696" s="25" t="s">
        <v>12</v>
      </c>
      <c r="D696" s="25" t="s">
        <v>17</v>
      </c>
      <c r="E696" s="26">
        <v>2</v>
      </c>
      <c r="F696" s="26">
        <f t="shared" ref="F696" si="200">H696</f>
        <v>2.9409999999999998</v>
      </c>
      <c r="G696" s="26">
        <f t="shared" ref="G696" si="201">ROUND(F696*E696,2)</f>
        <v>5.88</v>
      </c>
      <c r="H696" s="375">
        <v>2.9409999999999998</v>
      </c>
      <c r="I696" s="28" t="e">
        <f>IF(A696&lt;&gt;0,VLOOKUP(A696,#REF!,2,FALSE),"")</f>
        <v>#REF!</v>
      </c>
      <c r="K696" s="237"/>
    </row>
    <row r="697" spans="1:11">
      <c r="A697" s="25">
        <v>296</v>
      </c>
      <c r="B697" s="78" t="s">
        <v>522</v>
      </c>
      <c r="C697" s="25" t="s">
        <v>12</v>
      </c>
      <c r="D697" s="25" t="s">
        <v>17</v>
      </c>
      <c r="E697" s="26">
        <v>1</v>
      </c>
      <c r="F697" s="26">
        <f t="shared" ref="F697:F701" si="202">H697</f>
        <v>1.6575</v>
      </c>
      <c r="G697" s="26">
        <f t="shared" ref="G697:G701" si="203">ROUND(F697*E697,2)</f>
        <v>1.66</v>
      </c>
      <c r="H697" s="375">
        <v>1.6575</v>
      </c>
      <c r="I697" s="28" t="e">
        <f>IF(A697&lt;&gt;0,VLOOKUP(A697,#REF!,2,FALSE),"")</f>
        <v>#REF!</v>
      </c>
      <c r="K697" s="237"/>
    </row>
    <row r="698" spans="1:11" ht="60">
      <c r="A698" s="24">
        <v>20078</v>
      </c>
      <c r="B698" s="78" t="s">
        <v>478</v>
      </c>
      <c r="C698" s="25" t="s">
        <v>12</v>
      </c>
      <c r="D698" s="25" t="s">
        <v>17</v>
      </c>
      <c r="E698" s="26">
        <v>5.6000000000000001E-2</v>
      </c>
      <c r="F698" s="26">
        <f t="shared" si="202"/>
        <v>20.349</v>
      </c>
      <c r="G698" s="26">
        <f t="shared" si="203"/>
        <v>1.1399999999999999</v>
      </c>
      <c r="H698" s="375">
        <v>20.349</v>
      </c>
      <c r="I698" s="28" t="e">
        <f>IF(A698&lt;&gt;0,VLOOKUP(A698,#REF!,2,FALSE),"")</f>
        <v>#REF!</v>
      </c>
      <c r="K698" s="237"/>
    </row>
    <row r="699" spans="1:11" ht="45">
      <c r="A699" s="24">
        <v>10908</v>
      </c>
      <c r="B699" s="78" t="s">
        <v>523</v>
      </c>
      <c r="C699" s="25" t="s">
        <v>12</v>
      </c>
      <c r="D699" s="25" t="s">
        <v>17</v>
      </c>
      <c r="E699" s="26">
        <v>1</v>
      </c>
      <c r="F699" s="26">
        <f t="shared" si="202"/>
        <v>13.1325</v>
      </c>
      <c r="G699" s="26">
        <f t="shared" si="203"/>
        <v>13.13</v>
      </c>
      <c r="H699" s="375">
        <v>13.1325</v>
      </c>
      <c r="I699" s="28" t="e">
        <f>IF(A699&lt;&gt;0,VLOOKUP(A699,#REF!,2,FALSE),"")</f>
        <v>#REF!</v>
      </c>
      <c r="K699" s="237"/>
    </row>
    <row r="700" spans="1:11" ht="45">
      <c r="A700" s="24">
        <v>88248</v>
      </c>
      <c r="B700" s="78" t="s">
        <v>473</v>
      </c>
      <c r="C700" s="25" t="s">
        <v>12</v>
      </c>
      <c r="D700" s="25" t="s">
        <v>19</v>
      </c>
      <c r="E700" s="26">
        <v>0.46</v>
      </c>
      <c r="F700" s="26">
        <f t="shared" si="202"/>
        <v>11.483499999999999</v>
      </c>
      <c r="G700" s="26">
        <f t="shared" si="203"/>
        <v>5.28</v>
      </c>
      <c r="H700" s="375">
        <v>11.483499999999999</v>
      </c>
      <c r="I700" s="28" t="e">
        <f>IF(A700&lt;&gt;0,VLOOKUP(A700,#REF!,2,FALSE),"")</f>
        <v>#REF!</v>
      </c>
      <c r="K700" s="237"/>
    </row>
    <row r="701" spans="1:11" ht="30">
      <c r="A701" s="24">
        <v>88267</v>
      </c>
      <c r="B701" s="78" t="s">
        <v>472</v>
      </c>
      <c r="C701" s="25" t="s">
        <v>12</v>
      </c>
      <c r="D701" s="25" t="s">
        <v>19</v>
      </c>
      <c r="E701" s="26">
        <v>0.46</v>
      </c>
      <c r="F701" s="26">
        <f t="shared" si="202"/>
        <v>14.7135</v>
      </c>
      <c r="G701" s="26">
        <f t="shared" si="203"/>
        <v>6.77</v>
      </c>
      <c r="H701" s="375">
        <v>14.7135</v>
      </c>
      <c r="I701" s="28" t="e">
        <f>IF(A701&lt;&gt;0,VLOOKUP(A701,#REF!,2,FALSE),"")</f>
        <v>#REF!</v>
      </c>
      <c r="K701" s="237"/>
    </row>
    <row r="702" spans="1:11" ht="15" customHeight="1">
      <c r="A702" s="986" t="s">
        <v>1894</v>
      </c>
      <c r="B702" s="986"/>
      <c r="C702" s="986"/>
      <c r="D702" s="986"/>
      <c r="E702" s="986"/>
      <c r="F702" s="986"/>
      <c r="G702" s="79">
        <f>ROUND(SUM(G696:G701),2)</f>
        <v>33.86</v>
      </c>
      <c r="K702" s="237"/>
    </row>
    <row r="703" spans="1:11" ht="29.25" customHeight="1">
      <c r="A703" s="80"/>
      <c r="B703" s="80"/>
      <c r="C703" s="965"/>
      <c r="D703" s="966"/>
      <c r="E703" s="80"/>
      <c r="F703" s="80"/>
      <c r="G703" s="80"/>
      <c r="K703" s="237"/>
    </row>
    <row r="704" spans="1:11" ht="15" customHeight="1">
      <c r="A704" s="920" t="s">
        <v>2122</v>
      </c>
      <c r="B704" s="921"/>
      <c r="C704" s="921"/>
      <c r="D704" s="921"/>
      <c r="E704" s="921"/>
      <c r="F704" s="94" t="s">
        <v>1915</v>
      </c>
      <c r="G704" s="88"/>
      <c r="K704" s="237"/>
    </row>
    <row r="705" spans="1:11" ht="28.5">
      <c r="A705" s="984" t="s">
        <v>364</v>
      </c>
      <c r="B705" s="985"/>
      <c r="C705" s="77" t="s">
        <v>3</v>
      </c>
      <c r="D705" s="77" t="s">
        <v>4</v>
      </c>
      <c r="E705" s="77" t="s">
        <v>1826</v>
      </c>
      <c r="F705" s="77" t="s">
        <v>367</v>
      </c>
      <c r="G705" s="77" t="s">
        <v>368</v>
      </c>
      <c r="K705" s="237"/>
    </row>
    <row r="706" spans="1:11" ht="30">
      <c r="A706" s="24">
        <v>11655</v>
      </c>
      <c r="B706" s="78" t="s">
        <v>524</v>
      </c>
      <c r="C706" s="25" t="s">
        <v>12</v>
      </c>
      <c r="D706" s="25" t="s">
        <v>17</v>
      </c>
      <c r="E706" s="26">
        <v>1</v>
      </c>
      <c r="F706" s="26">
        <f t="shared" ref="F706" si="204">H706</f>
        <v>11.500499999999999</v>
      </c>
      <c r="G706" s="26">
        <f t="shared" ref="G706" si="205">ROUND(F706*E706,2)</f>
        <v>11.5</v>
      </c>
      <c r="H706" s="375">
        <v>11.500499999999999</v>
      </c>
      <c r="I706" s="28" t="e">
        <f>IF(A706&lt;&gt;0,VLOOKUP(A706,#REF!,2,FALSE),"")</f>
        <v>#REF!</v>
      </c>
      <c r="K706" s="237"/>
    </row>
    <row r="707" spans="1:11" ht="30">
      <c r="A707" s="24">
        <v>3146</v>
      </c>
      <c r="B707" s="78" t="s">
        <v>471</v>
      </c>
      <c r="C707" s="25" t="s">
        <v>12</v>
      </c>
      <c r="D707" s="25" t="s">
        <v>17</v>
      </c>
      <c r="E707" s="26">
        <v>0.7</v>
      </c>
      <c r="F707" s="26">
        <f t="shared" ref="F707:F710" si="206">H707</f>
        <v>3.06</v>
      </c>
      <c r="G707" s="26">
        <f t="shared" ref="G707:G710" si="207">ROUND(F707*E707,2)</f>
        <v>2.14</v>
      </c>
      <c r="H707" s="375">
        <v>3.06</v>
      </c>
      <c r="I707" s="28" t="e">
        <f>IF(A707&lt;&gt;0,VLOOKUP(A707,#REF!,2,FALSE),"")</f>
        <v>#REF!</v>
      </c>
      <c r="K707" s="237"/>
    </row>
    <row r="708" spans="1:11" ht="30">
      <c r="A708" s="24">
        <v>20080</v>
      </c>
      <c r="B708" s="78" t="s">
        <v>475</v>
      </c>
      <c r="C708" s="25" t="s">
        <v>12</v>
      </c>
      <c r="D708" s="25" t="s">
        <v>17</v>
      </c>
      <c r="E708" s="26">
        <v>0.3</v>
      </c>
      <c r="F708" s="26">
        <f t="shared" si="206"/>
        <v>17.646000000000001</v>
      </c>
      <c r="G708" s="26">
        <f t="shared" si="207"/>
        <v>5.29</v>
      </c>
      <c r="H708" s="375">
        <v>17.646000000000001</v>
      </c>
      <c r="I708" s="28" t="e">
        <f>IF(A708&lt;&gt;0,VLOOKUP(A708,#REF!,2,FALSE),"")</f>
        <v>#REF!</v>
      </c>
      <c r="K708" s="237"/>
    </row>
    <row r="709" spans="1:11" ht="45">
      <c r="A709" s="24">
        <v>88248</v>
      </c>
      <c r="B709" s="78" t="s">
        <v>473</v>
      </c>
      <c r="C709" s="25" t="s">
        <v>12</v>
      </c>
      <c r="D709" s="25" t="s">
        <v>19</v>
      </c>
      <c r="E709" s="26">
        <v>0.11</v>
      </c>
      <c r="F709" s="26">
        <f t="shared" si="206"/>
        <v>11.483499999999999</v>
      </c>
      <c r="G709" s="26">
        <f t="shared" si="207"/>
        <v>1.26</v>
      </c>
      <c r="H709" s="375">
        <v>11.483499999999999</v>
      </c>
      <c r="I709" s="28" t="e">
        <f>IF(A709&lt;&gt;0,VLOOKUP(A709,#REF!,2,FALSE),"")</f>
        <v>#REF!</v>
      </c>
      <c r="K709" s="237"/>
    </row>
    <row r="710" spans="1:11" ht="30">
      <c r="A710" s="24">
        <v>88267</v>
      </c>
      <c r="B710" s="78" t="s">
        <v>472</v>
      </c>
      <c r="C710" s="25" t="s">
        <v>12</v>
      </c>
      <c r="D710" s="25" t="s">
        <v>19</v>
      </c>
      <c r="E710" s="26">
        <v>0.11</v>
      </c>
      <c r="F710" s="26">
        <f t="shared" si="206"/>
        <v>14.7135</v>
      </c>
      <c r="G710" s="26">
        <f t="shared" si="207"/>
        <v>1.62</v>
      </c>
      <c r="H710" s="375">
        <v>14.7135</v>
      </c>
      <c r="I710" s="28" t="e">
        <f>IF(A710&lt;&gt;0,VLOOKUP(A710,#REF!,2,FALSE),"")</f>
        <v>#REF!</v>
      </c>
      <c r="K710" s="237"/>
    </row>
    <row r="711" spans="1:11" ht="15" customHeight="1">
      <c r="A711" s="986" t="s">
        <v>1894</v>
      </c>
      <c r="B711" s="986"/>
      <c r="C711" s="986"/>
      <c r="D711" s="986"/>
      <c r="E711" s="986"/>
      <c r="F711" s="986"/>
      <c r="G711" s="79">
        <f>ROUND(SUM(G705:G710),2)</f>
        <v>21.81</v>
      </c>
      <c r="K711" s="237"/>
    </row>
    <row r="712" spans="1:11">
      <c r="A712" s="80"/>
      <c r="B712" s="80"/>
      <c r="C712" s="965"/>
      <c r="D712" s="966"/>
      <c r="E712" s="80"/>
      <c r="F712" s="80"/>
      <c r="G712" s="80"/>
      <c r="K712" s="237"/>
    </row>
    <row r="713" spans="1:11">
      <c r="A713" s="80"/>
      <c r="B713" s="80"/>
      <c r="C713" s="965"/>
      <c r="D713" s="966"/>
      <c r="E713" s="80"/>
      <c r="F713" s="80"/>
      <c r="G713" s="80"/>
      <c r="K713" s="237"/>
    </row>
    <row r="714" spans="1:11" ht="35.25" customHeight="1">
      <c r="A714" s="920" t="s">
        <v>2128</v>
      </c>
      <c r="B714" s="921"/>
      <c r="C714" s="921"/>
      <c r="D714" s="921"/>
      <c r="E714" s="921"/>
      <c r="F714" s="75" t="s">
        <v>1915</v>
      </c>
      <c r="G714" s="88"/>
      <c r="K714" s="237"/>
    </row>
    <row r="715" spans="1:11" ht="28.5">
      <c r="A715" s="984" t="s">
        <v>364</v>
      </c>
      <c r="B715" s="985"/>
      <c r="C715" s="77" t="s">
        <v>3</v>
      </c>
      <c r="D715" s="77" t="s">
        <v>4</v>
      </c>
      <c r="E715" s="77" t="s">
        <v>1826</v>
      </c>
      <c r="F715" s="93" t="s">
        <v>367</v>
      </c>
      <c r="G715" s="77" t="s">
        <v>368</v>
      </c>
      <c r="K715" s="237"/>
    </row>
    <row r="716" spans="1:11" ht="30">
      <c r="A716" s="24">
        <v>301</v>
      </c>
      <c r="B716" s="78" t="s">
        <v>511</v>
      </c>
      <c r="C716" s="25" t="s">
        <v>12</v>
      </c>
      <c r="D716" s="25" t="s">
        <v>17</v>
      </c>
      <c r="E716" s="26">
        <v>2</v>
      </c>
      <c r="F716" s="26">
        <f t="shared" ref="F716" si="208">H716</f>
        <v>2.9409999999999998</v>
      </c>
      <c r="G716" s="26">
        <f t="shared" ref="G716" si="209">ROUND(F716*E716,2)</f>
        <v>5.88</v>
      </c>
      <c r="H716" s="375">
        <v>2.9409999999999998</v>
      </c>
      <c r="I716" s="28" t="e">
        <f>IF(A716&lt;&gt;0,VLOOKUP(A716,#REF!,2,FALSE),"")</f>
        <v>#REF!</v>
      </c>
      <c r="K716" s="237"/>
    </row>
    <row r="717" spans="1:11" ht="60">
      <c r="A717" s="24">
        <v>20078</v>
      </c>
      <c r="B717" s="78" t="s">
        <v>478</v>
      </c>
      <c r="C717" s="25" t="s">
        <v>12</v>
      </c>
      <c r="D717" s="25" t="s">
        <v>17</v>
      </c>
      <c r="E717" s="26">
        <v>9.1999999999999998E-2</v>
      </c>
      <c r="F717" s="26">
        <f t="shared" ref="F717:F720" si="210">H717</f>
        <v>20.349</v>
      </c>
      <c r="G717" s="26">
        <f t="shared" ref="G717:G720" si="211">ROUND(F717*E717,2)</f>
        <v>1.87</v>
      </c>
      <c r="H717" s="375">
        <v>20.349</v>
      </c>
      <c r="I717" s="28" t="e">
        <f>IF(A717&lt;&gt;0,VLOOKUP(A717,#REF!,2,FALSE),"")</f>
        <v>#REF!</v>
      </c>
      <c r="K717" s="237"/>
    </row>
    <row r="718" spans="1:11" ht="30">
      <c r="A718" s="24">
        <v>11655</v>
      </c>
      <c r="B718" s="78" t="s">
        <v>524</v>
      </c>
      <c r="C718" s="25" t="s">
        <v>12</v>
      </c>
      <c r="D718" s="25" t="s">
        <v>17</v>
      </c>
      <c r="E718" s="26">
        <v>1</v>
      </c>
      <c r="F718" s="26">
        <f t="shared" si="210"/>
        <v>11.500499999999999</v>
      </c>
      <c r="G718" s="26">
        <f t="shared" si="211"/>
        <v>11.5</v>
      </c>
      <c r="H718" s="375">
        <v>11.500499999999999</v>
      </c>
      <c r="I718" s="28" t="e">
        <f>IF(A718&lt;&gt;0,VLOOKUP(A718,#REF!,2,FALSE),"")</f>
        <v>#REF!</v>
      </c>
      <c r="K718" s="237"/>
    </row>
    <row r="719" spans="1:11" ht="45">
      <c r="A719" s="24">
        <v>88248</v>
      </c>
      <c r="B719" s="78" t="s">
        <v>473</v>
      </c>
      <c r="C719" s="25" t="s">
        <v>12</v>
      </c>
      <c r="D719" s="25" t="s">
        <v>19</v>
      </c>
      <c r="E719" s="26">
        <v>0.16</v>
      </c>
      <c r="F719" s="26">
        <f t="shared" si="210"/>
        <v>11.483499999999999</v>
      </c>
      <c r="G719" s="26">
        <f t="shared" si="211"/>
        <v>1.84</v>
      </c>
      <c r="H719" s="375">
        <v>11.483499999999999</v>
      </c>
      <c r="I719" s="28" t="e">
        <f>IF(A719&lt;&gt;0,VLOOKUP(A719,#REF!,2,FALSE),"")</f>
        <v>#REF!</v>
      </c>
      <c r="K719" s="237"/>
    </row>
    <row r="720" spans="1:11" ht="30">
      <c r="A720" s="24">
        <v>88267</v>
      </c>
      <c r="B720" s="78" t="s">
        <v>472</v>
      </c>
      <c r="C720" s="25" t="s">
        <v>12</v>
      </c>
      <c r="D720" s="25" t="s">
        <v>19</v>
      </c>
      <c r="E720" s="26">
        <v>0.16</v>
      </c>
      <c r="F720" s="26">
        <f t="shared" si="210"/>
        <v>14.7135</v>
      </c>
      <c r="G720" s="26">
        <f t="shared" si="211"/>
        <v>2.35</v>
      </c>
      <c r="H720" s="375">
        <v>14.7135</v>
      </c>
      <c r="I720" s="28" t="e">
        <f>IF(A720&lt;&gt;0,VLOOKUP(A720,#REF!,2,FALSE),"")</f>
        <v>#REF!</v>
      </c>
      <c r="K720" s="237"/>
    </row>
    <row r="721" spans="1:11" ht="15" customHeight="1">
      <c r="A721" s="986" t="s">
        <v>1894</v>
      </c>
      <c r="B721" s="986"/>
      <c r="C721" s="986"/>
      <c r="D721" s="986"/>
      <c r="E721" s="986"/>
      <c r="F721" s="986"/>
      <c r="G721" s="79">
        <f>ROUND(SUM(G716:G720),2)</f>
        <v>23.44</v>
      </c>
      <c r="K721" s="237"/>
    </row>
    <row r="722" spans="1:11" ht="25.5" customHeight="1">
      <c r="A722" s="80"/>
      <c r="B722" s="80"/>
      <c r="C722" s="965"/>
      <c r="D722" s="966"/>
      <c r="E722" s="80"/>
      <c r="F722" s="80"/>
      <c r="G722" s="80"/>
      <c r="K722" s="237"/>
    </row>
    <row r="723" spans="1:11" ht="33" customHeight="1">
      <c r="A723" s="920" t="s">
        <v>2129</v>
      </c>
      <c r="B723" s="921"/>
      <c r="C723" s="921"/>
      <c r="D723" s="921"/>
      <c r="E723" s="929"/>
      <c r="F723" s="75" t="s">
        <v>1915</v>
      </c>
      <c r="G723" s="88"/>
      <c r="K723" s="237"/>
    </row>
    <row r="724" spans="1:11" ht="28.5">
      <c r="A724" s="984" t="s">
        <v>364</v>
      </c>
      <c r="B724" s="985"/>
      <c r="C724" s="77" t="s">
        <v>3</v>
      </c>
      <c r="D724" s="77" t="s">
        <v>4</v>
      </c>
      <c r="E724" s="77" t="s">
        <v>1826</v>
      </c>
      <c r="F724" s="77" t="s">
        <v>367</v>
      </c>
      <c r="G724" s="77" t="s">
        <v>368</v>
      </c>
      <c r="K724" s="237"/>
    </row>
    <row r="725" spans="1:11" ht="30">
      <c r="A725" s="24">
        <v>297</v>
      </c>
      <c r="B725" s="78" t="s">
        <v>519</v>
      </c>
      <c r="C725" s="25" t="s">
        <v>12</v>
      </c>
      <c r="D725" s="25" t="s">
        <v>17</v>
      </c>
      <c r="E725" s="26">
        <v>2</v>
      </c>
      <c r="F725" s="26">
        <f t="shared" ref="F725" si="212">H725</f>
        <v>2.3459999999999996</v>
      </c>
      <c r="G725" s="26">
        <f t="shared" ref="G725" si="213">ROUND(F725*E725,2)</f>
        <v>4.6900000000000004</v>
      </c>
      <c r="H725" s="375">
        <v>2.3459999999999996</v>
      </c>
      <c r="I725" s="28" t="e">
        <f>IF(A725&lt;&gt;0,VLOOKUP(A725,#REF!,2,FALSE),"")</f>
        <v>#REF!</v>
      </c>
      <c r="K725" s="237"/>
    </row>
    <row r="726" spans="1:11" ht="60">
      <c r="A726" s="24">
        <v>20078</v>
      </c>
      <c r="B726" s="78" t="s">
        <v>478</v>
      </c>
      <c r="C726" s="25" t="s">
        <v>12</v>
      </c>
      <c r="D726" s="25" t="s">
        <v>17</v>
      </c>
      <c r="E726" s="26">
        <v>0.06</v>
      </c>
      <c r="F726" s="26">
        <f t="shared" ref="F726:F729" si="214">H726</f>
        <v>20.349</v>
      </c>
      <c r="G726" s="26">
        <f t="shared" ref="G726:G729" si="215">ROUND(F726*E726,2)</f>
        <v>1.22</v>
      </c>
      <c r="H726" s="375">
        <v>20.349</v>
      </c>
      <c r="I726" s="28" t="e">
        <f>IF(A726&lt;&gt;0,VLOOKUP(A726,#REF!,2,FALSE),"")</f>
        <v>#REF!</v>
      </c>
      <c r="K726" s="237"/>
    </row>
    <row r="727" spans="1:11" ht="30">
      <c r="A727" s="24">
        <v>11657</v>
      </c>
      <c r="B727" s="78" t="s">
        <v>525</v>
      </c>
      <c r="C727" s="25" t="s">
        <v>12</v>
      </c>
      <c r="D727" s="25" t="s">
        <v>17</v>
      </c>
      <c r="E727" s="26">
        <v>1</v>
      </c>
      <c r="F727" s="26">
        <f t="shared" si="214"/>
        <v>10.480499999999999</v>
      </c>
      <c r="G727" s="26">
        <f t="shared" si="215"/>
        <v>10.48</v>
      </c>
      <c r="H727" s="375">
        <v>10.480499999999999</v>
      </c>
      <c r="I727" s="28" t="e">
        <f>IF(A727&lt;&gt;0,VLOOKUP(A727,#REF!,2,FALSE),"")</f>
        <v>#REF!</v>
      </c>
      <c r="K727" s="237"/>
    </row>
    <row r="728" spans="1:11" ht="45">
      <c r="A728" s="24">
        <v>88248</v>
      </c>
      <c r="B728" s="78" t="s">
        <v>473</v>
      </c>
      <c r="C728" s="25" t="s">
        <v>12</v>
      </c>
      <c r="D728" s="25" t="s">
        <v>19</v>
      </c>
      <c r="E728" s="26">
        <v>0.11</v>
      </c>
      <c r="F728" s="26">
        <f t="shared" si="214"/>
        <v>11.483499999999999</v>
      </c>
      <c r="G728" s="26">
        <f t="shared" si="215"/>
        <v>1.26</v>
      </c>
      <c r="H728" s="375">
        <v>11.483499999999999</v>
      </c>
      <c r="I728" s="28" t="e">
        <f>IF(A728&lt;&gt;0,VLOOKUP(A728,#REF!,2,FALSE),"")</f>
        <v>#REF!</v>
      </c>
      <c r="K728" s="237"/>
    </row>
    <row r="729" spans="1:11" ht="30">
      <c r="A729" s="24">
        <v>88267</v>
      </c>
      <c r="B729" s="78" t="s">
        <v>472</v>
      </c>
      <c r="C729" s="25" t="s">
        <v>12</v>
      </c>
      <c r="D729" s="25" t="s">
        <v>19</v>
      </c>
      <c r="E729" s="26">
        <v>0.11</v>
      </c>
      <c r="F729" s="26">
        <f t="shared" si="214"/>
        <v>14.7135</v>
      </c>
      <c r="G729" s="26">
        <f t="shared" si="215"/>
        <v>1.62</v>
      </c>
      <c r="H729" s="375">
        <v>14.7135</v>
      </c>
      <c r="I729" s="28" t="e">
        <f>IF(A729&lt;&gt;0,VLOOKUP(A729,#REF!,2,FALSE),"")</f>
        <v>#REF!</v>
      </c>
      <c r="K729" s="237"/>
    </row>
    <row r="730" spans="1:11" ht="15" customHeight="1">
      <c r="A730" s="986" t="s">
        <v>1894</v>
      </c>
      <c r="B730" s="986"/>
      <c r="C730" s="986"/>
      <c r="D730" s="986"/>
      <c r="E730" s="986"/>
      <c r="F730" s="986"/>
      <c r="G730" s="79">
        <f>ROUND(SUM(G725:G729),2)</f>
        <v>19.27</v>
      </c>
      <c r="K730" s="237"/>
    </row>
    <row r="731" spans="1:11" ht="21" customHeight="1">
      <c r="A731" s="80"/>
      <c r="B731" s="80"/>
      <c r="C731" s="965"/>
      <c r="D731" s="966"/>
      <c r="E731" s="80"/>
      <c r="F731" s="80"/>
      <c r="G731" s="80"/>
      <c r="K731" s="237"/>
    </row>
    <row r="732" spans="1:11" ht="39.75" customHeight="1">
      <c r="A732" s="920" t="s">
        <v>2130</v>
      </c>
      <c r="B732" s="921"/>
      <c r="C732" s="921"/>
      <c r="D732" s="921"/>
      <c r="E732" s="929"/>
      <c r="F732" s="75" t="s">
        <v>1915</v>
      </c>
      <c r="G732" s="88"/>
      <c r="K732" s="237"/>
    </row>
    <row r="733" spans="1:11" ht="28.5">
      <c r="A733" s="984" t="s">
        <v>364</v>
      </c>
      <c r="B733" s="985"/>
      <c r="C733" s="77" t="s">
        <v>3</v>
      </c>
      <c r="D733" s="77" t="s">
        <v>4</v>
      </c>
      <c r="E733" s="77" t="s">
        <v>1826</v>
      </c>
      <c r="F733" s="77" t="s">
        <v>367</v>
      </c>
      <c r="G733" s="77" t="s">
        <v>368</v>
      </c>
      <c r="K733" s="237"/>
    </row>
    <row r="734" spans="1:11" ht="30">
      <c r="A734" s="24">
        <v>305</v>
      </c>
      <c r="B734" s="78" t="s">
        <v>520</v>
      </c>
      <c r="C734" s="25" t="s">
        <v>12</v>
      </c>
      <c r="D734" s="25" t="s">
        <v>17</v>
      </c>
      <c r="E734" s="26">
        <v>2</v>
      </c>
      <c r="F734" s="26">
        <f t="shared" ref="F734" si="216">H734</f>
        <v>10.455</v>
      </c>
      <c r="G734" s="26">
        <f t="shared" ref="G734" si="217">ROUND(F734*E734,2)</f>
        <v>20.91</v>
      </c>
      <c r="H734" s="375">
        <v>10.455</v>
      </c>
      <c r="I734" s="28" t="e">
        <f>IF(A734&lt;&gt;0,VLOOKUP(A734,#REF!,2,FALSE),"")</f>
        <v>#REF!</v>
      </c>
      <c r="K734" s="237"/>
    </row>
    <row r="735" spans="1:11" ht="60">
      <c r="A735" s="24">
        <v>20078</v>
      </c>
      <c r="B735" s="78" t="s">
        <v>478</v>
      </c>
      <c r="C735" s="25" t="s">
        <v>12</v>
      </c>
      <c r="D735" s="25" t="s">
        <v>17</v>
      </c>
      <c r="E735" s="26">
        <v>0.14000000000000001</v>
      </c>
      <c r="F735" s="26">
        <f t="shared" ref="F735:F738" si="218">H735</f>
        <v>20.349</v>
      </c>
      <c r="G735" s="26">
        <f t="shared" ref="G735:G738" si="219">ROUND(F735*E735,2)</f>
        <v>2.85</v>
      </c>
      <c r="H735" s="375">
        <v>20.349</v>
      </c>
      <c r="I735" s="28" t="e">
        <f>IF(A735&lt;&gt;0,VLOOKUP(A735,#REF!,2,FALSE),"")</f>
        <v>#REF!</v>
      </c>
      <c r="K735" s="237"/>
    </row>
    <row r="736" spans="1:11" ht="30">
      <c r="A736" s="24">
        <v>20174</v>
      </c>
      <c r="B736" s="78" t="s">
        <v>526</v>
      </c>
      <c r="C736" s="25" t="s">
        <v>12</v>
      </c>
      <c r="D736" s="25" t="s">
        <v>17</v>
      </c>
      <c r="E736" s="26">
        <v>1</v>
      </c>
      <c r="F736" s="26">
        <f t="shared" si="218"/>
        <v>29.333499999999997</v>
      </c>
      <c r="G736" s="26">
        <f t="shared" si="219"/>
        <v>29.33</v>
      </c>
      <c r="H736" s="375">
        <v>29.333499999999997</v>
      </c>
      <c r="I736" s="28" t="e">
        <f>IF(A736&lt;&gt;0,VLOOKUP(A736,#REF!,2,FALSE),"")</f>
        <v>#REF!</v>
      </c>
      <c r="K736" s="237"/>
    </row>
    <row r="737" spans="1:11" ht="45">
      <c r="A737" s="24">
        <v>88248</v>
      </c>
      <c r="B737" s="78" t="s">
        <v>473</v>
      </c>
      <c r="C737" s="25" t="s">
        <v>12</v>
      </c>
      <c r="D737" s="25" t="s">
        <v>19</v>
      </c>
      <c r="E737" s="26">
        <v>0.44</v>
      </c>
      <c r="F737" s="26">
        <f t="shared" si="218"/>
        <v>11.483499999999999</v>
      </c>
      <c r="G737" s="26">
        <f t="shared" si="219"/>
        <v>5.05</v>
      </c>
      <c r="H737" s="375">
        <v>11.483499999999999</v>
      </c>
      <c r="I737" s="28" t="e">
        <f>IF(A737&lt;&gt;0,VLOOKUP(A737,#REF!,2,FALSE),"")</f>
        <v>#REF!</v>
      </c>
      <c r="K737" s="237"/>
    </row>
    <row r="738" spans="1:11" ht="30">
      <c r="A738" s="24">
        <v>88267</v>
      </c>
      <c r="B738" s="78" t="s">
        <v>472</v>
      </c>
      <c r="C738" s="25" t="s">
        <v>12</v>
      </c>
      <c r="D738" s="25" t="s">
        <v>19</v>
      </c>
      <c r="E738" s="26">
        <v>0.44</v>
      </c>
      <c r="F738" s="26">
        <f t="shared" si="218"/>
        <v>14.7135</v>
      </c>
      <c r="G738" s="26">
        <f t="shared" si="219"/>
        <v>6.47</v>
      </c>
      <c r="H738" s="375">
        <v>14.7135</v>
      </c>
      <c r="I738" s="28" t="e">
        <f>IF(A738&lt;&gt;0,VLOOKUP(A738,#REF!,2,FALSE),"")</f>
        <v>#REF!</v>
      </c>
      <c r="K738" s="237"/>
    </row>
    <row r="739" spans="1:11" ht="15" customHeight="1">
      <c r="A739" s="986" t="s">
        <v>1894</v>
      </c>
      <c r="B739" s="986"/>
      <c r="C739" s="986"/>
      <c r="D739" s="986"/>
      <c r="E739" s="986"/>
      <c r="F739" s="986"/>
      <c r="G739" s="79">
        <f>ROUND(SUM(G734:G738),2)</f>
        <v>64.61</v>
      </c>
      <c r="K739" s="237"/>
    </row>
    <row r="740" spans="1:11" ht="25.5" customHeight="1">
      <c r="A740" s="80"/>
      <c r="B740" s="80"/>
      <c r="C740" s="965"/>
      <c r="D740" s="966"/>
      <c r="E740" s="80"/>
      <c r="F740" s="80"/>
      <c r="G740" s="80"/>
      <c r="K740" s="237"/>
    </row>
    <row r="741" spans="1:11" ht="30.75" customHeight="1">
      <c r="A741" s="920" t="s">
        <v>2131</v>
      </c>
      <c r="B741" s="921"/>
      <c r="C741" s="921"/>
      <c r="D741" s="921"/>
      <c r="E741" s="921"/>
      <c r="F741" s="75" t="s">
        <v>44</v>
      </c>
      <c r="G741" s="88"/>
      <c r="K741" s="237"/>
    </row>
    <row r="742" spans="1:11" ht="28.5">
      <c r="A742" s="984" t="s">
        <v>364</v>
      </c>
      <c r="B742" s="985"/>
      <c r="C742" s="77" t="s">
        <v>3</v>
      </c>
      <c r="D742" s="77" t="s">
        <v>4</v>
      </c>
      <c r="E742" s="77" t="s">
        <v>1826</v>
      </c>
      <c r="F742" s="77" t="s">
        <v>367</v>
      </c>
      <c r="G742" s="77" t="s">
        <v>368</v>
      </c>
      <c r="K742" s="237"/>
    </row>
    <row r="743" spans="1:11">
      <c r="A743" s="84">
        <v>20047</v>
      </c>
      <c r="B743" s="85" t="e">
        <f>I743</f>
        <v>#REF!</v>
      </c>
      <c r="C743" s="86" t="s">
        <v>12</v>
      </c>
      <c r="D743" s="86" t="s">
        <v>17</v>
      </c>
      <c r="E743" s="81">
        <v>1</v>
      </c>
      <c r="F743" s="26">
        <f t="shared" ref="F743" si="220">H743</f>
        <v>37.8675</v>
      </c>
      <c r="G743" s="26">
        <f t="shared" ref="G743" si="221">ROUND(F743*E743,2)</f>
        <v>37.869999999999997</v>
      </c>
      <c r="H743" s="375">
        <v>37.8675</v>
      </c>
      <c r="I743" s="28" t="e">
        <f>IF(A743&lt;&gt;0,VLOOKUP(A743,#REF!,2,FALSE),"")</f>
        <v>#REF!</v>
      </c>
      <c r="K743" s="237"/>
    </row>
    <row r="744" spans="1:11" ht="30">
      <c r="A744" s="84">
        <v>20083</v>
      </c>
      <c r="B744" s="85" t="s">
        <v>479</v>
      </c>
      <c r="C744" s="86" t="s">
        <v>12</v>
      </c>
      <c r="D744" s="86" t="s">
        <v>17</v>
      </c>
      <c r="E744" s="81">
        <v>8.7999999999999995E-2</v>
      </c>
      <c r="F744" s="26">
        <f t="shared" ref="F744:F747" si="222">H744</f>
        <v>48.271500000000003</v>
      </c>
      <c r="G744" s="26">
        <f t="shared" ref="G744:G747" si="223">ROUND(F744*E744,2)</f>
        <v>4.25</v>
      </c>
      <c r="H744" s="375">
        <v>48.271500000000003</v>
      </c>
      <c r="I744" s="28" t="e">
        <f>IF(A744&lt;&gt;0,VLOOKUP(A744,#REF!,2,FALSE),"")</f>
        <v>#REF!</v>
      </c>
      <c r="K744" s="237"/>
    </row>
    <row r="745" spans="1:11" ht="30">
      <c r="A745" s="84">
        <v>122</v>
      </c>
      <c r="B745" s="85" t="s">
        <v>477</v>
      </c>
      <c r="C745" s="86" t="s">
        <v>12</v>
      </c>
      <c r="D745" s="86" t="s">
        <v>17</v>
      </c>
      <c r="E745" s="81">
        <v>5.8299999999999998E-2</v>
      </c>
      <c r="F745" s="26">
        <f t="shared" si="222"/>
        <v>55.59</v>
      </c>
      <c r="G745" s="26">
        <f t="shared" si="223"/>
        <v>3.24</v>
      </c>
      <c r="H745" s="375">
        <v>55.59</v>
      </c>
      <c r="I745" s="28" t="e">
        <f>IF(A745&lt;&gt;0,VLOOKUP(A745,#REF!,2,FALSE),"")</f>
        <v>#REF!</v>
      </c>
      <c r="K745" s="237"/>
    </row>
    <row r="746" spans="1:11" ht="30">
      <c r="A746" s="84">
        <v>88267</v>
      </c>
      <c r="B746" s="85" t="s">
        <v>472</v>
      </c>
      <c r="C746" s="86" t="s">
        <v>12</v>
      </c>
      <c r="D746" s="86" t="s">
        <v>19</v>
      </c>
      <c r="E746" s="81">
        <v>0.22</v>
      </c>
      <c r="F746" s="26">
        <f t="shared" si="222"/>
        <v>14.7135</v>
      </c>
      <c r="G746" s="26">
        <f t="shared" si="223"/>
        <v>3.24</v>
      </c>
      <c r="H746" s="375">
        <v>14.7135</v>
      </c>
      <c r="I746" s="28" t="e">
        <f>IF(A746&lt;&gt;0,VLOOKUP(A746,#REF!,2,FALSE),"")</f>
        <v>#REF!</v>
      </c>
      <c r="K746" s="237"/>
    </row>
    <row r="747" spans="1:11" ht="30">
      <c r="A747" s="84">
        <v>88316</v>
      </c>
      <c r="B747" s="85" t="s">
        <v>377</v>
      </c>
      <c r="C747" s="86" t="s">
        <v>12</v>
      </c>
      <c r="D747" s="86" t="s">
        <v>19</v>
      </c>
      <c r="E747" s="81">
        <v>0.22</v>
      </c>
      <c r="F747" s="26">
        <f t="shared" si="222"/>
        <v>11.798000000000002</v>
      </c>
      <c r="G747" s="26">
        <f t="shared" si="223"/>
        <v>2.6</v>
      </c>
      <c r="H747" s="375">
        <v>11.798000000000002</v>
      </c>
      <c r="I747" s="28" t="e">
        <f>IF(A747&lt;&gt;0,VLOOKUP(A747,#REF!,2,FALSE),"")</f>
        <v>#REF!</v>
      </c>
      <c r="K747" s="237"/>
    </row>
    <row r="748" spans="1:11" ht="15" customHeight="1">
      <c r="A748" s="986" t="s">
        <v>1894</v>
      </c>
      <c r="B748" s="986"/>
      <c r="C748" s="986"/>
      <c r="D748" s="986"/>
      <c r="E748" s="986"/>
      <c r="F748" s="986"/>
      <c r="G748" s="79">
        <f>ROUND(SUM(G743:G747),2)</f>
        <v>51.2</v>
      </c>
      <c r="K748" s="237"/>
    </row>
    <row r="749" spans="1:11" ht="31.5" customHeight="1">
      <c r="A749" s="80"/>
      <c r="B749" s="80"/>
      <c r="C749" s="965"/>
      <c r="D749" s="966"/>
      <c r="E749" s="80"/>
      <c r="F749" s="80"/>
      <c r="G749" s="80"/>
      <c r="K749" s="237"/>
    </row>
    <row r="750" spans="1:11" ht="30.75" customHeight="1">
      <c r="A750" s="920" t="s">
        <v>2132</v>
      </c>
      <c r="B750" s="921"/>
      <c r="C750" s="921"/>
      <c r="D750" s="921"/>
      <c r="E750" s="929"/>
      <c r="F750" s="75" t="s">
        <v>44</v>
      </c>
      <c r="G750" s="88"/>
      <c r="K750" s="237"/>
    </row>
    <row r="751" spans="1:11" ht="28.5">
      <c r="A751" s="984" t="s">
        <v>364</v>
      </c>
      <c r="B751" s="985"/>
      <c r="C751" s="77" t="s">
        <v>3</v>
      </c>
      <c r="D751" s="77" t="s">
        <v>4</v>
      </c>
      <c r="E751" s="77" t="s">
        <v>1826</v>
      </c>
      <c r="F751" s="77" t="s">
        <v>367</v>
      </c>
      <c r="G751" s="77" t="s">
        <v>368</v>
      </c>
      <c r="K751" s="237"/>
    </row>
    <row r="752" spans="1:11" ht="30">
      <c r="A752" s="24">
        <v>20083</v>
      </c>
      <c r="B752" s="78" t="s">
        <v>479</v>
      </c>
      <c r="C752" s="25" t="s">
        <v>12</v>
      </c>
      <c r="D752" s="25" t="s">
        <v>17</v>
      </c>
      <c r="E752" s="26">
        <v>3.6999999999999998E-2</v>
      </c>
      <c r="F752" s="26">
        <f t="shared" ref="F752" si="224">H752</f>
        <v>48.271500000000003</v>
      </c>
      <c r="G752" s="26">
        <f t="shared" ref="G752" si="225">ROUND(F752*E752,2)</f>
        <v>1.79</v>
      </c>
      <c r="H752" s="375">
        <v>48.271500000000003</v>
      </c>
      <c r="I752" s="28" t="e">
        <f>IF(A752&lt;&gt;0,VLOOKUP(A752,#REF!,2,FALSE),"")</f>
        <v>#REF!</v>
      </c>
      <c r="K752" s="237"/>
    </row>
    <row r="753" spans="1:11" ht="30">
      <c r="A753" s="24">
        <v>20042</v>
      </c>
      <c r="B753" s="78" t="s">
        <v>527</v>
      </c>
      <c r="C753" s="25" t="s">
        <v>12</v>
      </c>
      <c r="D753" s="25" t="s">
        <v>17</v>
      </c>
      <c r="E753" s="26">
        <v>1</v>
      </c>
      <c r="F753" s="26">
        <f t="shared" ref="F753:F756" si="226">H753</f>
        <v>4.7345000000000006</v>
      </c>
      <c r="G753" s="26">
        <f t="shared" ref="G753:G756" si="227">ROUND(F753*E753,2)</f>
        <v>4.7300000000000004</v>
      </c>
      <c r="H753" s="375">
        <v>4.7345000000000006</v>
      </c>
      <c r="I753" s="28" t="e">
        <f>IF(A753&lt;&gt;0,VLOOKUP(A753,#REF!,2,FALSE),"")</f>
        <v>#REF!</v>
      </c>
      <c r="K753" s="237"/>
    </row>
    <row r="754" spans="1:11" ht="30">
      <c r="A754" s="24">
        <v>122</v>
      </c>
      <c r="B754" s="78" t="s">
        <v>477</v>
      </c>
      <c r="C754" s="25" t="s">
        <v>12</v>
      </c>
      <c r="D754" s="25" t="s">
        <v>17</v>
      </c>
      <c r="E754" s="26">
        <v>2.5000000000000001E-2</v>
      </c>
      <c r="F754" s="26">
        <f t="shared" si="226"/>
        <v>55.59</v>
      </c>
      <c r="G754" s="26">
        <f t="shared" si="227"/>
        <v>1.39</v>
      </c>
      <c r="H754" s="375">
        <v>55.59</v>
      </c>
      <c r="I754" s="28" t="e">
        <f>IF(A754&lt;&gt;0,VLOOKUP(A754,#REF!,2,FALSE),"")</f>
        <v>#REF!</v>
      </c>
      <c r="K754" s="237"/>
    </row>
    <row r="755" spans="1:11" ht="30">
      <c r="A755" s="24">
        <v>88267</v>
      </c>
      <c r="B755" s="78" t="s">
        <v>472</v>
      </c>
      <c r="C755" s="25" t="s">
        <v>12</v>
      </c>
      <c r="D755" s="25" t="s">
        <v>19</v>
      </c>
      <c r="E755" s="26">
        <v>0.18</v>
      </c>
      <c r="F755" s="26">
        <f t="shared" si="226"/>
        <v>14.7135</v>
      </c>
      <c r="G755" s="26">
        <f t="shared" si="227"/>
        <v>2.65</v>
      </c>
      <c r="H755" s="375">
        <v>14.7135</v>
      </c>
      <c r="I755" s="28" t="e">
        <f>IF(A755&lt;&gt;0,VLOOKUP(A755,#REF!,2,FALSE),"")</f>
        <v>#REF!</v>
      </c>
      <c r="K755" s="237"/>
    </row>
    <row r="756" spans="1:11" ht="30">
      <c r="A756" s="24">
        <v>88316</v>
      </c>
      <c r="B756" s="78" t="s">
        <v>377</v>
      </c>
      <c r="C756" s="25" t="s">
        <v>12</v>
      </c>
      <c r="D756" s="25" t="s">
        <v>19</v>
      </c>
      <c r="E756" s="26">
        <v>0.18</v>
      </c>
      <c r="F756" s="26">
        <f t="shared" si="226"/>
        <v>11.798000000000002</v>
      </c>
      <c r="G756" s="26">
        <f t="shared" si="227"/>
        <v>2.12</v>
      </c>
      <c r="H756" s="375">
        <v>11.798000000000002</v>
      </c>
      <c r="I756" s="28" t="e">
        <f>IF(A756&lt;&gt;0,VLOOKUP(A756,#REF!,2,FALSE),"")</f>
        <v>#REF!</v>
      </c>
      <c r="K756" s="237"/>
    </row>
    <row r="757" spans="1:11" ht="15" customHeight="1">
      <c r="A757" s="986" t="s">
        <v>1894</v>
      </c>
      <c r="B757" s="986"/>
      <c r="C757" s="986"/>
      <c r="D757" s="986"/>
      <c r="E757" s="986"/>
      <c r="F757" s="986"/>
      <c r="G757" s="79">
        <f>ROUND(SUM(G752:G756),2)</f>
        <v>12.68</v>
      </c>
      <c r="K757" s="237"/>
    </row>
    <row r="758" spans="1:11" ht="24" customHeight="1">
      <c r="A758" s="80"/>
      <c r="B758" s="80"/>
      <c r="C758" s="965"/>
      <c r="D758" s="966"/>
      <c r="E758" s="80"/>
      <c r="F758" s="80"/>
      <c r="G758" s="80"/>
      <c r="K758" s="237"/>
    </row>
    <row r="759" spans="1:11" ht="27" customHeight="1">
      <c r="A759" s="920" t="s">
        <v>2133</v>
      </c>
      <c r="B759" s="921"/>
      <c r="C759" s="921"/>
      <c r="D759" s="921"/>
      <c r="E759" s="929"/>
      <c r="F759" s="75" t="s">
        <v>70</v>
      </c>
      <c r="G759" s="88"/>
      <c r="K759" s="237"/>
    </row>
    <row r="760" spans="1:11" ht="28.5">
      <c r="A760" s="984" t="s">
        <v>364</v>
      </c>
      <c r="B760" s="985"/>
      <c r="C760" s="77" t="s">
        <v>3</v>
      </c>
      <c r="D760" s="77" t="s">
        <v>4</v>
      </c>
      <c r="E760" s="77" t="s">
        <v>1826</v>
      </c>
      <c r="F760" s="77" t="s">
        <v>367</v>
      </c>
      <c r="G760" s="77" t="s">
        <v>368</v>
      </c>
      <c r="K760" s="237"/>
    </row>
    <row r="761" spans="1:11">
      <c r="A761" s="25">
        <v>11071</v>
      </c>
      <c r="B761" s="78" t="s">
        <v>528</v>
      </c>
      <c r="C761" s="25" t="s">
        <v>12</v>
      </c>
      <c r="D761" s="25" t="s">
        <v>17</v>
      </c>
      <c r="E761" s="26">
        <v>1</v>
      </c>
      <c r="F761" s="26">
        <f t="shared" ref="F761" si="228">H761</f>
        <v>6.6555</v>
      </c>
      <c r="G761" s="26">
        <f t="shared" ref="G761" si="229">ROUND(F761*E761,2)</f>
        <v>6.66</v>
      </c>
      <c r="H761" s="375">
        <v>6.6555</v>
      </c>
      <c r="I761" s="28" t="e">
        <f>IF(A761&lt;&gt;0,VLOOKUP(A761,#REF!,2,FALSE),"")</f>
        <v>#REF!</v>
      </c>
      <c r="K761" s="237"/>
    </row>
    <row r="762" spans="1:11" ht="30">
      <c r="A762" s="24">
        <v>122</v>
      </c>
      <c r="B762" s="78" t="s">
        <v>477</v>
      </c>
      <c r="C762" s="25" t="s">
        <v>12</v>
      </c>
      <c r="D762" s="25" t="s">
        <v>17</v>
      </c>
      <c r="E762" s="26">
        <v>2.5000000000000001E-2</v>
      </c>
      <c r="F762" s="26">
        <f t="shared" ref="F762" si="230">H762</f>
        <v>55.59</v>
      </c>
      <c r="G762" s="26">
        <f t="shared" ref="G762" si="231">ROUND(F762*E762,2)</f>
        <v>1.39</v>
      </c>
      <c r="H762" s="375">
        <v>55.59</v>
      </c>
      <c r="I762" s="28" t="e">
        <f>IF(A762&lt;&gt;0,VLOOKUP(A762,#REF!,2,FALSE),"")</f>
        <v>#REF!</v>
      </c>
      <c r="K762" s="237"/>
    </row>
    <row r="763" spans="1:11" ht="30">
      <c r="A763" s="24">
        <v>20083</v>
      </c>
      <c r="B763" s="78" t="s">
        <v>479</v>
      </c>
      <c r="C763" s="25" t="s">
        <v>12</v>
      </c>
      <c r="D763" s="25" t="s">
        <v>17</v>
      </c>
      <c r="E763" s="26">
        <v>0.04</v>
      </c>
      <c r="F763" s="26">
        <f t="shared" ref="F763:F765" si="232">H763</f>
        <v>48.271500000000003</v>
      </c>
      <c r="G763" s="26">
        <f t="shared" ref="G763:G765" si="233">ROUND(F763*E763,2)</f>
        <v>1.93</v>
      </c>
      <c r="H763" s="375">
        <v>48.271500000000003</v>
      </c>
      <c r="I763" s="28" t="e">
        <f>IF(A763&lt;&gt;0,VLOOKUP(A763,#REF!,2,FALSE),"")</f>
        <v>#REF!</v>
      </c>
      <c r="K763" s="237"/>
    </row>
    <row r="764" spans="1:11" ht="30">
      <c r="A764" s="24">
        <v>88267</v>
      </c>
      <c r="B764" s="78" t="s">
        <v>472</v>
      </c>
      <c r="C764" s="25" t="s">
        <v>12</v>
      </c>
      <c r="D764" s="25" t="s">
        <v>19</v>
      </c>
      <c r="E764" s="26">
        <v>0.12</v>
      </c>
      <c r="F764" s="26">
        <f t="shared" si="232"/>
        <v>14.7135</v>
      </c>
      <c r="G764" s="26">
        <f t="shared" si="233"/>
        <v>1.77</v>
      </c>
      <c r="H764" s="375">
        <v>14.7135</v>
      </c>
      <c r="I764" s="28" t="e">
        <f>IF(A764&lt;&gt;0,VLOOKUP(A764,#REF!,2,FALSE),"")</f>
        <v>#REF!</v>
      </c>
      <c r="K764" s="237"/>
    </row>
    <row r="765" spans="1:11" ht="45">
      <c r="A765" s="24">
        <v>88248</v>
      </c>
      <c r="B765" s="78" t="s">
        <v>473</v>
      </c>
      <c r="C765" s="25" t="s">
        <v>12</v>
      </c>
      <c r="D765" s="25" t="s">
        <v>19</v>
      </c>
      <c r="E765" s="26">
        <v>0.12</v>
      </c>
      <c r="F765" s="26">
        <f t="shared" si="232"/>
        <v>11.483499999999999</v>
      </c>
      <c r="G765" s="26">
        <f t="shared" si="233"/>
        <v>1.38</v>
      </c>
      <c r="H765" s="375">
        <v>11.483499999999999</v>
      </c>
      <c r="I765" s="28" t="e">
        <f>IF(A765&lt;&gt;0,VLOOKUP(A765,#REF!,2,FALSE),"")</f>
        <v>#REF!</v>
      </c>
      <c r="K765" s="237"/>
    </row>
    <row r="766" spans="1:11" ht="15" customHeight="1">
      <c r="A766" s="986" t="s">
        <v>1894</v>
      </c>
      <c r="B766" s="986"/>
      <c r="C766" s="986"/>
      <c r="D766" s="986"/>
      <c r="E766" s="986"/>
      <c r="F766" s="986"/>
      <c r="G766" s="79">
        <f>ROUND(SUM(G761:G765),2)</f>
        <v>13.13</v>
      </c>
      <c r="K766" s="237"/>
    </row>
    <row r="767" spans="1:11" ht="27" customHeight="1">
      <c r="A767" s="80"/>
      <c r="B767" s="80"/>
      <c r="C767" s="965"/>
      <c r="D767" s="966"/>
      <c r="E767" s="80"/>
      <c r="F767" s="80"/>
      <c r="G767" s="80"/>
      <c r="K767" s="237"/>
    </row>
    <row r="768" spans="1:11" ht="15" customHeight="1">
      <c r="A768" s="920" t="s">
        <v>2134</v>
      </c>
      <c r="B768" s="921"/>
      <c r="C768" s="921"/>
      <c r="D768" s="921"/>
      <c r="E768" s="929"/>
      <c r="F768" s="75" t="s">
        <v>70</v>
      </c>
      <c r="G768" s="88"/>
      <c r="K768" s="237"/>
    </row>
    <row r="769" spans="1:11" ht="28.5">
      <c r="A769" s="984" t="s">
        <v>364</v>
      </c>
      <c r="B769" s="985"/>
      <c r="C769" s="77" t="s">
        <v>3</v>
      </c>
      <c r="D769" s="77" t="s">
        <v>4</v>
      </c>
      <c r="E769" s="77" t="s">
        <v>1826</v>
      </c>
      <c r="F769" s="77" t="s">
        <v>367</v>
      </c>
      <c r="G769" s="77" t="s">
        <v>368</v>
      </c>
      <c r="K769" s="237"/>
    </row>
    <row r="770" spans="1:11">
      <c r="A770" s="25">
        <v>11072</v>
      </c>
      <c r="B770" s="78" t="s">
        <v>529</v>
      </c>
      <c r="C770" s="25" t="s">
        <v>12</v>
      </c>
      <c r="D770" s="25" t="s">
        <v>17</v>
      </c>
      <c r="E770" s="26">
        <v>1</v>
      </c>
      <c r="F770" s="26">
        <f t="shared" ref="F770" si="234">H770</f>
        <v>2.3205</v>
      </c>
      <c r="G770" s="26">
        <f t="shared" ref="G770" si="235">ROUND(F770*E770,2)</f>
        <v>2.3199999999999998</v>
      </c>
      <c r="H770" s="375">
        <v>2.3205</v>
      </c>
      <c r="I770" s="28" t="e">
        <f>IF(A770&lt;&gt;0,VLOOKUP(A770,#REF!,2,FALSE),"")</f>
        <v>#REF!</v>
      </c>
      <c r="K770" s="237"/>
    </row>
    <row r="771" spans="1:11" ht="30">
      <c r="A771" s="24">
        <v>20083</v>
      </c>
      <c r="B771" s="78" t="s">
        <v>479</v>
      </c>
      <c r="C771" s="25" t="s">
        <v>12</v>
      </c>
      <c r="D771" s="25" t="s">
        <v>17</v>
      </c>
      <c r="E771" s="26">
        <v>1.0999999999999999E-2</v>
      </c>
      <c r="F771" s="26">
        <f t="shared" ref="F771:F774" si="236">H771</f>
        <v>48.271500000000003</v>
      </c>
      <c r="G771" s="26">
        <f t="shared" ref="G771:G774" si="237">ROUND(F771*E771,2)</f>
        <v>0.53</v>
      </c>
      <c r="H771" s="375">
        <v>48.271500000000003</v>
      </c>
      <c r="I771" s="28" t="e">
        <f>IF(A771&lt;&gt;0,VLOOKUP(A771,#REF!,2,FALSE),"")</f>
        <v>#REF!</v>
      </c>
      <c r="K771" s="237"/>
    </row>
    <row r="772" spans="1:11" ht="30">
      <c r="A772" s="24">
        <v>122</v>
      </c>
      <c r="B772" s="78" t="s">
        <v>477</v>
      </c>
      <c r="C772" s="25" t="s">
        <v>12</v>
      </c>
      <c r="D772" s="25" t="s">
        <v>17</v>
      </c>
      <c r="E772" s="26">
        <v>7.4999999999999997E-3</v>
      </c>
      <c r="F772" s="26">
        <f t="shared" si="236"/>
        <v>55.59</v>
      </c>
      <c r="G772" s="26">
        <f t="shared" si="237"/>
        <v>0.42</v>
      </c>
      <c r="H772" s="375">
        <v>55.59</v>
      </c>
      <c r="I772" s="28" t="e">
        <f>IF(A772&lt;&gt;0,VLOOKUP(A772,#REF!,2,FALSE),"")</f>
        <v>#REF!</v>
      </c>
      <c r="K772" s="237"/>
    </row>
    <row r="773" spans="1:11" ht="30">
      <c r="A773" s="24">
        <v>88267</v>
      </c>
      <c r="B773" s="78" t="s">
        <v>472</v>
      </c>
      <c r="C773" s="25" t="s">
        <v>12</v>
      </c>
      <c r="D773" s="25" t="s">
        <v>19</v>
      </c>
      <c r="E773" s="26">
        <v>7.0000000000000007E-2</v>
      </c>
      <c r="F773" s="26">
        <f t="shared" si="236"/>
        <v>14.7135</v>
      </c>
      <c r="G773" s="26">
        <f t="shared" si="237"/>
        <v>1.03</v>
      </c>
      <c r="H773" s="375">
        <v>14.7135</v>
      </c>
      <c r="I773" s="28" t="e">
        <f>IF(A773&lt;&gt;0,VLOOKUP(A773,#REF!,2,FALSE),"")</f>
        <v>#REF!</v>
      </c>
      <c r="K773" s="237"/>
    </row>
    <row r="774" spans="1:11" ht="45">
      <c r="A774" s="24">
        <v>88248</v>
      </c>
      <c r="B774" s="78" t="s">
        <v>473</v>
      </c>
      <c r="C774" s="25" t="s">
        <v>12</v>
      </c>
      <c r="D774" s="25" t="s">
        <v>19</v>
      </c>
      <c r="E774" s="26">
        <v>7.0000000000000007E-2</v>
      </c>
      <c r="F774" s="26">
        <f t="shared" si="236"/>
        <v>11.483499999999999</v>
      </c>
      <c r="G774" s="26">
        <f t="shared" si="237"/>
        <v>0.8</v>
      </c>
      <c r="H774" s="375">
        <v>11.483499999999999</v>
      </c>
      <c r="I774" s="28" t="e">
        <f>IF(A774&lt;&gt;0,VLOOKUP(A774,#REF!,2,FALSE),"")</f>
        <v>#REF!</v>
      </c>
      <c r="K774" s="237"/>
    </row>
    <row r="775" spans="1:11" ht="15" customHeight="1">
      <c r="A775" s="986" t="s">
        <v>1894</v>
      </c>
      <c r="B775" s="986"/>
      <c r="C775" s="986"/>
      <c r="D775" s="986"/>
      <c r="E775" s="986"/>
      <c r="F775" s="986"/>
      <c r="G775" s="79">
        <f>ROUND(SUM(G770:G774),2)</f>
        <v>5.0999999999999996</v>
      </c>
      <c r="K775" s="237"/>
    </row>
    <row r="776" spans="1:11" ht="35.25" customHeight="1">
      <c r="A776" s="80"/>
      <c r="B776" s="80"/>
      <c r="C776" s="965"/>
      <c r="D776" s="966"/>
      <c r="E776" s="80"/>
      <c r="F776" s="80"/>
      <c r="G776" s="80"/>
      <c r="K776" s="237"/>
    </row>
    <row r="777" spans="1:11" ht="69" customHeight="1">
      <c r="A777" s="920" t="s">
        <v>2137</v>
      </c>
      <c r="B777" s="921"/>
      <c r="C777" s="921"/>
      <c r="D777" s="921"/>
      <c r="E777" s="929"/>
      <c r="F777" s="75" t="s">
        <v>1915</v>
      </c>
      <c r="G777" s="88"/>
      <c r="K777" s="237"/>
    </row>
    <row r="778" spans="1:11" ht="28.5">
      <c r="A778" s="984" t="s">
        <v>364</v>
      </c>
      <c r="B778" s="985"/>
      <c r="C778" s="77" t="s">
        <v>3</v>
      </c>
      <c r="D778" s="77" t="s">
        <v>4</v>
      </c>
      <c r="E778" s="77" t="s">
        <v>1826</v>
      </c>
      <c r="F778" s="77" t="s">
        <v>367</v>
      </c>
      <c r="G778" s="77" t="s">
        <v>368</v>
      </c>
      <c r="K778" s="237"/>
    </row>
    <row r="779" spans="1:11">
      <c r="A779" s="84">
        <v>1379</v>
      </c>
      <c r="B779" s="85" t="s">
        <v>397</v>
      </c>
      <c r="C779" s="86" t="s">
        <v>12</v>
      </c>
      <c r="D779" s="86" t="s">
        <v>45</v>
      </c>
      <c r="E779" s="81">
        <v>0.8</v>
      </c>
      <c r="F779" s="26">
        <f t="shared" ref="F779" si="238">H779</f>
        <v>0.60349999999999993</v>
      </c>
      <c r="G779" s="26">
        <f t="shared" ref="G779" si="239">ROUND(F779*E779,2)</f>
        <v>0.48</v>
      </c>
      <c r="H779" s="375">
        <v>0.60349999999999993</v>
      </c>
      <c r="I779" s="28" t="e">
        <f>IF(A779&lt;&gt;0,VLOOKUP(A779,#REF!,2,FALSE),"")</f>
        <v>#REF!</v>
      </c>
      <c r="K779" s="237"/>
    </row>
    <row r="780" spans="1:11">
      <c r="A780" s="24">
        <v>7258</v>
      </c>
      <c r="B780" s="78" t="s">
        <v>403</v>
      </c>
      <c r="C780" s="25" t="s">
        <v>12</v>
      </c>
      <c r="D780" s="25" t="s">
        <v>17</v>
      </c>
      <c r="E780" s="26">
        <v>75.885999999999996</v>
      </c>
      <c r="F780" s="26">
        <f t="shared" ref="F780:F787" si="240">H780</f>
        <v>0.59499999999999997</v>
      </c>
      <c r="G780" s="26">
        <f t="shared" ref="G780:G787" si="241">ROUND(F780*E780,2)</f>
        <v>45.15</v>
      </c>
      <c r="H780" s="375">
        <v>0.59499999999999997</v>
      </c>
      <c r="I780" s="28" t="e">
        <f>IF(A780&lt;&gt;0,VLOOKUP(A780,#REF!,2,FALSE),"")</f>
        <v>#REF!</v>
      </c>
      <c r="K780" s="237"/>
    </row>
    <row r="781" spans="1:11" ht="30">
      <c r="A781" s="24">
        <v>41613</v>
      </c>
      <c r="B781" s="78" t="s">
        <v>514</v>
      </c>
      <c r="C781" s="25" t="s">
        <v>12</v>
      </c>
      <c r="D781" s="25" t="s">
        <v>17</v>
      </c>
      <c r="E781" s="26">
        <v>1</v>
      </c>
      <c r="F781" s="26">
        <f t="shared" si="240"/>
        <v>72.182000000000002</v>
      </c>
      <c r="G781" s="26">
        <f t="shared" si="241"/>
        <v>72.180000000000007</v>
      </c>
      <c r="H781" s="375">
        <v>72.182000000000002</v>
      </c>
      <c r="I781" s="28" t="e">
        <f>IF(A781&lt;&gt;0,VLOOKUP(A781,#REF!,2,FALSE),"")</f>
        <v>#REF!</v>
      </c>
      <c r="K781" s="237"/>
    </row>
    <row r="782" spans="1:11" ht="90">
      <c r="A782" s="24">
        <v>87335</v>
      </c>
      <c r="B782" s="78" t="s">
        <v>1807</v>
      </c>
      <c r="C782" s="25" t="s">
        <v>12</v>
      </c>
      <c r="D782" s="25" t="s">
        <v>35</v>
      </c>
      <c r="E782" s="26">
        <v>2.2800000000000001E-2</v>
      </c>
      <c r="F782" s="26">
        <f t="shared" si="240"/>
        <v>358.92949999999996</v>
      </c>
      <c r="G782" s="26">
        <f t="shared" si="241"/>
        <v>8.18</v>
      </c>
      <c r="H782" s="375">
        <v>358.92949999999996</v>
      </c>
      <c r="I782" s="28" t="e">
        <f>IF(A782&lt;&gt;0,VLOOKUP(A782,#REF!,2,FALSE),"")</f>
        <v>#REF!</v>
      </c>
      <c r="K782" s="237"/>
    </row>
    <row r="783" spans="1:11" ht="30">
      <c r="A783" s="24">
        <v>88309</v>
      </c>
      <c r="B783" s="78" t="s">
        <v>390</v>
      </c>
      <c r="C783" s="25" t="s">
        <v>12</v>
      </c>
      <c r="D783" s="25" t="s">
        <v>19</v>
      </c>
      <c r="E783" s="26">
        <v>1.9</v>
      </c>
      <c r="F783" s="26">
        <f t="shared" si="240"/>
        <v>15.121499999999999</v>
      </c>
      <c r="G783" s="26">
        <f t="shared" si="241"/>
        <v>28.73</v>
      </c>
      <c r="H783" s="375">
        <v>15.121499999999999</v>
      </c>
      <c r="I783" s="28" t="e">
        <f>IF(A783&lt;&gt;0,VLOOKUP(A783,#REF!,2,FALSE),"")</f>
        <v>#REF!</v>
      </c>
      <c r="K783" s="237"/>
    </row>
    <row r="784" spans="1:11" ht="30">
      <c r="A784" s="24">
        <v>88316</v>
      </c>
      <c r="B784" s="78" t="s">
        <v>377</v>
      </c>
      <c r="C784" s="25" t="s">
        <v>12</v>
      </c>
      <c r="D784" s="25" t="s">
        <v>19</v>
      </c>
      <c r="E784" s="26">
        <v>1.65</v>
      </c>
      <c r="F784" s="26">
        <f t="shared" si="240"/>
        <v>11.798000000000002</v>
      </c>
      <c r="G784" s="26">
        <f t="shared" si="241"/>
        <v>19.47</v>
      </c>
      <c r="H784" s="375">
        <v>11.798000000000002</v>
      </c>
      <c r="I784" s="28" t="e">
        <f>IF(A784&lt;&gt;0,VLOOKUP(A784,#REF!,2,FALSE),"")</f>
        <v>#REF!</v>
      </c>
      <c r="K784" s="237"/>
    </row>
    <row r="785" spans="1:11" ht="45">
      <c r="A785" s="24">
        <v>88630</v>
      </c>
      <c r="B785" s="78" t="s">
        <v>1808</v>
      </c>
      <c r="C785" s="25" t="s">
        <v>12</v>
      </c>
      <c r="D785" s="25" t="s">
        <v>35</v>
      </c>
      <c r="E785" s="26">
        <v>1.6500000000000001E-2</v>
      </c>
      <c r="F785" s="26">
        <f t="shared" si="240"/>
        <v>317.60249999999996</v>
      </c>
      <c r="G785" s="26">
        <f t="shared" si="241"/>
        <v>5.24</v>
      </c>
      <c r="H785" s="375">
        <v>317.60249999999996</v>
      </c>
      <c r="I785" s="28" t="e">
        <f>IF(A785&lt;&gt;0,VLOOKUP(A785,#REF!,2,FALSE),"")</f>
        <v>#REF!</v>
      </c>
      <c r="K785" s="237"/>
    </row>
    <row r="786" spans="1:11" ht="30">
      <c r="A786" s="24">
        <v>93358</v>
      </c>
      <c r="B786" s="78" t="s">
        <v>1774</v>
      </c>
      <c r="C786" s="25" t="s">
        <v>12</v>
      </c>
      <c r="D786" s="25" t="s">
        <v>35</v>
      </c>
      <c r="E786" s="26">
        <v>0.216</v>
      </c>
      <c r="F786" s="26">
        <f t="shared" si="240"/>
        <v>46.664999999999999</v>
      </c>
      <c r="G786" s="26">
        <f t="shared" si="241"/>
        <v>10.08</v>
      </c>
      <c r="H786" s="375">
        <v>46.664999999999999</v>
      </c>
      <c r="I786" s="28" t="e">
        <f>IF(A786&lt;&gt;0,VLOOKUP(A786,#REF!,2,FALSE),"")</f>
        <v>#REF!</v>
      </c>
      <c r="K786" s="237"/>
    </row>
    <row r="787" spans="1:11" ht="45">
      <c r="A787" s="24">
        <v>94969</v>
      </c>
      <c r="B787" s="78" t="s">
        <v>1795</v>
      </c>
      <c r="C787" s="25" t="s">
        <v>12</v>
      </c>
      <c r="D787" s="25" t="s">
        <v>35</v>
      </c>
      <c r="E787" s="26">
        <v>1.7999999999999999E-2</v>
      </c>
      <c r="F787" s="26">
        <f t="shared" si="240"/>
        <v>291.31200000000001</v>
      </c>
      <c r="G787" s="26">
        <f t="shared" si="241"/>
        <v>5.24</v>
      </c>
      <c r="H787" s="375">
        <v>291.31200000000001</v>
      </c>
      <c r="I787" s="28" t="e">
        <f>IF(A787&lt;&gt;0,VLOOKUP(A787,#REF!,2,FALSE),"")</f>
        <v>#REF!</v>
      </c>
      <c r="K787" s="237"/>
    </row>
    <row r="788" spans="1:11" ht="15" customHeight="1">
      <c r="A788" s="986" t="s">
        <v>1894</v>
      </c>
      <c r="B788" s="986"/>
      <c r="C788" s="986"/>
      <c r="D788" s="986"/>
      <c r="E788" s="986"/>
      <c r="F788" s="986"/>
      <c r="G788" s="79">
        <f>ROUND(SUM(G779:G787),2)</f>
        <v>194.75</v>
      </c>
      <c r="K788" s="237"/>
    </row>
    <row r="789" spans="1:11" ht="21.75" customHeight="1">
      <c r="A789" s="80"/>
      <c r="B789" s="80"/>
      <c r="C789" s="965"/>
      <c r="D789" s="966"/>
      <c r="E789" s="80"/>
      <c r="F789" s="80"/>
      <c r="G789" s="80"/>
      <c r="K789" s="237"/>
    </row>
    <row r="790" spans="1:11" ht="30" customHeight="1">
      <c r="A790" s="920" t="s">
        <v>2138</v>
      </c>
      <c r="B790" s="921"/>
      <c r="C790" s="921"/>
      <c r="D790" s="921"/>
      <c r="E790" s="929"/>
      <c r="F790" s="75" t="s">
        <v>1915</v>
      </c>
      <c r="G790" s="88"/>
      <c r="K790" s="237"/>
    </row>
    <row r="791" spans="1:11" ht="28.5">
      <c r="A791" s="984" t="s">
        <v>364</v>
      </c>
      <c r="B791" s="985"/>
      <c r="C791" s="77" t="s">
        <v>3</v>
      </c>
      <c r="D791" s="77" t="s">
        <v>4</v>
      </c>
      <c r="E791" s="77" t="s">
        <v>1826</v>
      </c>
      <c r="F791" s="77" t="s">
        <v>367</v>
      </c>
      <c r="G791" s="77" t="s">
        <v>368</v>
      </c>
      <c r="K791" s="237"/>
    </row>
    <row r="792" spans="1:11">
      <c r="A792" s="24">
        <v>1379</v>
      </c>
      <c r="B792" s="78" t="s">
        <v>397</v>
      </c>
      <c r="C792" s="25" t="s">
        <v>12</v>
      </c>
      <c r="D792" s="25" t="s">
        <v>45</v>
      </c>
      <c r="E792" s="26">
        <v>0.5</v>
      </c>
      <c r="F792" s="26">
        <f t="shared" ref="F792" si="242">H792</f>
        <v>0.60349999999999993</v>
      </c>
      <c r="G792" s="26">
        <f t="shared" ref="G792" si="243">ROUND(F792*E792,2)</f>
        <v>0.3</v>
      </c>
      <c r="H792" s="375">
        <v>0.60349999999999993</v>
      </c>
      <c r="I792" s="28" t="e">
        <f>IF(A792&lt;&gt;0,VLOOKUP(A792,#REF!,2,FALSE),"")</f>
        <v>#REF!</v>
      </c>
      <c r="K792" s="237"/>
    </row>
    <row r="793" spans="1:11" ht="60">
      <c r="A793" s="24">
        <v>35277</v>
      </c>
      <c r="B793" s="78" t="s">
        <v>530</v>
      </c>
      <c r="C793" s="25" t="s">
        <v>12</v>
      </c>
      <c r="D793" s="25" t="s">
        <v>17</v>
      </c>
      <c r="E793" s="26">
        <v>1</v>
      </c>
      <c r="F793" s="26">
        <f t="shared" ref="F793:F795" si="244">H793</f>
        <v>283.798</v>
      </c>
      <c r="G793" s="26">
        <f t="shared" ref="G793:G795" si="245">ROUND(F793*E793,2)</f>
        <v>283.8</v>
      </c>
      <c r="H793" s="375">
        <v>283.798</v>
      </c>
      <c r="I793" s="28" t="e">
        <f>IF(A793&lt;&gt;0,VLOOKUP(A793,#REF!,2,FALSE),"")</f>
        <v>#REF!</v>
      </c>
      <c r="K793" s="237"/>
    </row>
    <row r="794" spans="1:11" ht="30">
      <c r="A794" s="24">
        <v>88267</v>
      </c>
      <c r="B794" s="78" t="s">
        <v>472</v>
      </c>
      <c r="C794" s="25" t="s">
        <v>12</v>
      </c>
      <c r="D794" s="25" t="s">
        <v>19</v>
      </c>
      <c r="E794" s="26">
        <v>2</v>
      </c>
      <c r="F794" s="26">
        <f t="shared" si="244"/>
        <v>14.7135</v>
      </c>
      <c r="G794" s="26">
        <f t="shared" si="245"/>
        <v>29.43</v>
      </c>
      <c r="H794" s="375">
        <v>14.7135</v>
      </c>
      <c r="I794" s="28" t="e">
        <f>IF(A794&lt;&gt;0,VLOOKUP(A794,#REF!,2,FALSE),"")</f>
        <v>#REF!</v>
      </c>
      <c r="K794" s="237"/>
    </row>
    <row r="795" spans="1:11" ht="30">
      <c r="A795" s="24">
        <v>88316</v>
      </c>
      <c r="B795" s="78" t="s">
        <v>377</v>
      </c>
      <c r="C795" s="25" t="s">
        <v>12</v>
      </c>
      <c r="D795" s="25" t="s">
        <v>19</v>
      </c>
      <c r="E795" s="26">
        <v>2</v>
      </c>
      <c r="F795" s="26">
        <f t="shared" si="244"/>
        <v>11.798000000000002</v>
      </c>
      <c r="G795" s="26">
        <f t="shared" si="245"/>
        <v>23.6</v>
      </c>
      <c r="H795" s="375">
        <v>11.798000000000002</v>
      </c>
      <c r="I795" s="28" t="e">
        <f>IF(A795&lt;&gt;0,VLOOKUP(A795,#REF!,2,FALSE),"")</f>
        <v>#REF!</v>
      </c>
      <c r="K795" s="237"/>
    </row>
    <row r="796" spans="1:11" ht="15" customHeight="1">
      <c r="A796" s="986" t="s">
        <v>1894</v>
      </c>
      <c r="B796" s="986"/>
      <c r="C796" s="986"/>
      <c r="D796" s="986"/>
      <c r="E796" s="986"/>
      <c r="F796" s="986"/>
      <c r="G796" s="79">
        <f>ROUND(SUM(G792:G795),2)</f>
        <v>337.13</v>
      </c>
      <c r="I796" s="28"/>
      <c r="K796" s="237"/>
    </row>
    <row r="797" spans="1:11" ht="25.5" customHeight="1">
      <c r="A797" s="80"/>
      <c r="B797" s="80"/>
      <c r="C797" s="965"/>
      <c r="D797" s="966"/>
      <c r="E797" s="80"/>
      <c r="F797" s="80"/>
      <c r="G797" s="80"/>
      <c r="K797" s="237"/>
    </row>
    <row r="798" spans="1:11" ht="21.75" customHeight="1">
      <c r="A798" s="920" t="s">
        <v>2139</v>
      </c>
      <c r="B798" s="921"/>
      <c r="C798" s="921"/>
      <c r="D798" s="921"/>
      <c r="E798" s="921"/>
      <c r="F798" s="75" t="s">
        <v>1915</v>
      </c>
      <c r="G798" s="88"/>
      <c r="K798" s="237"/>
    </row>
    <row r="799" spans="1:11" ht="28.5">
      <c r="A799" s="984" t="s">
        <v>364</v>
      </c>
      <c r="B799" s="985"/>
      <c r="C799" s="77" t="s">
        <v>3</v>
      </c>
      <c r="D799" s="77" t="s">
        <v>4</v>
      </c>
      <c r="E799" s="77" t="s">
        <v>1826</v>
      </c>
      <c r="F799" s="77" t="s">
        <v>367</v>
      </c>
      <c r="G799" s="77" t="s">
        <v>368</v>
      </c>
      <c r="K799" s="237"/>
    </row>
    <row r="800" spans="1:11" ht="30">
      <c r="A800" s="24">
        <v>6138</v>
      </c>
      <c r="B800" s="78" t="s">
        <v>154</v>
      </c>
      <c r="C800" s="25" t="s">
        <v>12</v>
      </c>
      <c r="D800" s="25" t="s">
        <v>17</v>
      </c>
      <c r="E800" s="26">
        <v>1</v>
      </c>
      <c r="F800" s="26">
        <f t="shared" ref="F800" si="246">H800</f>
        <v>1.36</v>
      </c>
      <c r="G800" s="26">
        <f t="shared" ref="G800" si="247">ROUND(F800*E800,2)</f>
        <v>1.36</v>
      </c>
      <c r="H800" s="375">
        <v>1.36</v>
      </c>
      <c r="I800" s="28" t="e">
        <f>IF(A800&lt;&gt;0,VLOOKUP(A800,#REF!,2,FALSE),"")</f>
        <v>#REF!</v>
      </c>
      <c r="K800" s="237"/>
    </row>
    <row r="801" spans="1:11" ht="30">
      <c r="A801" s="24">
        <v>3146</v>
      </c>
      <c r="B801" s="78" t="s">
        <v>471</v>
      </c>
      <c r="C801" s="25" t="s">
        <v>12</v>
      </c>
      <c r="D801" s="25" t="s">
        <v>17</v>
      </c>
      <c r="E801" s="26">
        <v>7.0000000000000001E-3</v>
      </c>
      <c r="F801" s="26">
        <f t="shared" ref="F801:F804" si="248">H801</f>
        <v>3.06</v>
      </c>
      <c r="G801" s="26">
        <f t="shared" ref="G801:G804" si="249">ROUND(F801*E801,2)</f>
        <v>0.02</v>
      </c>
      <c r="H801" s="375">
        <v>3.06</v>
      </c>
      <c r="I801" s="28" t="e">
        <f>IF(A801&lt;&gt;0,VLOOKUP(A801,#REF!,2,FALSE),"")</f>
        <v>#REF!</v>
      </c>
      <c r="K801" s="237"/>
    </row>
    <row r="802" spans="1:11" ht="30">
      <c r="A802" s="24">
        <v>20080</v>
      </c>
      <c r="B802" s="78" t="s">
        <v>475</v>
      </c>
      <c r="C802" s="25" t="s">
        <v>12</v>
      </c>
      <c r="D802" s="25" t="s">
        <v>17</v>
      </c>
      <c r="E802" s="26">
        <v>0.03</v>
      </c>
      <c r="F802" s="26">
        <f t="shared" si="248"/>
        <v>17.646000000000001</v>
      </c>
      <c r="G802" s="26">
        <f t="shared" si="249"/>
        <v>0.53</v>
      </c>
      <c r="H802" s="375">
        <v>17.646000000000001</v>
      </c>
      <c r="I802" s="28" t="e">
        <f>IF(A802&lt;&gt;0,VLOOKUP(A802,#REF!,2,FALSE),"")</f>
        <v>#REF!</v>
      </c>
      <c r="K802" s="237"/>
    </row>
    <row r="803" spans="1:11" ht="30">
      <c r="A803" s="24">
        <v>88267</v>
      </c>
      <c r="B803" s="78" t="s">
        <v>472</v>
      </c>
      <c r="C803" s="25" t="s">
        <v>12</v>
      </c>
      <c r="D803" s="25" t="s">
        <v>19</v>
      </c>
      <c r="E803" s="26">
        <v>0.18</v>
      </c>
      <c r="F803" s="26">
        <f t="shared" si="248"/>
        <v>14.7135</v>
      </c>
      <c r="G803" s="26">
        <f t="shared" si="249"/>
        <v>2.65</v>
      </c>
      <c r="H803" s="375">
        <v>14.7135</v>
      </c>
      <c r="I803" s="28" t="e">
        <f>IF(A803&lt;&gt;0,VLOOKUP(A803,#REF!,2,FALSE),"")</f>
        <v>#REF!</v>
      </c>
      <c r="K803" s="237"/>
    </row>
    <row r="804" spans="1:11" ht="45">
      <c r="A804" s="24">
        <v>88248</v>
      </c>
      <c r="B804" s="78" t="s">
        <v>473</v>
      </c>
      <c r="C804" s="25" t="s">
        <v>12</v>
      </c>
      <c r="D804" s="25" t="s">
        <v>19</v>
      </c>
      <c r="E804" s="26">
        <v>0.18</v>
      </c>
      <c r="F804" s="26">
        <f t="shared" si="248"/>
        <v>11.483499999999999</v>
      </c>
      <c r="G804" s="26">
        <f t="shared" si="249"/>
        <v>2.0699999999999998</v>
      </c>
      <c r="H804" s="375">
        <v>11.483499999999999</v>
      </c>
      <c r="I804" s="28" t="e">
        <f>IF(A804&lt;&gt;0,VLOOKUP(A804,#REF!,2,FALSE),"")</f>
        <v>#REF!</v>
      </c>
      <c r="K804" s="237"/>
    </row>
    <row r="805" spans="1:11" ht="15" customHeight="1">
      <c r="A805" s="986" t="s">
        <v>1894</v>
      </c>
      <c r="B805" s="986"/>
      <c r="C805" s="986"/>
      <c r="D805" s="986"/>
      <c r="E805" s="986"/>
      <c r="F805" s="986"/>
      <c r="G805" s="79">
        <f>ROUND(SUM(G800:G804),2)</f>
        <v>6.63</v>
      </c>
      <c r="K805" s="237"/>
    </row>
    <row r="806" spans="1:11" ht="36.75" customHeight="1">
      <c r="A806" s="80"/>
      <c r="B806" s="80"/>
      <c r="C806" s="965"/>
      <c r="D806" s="966"/>
      <c r="E806" s="80"/>
      <c r="F806" s="80"/>
      <c r="G806" s="80"/>
      <c r="K806" s="237"/>
    </row>
    <row r="807" spans="1:11" ht="22.5" customHeight="1">
      <c r="A807" s="920" t="s">
        <v>2141</v>
      </c>
      <c r="B807" s="921"/>
      <c r="C807" s="921"/>
      <c r="D807" s="921"/>
      <c r="E807" s="922"/>
      <c r="F807" s="75" t="s">
        <v>70</v>
      </c>
      <c r="G807" s="347"/>
      <c r="K807" s="237"/>
    </row>
    <row r="808" spans="1:11" ht="28.5">
      <c r="A808" s="346" t="s">
        <v>364</v>
      </c>
      <c r="B808" s="347"/>
      <c r="C808" s="77" t="s">
        <v>3</v>
      </c>
      <c r="D808" s="77" t="s">
        <v>4</v>
      </c>
      <c r="E808" s="77" t="s">
        <v>1826</v>
      </c>
      <c r="F808" s="77" t="s">
        <v>367</v>
      </c>
      <c r="G808" s="77" t="s">
        <v>368</v>
      </c>
      <c r="K808" s="237"/>
    </row>
    <row r="809" spans="1:11" ht="30">
      <c r="A809" s="24">
        <v>5069</v>
      </c>
      <c r="B809" s="78" t="s">
        <v>380</v>
      </c>
      <c r="C809" s="25" t="s">
        <v>12</v>
      </c>
      <c r="D809" s="25" t="s">
        <v>45</v>
      </c>
      <c r="E809" s="26">
        <v>0.1</v>
      </c>
      <c r="F809" s="26">
        <f t="shared" ref="F809" si="250">H809</f>
        <v>16.303000000000001</v>
      </c>
      <c r="G809" s="26">
        <f t="shared" ref="G809" si="251">ROUND(F809*E809,2)</f>
        <v>1.63</v>
      </c>
      <c r="H809" s="375">
        <v>16.303000000000001</v>
      </c>
      <c r="I809" s="28" t="e">
        <f>IF(A809&lt;&gt;0,VLOOKUP(A809,#REF!,2,FALSE),"")</f>
        <v>#REF!</v>
      </c>
      <c r="K809" s="237"/>
    </row>
    <row r="810" spans="1:11" ht="30">
      <c r="A810" s="24">
        <v>6189</v>
      </c>
      <c r="B810" s="78" t="s">
        <v>531</v>
      </c>
      <c r="C810" s="25" t="s">
        <v>12</v>
      </c>
      <c r="D810" s="25" t="s">
        <v>26</v>
      </c>
      <c r="E810" s="26">
        <v>0.65</v>
      </c>
      <c r="F810" s="26">
        <f t="shared" ref="F810:F816" si="252">H810</f>
        <v>17.527000000000001</v>
      </c>
      <c r="G810" s="26">
        <f t="shared" ref="G810:G816" si="253">ROUND(F810*E810,2)</f>
        <v>11.39</v>
      </c>
      <c r="H810" s="375">
        <v>17.527000000000001</v>
      </c>
      <c r="I810" s="28" t="e">
        <f>IF(A810&lt;&gt;0,VLOOKUP(A810,#REF!,2,FALSE),"")</f>
        <v>#REF!</v>
      </c>
      <c r="K810" s="237"/>
    </row>
    <row r="811" spans="1:11" ht="45">
      <c r="A811" s="24">
        <v>4433</v>
      </c>
      <c r="B811" s="78" t="s">
        <v>532</v>
      </c>
      <c r="C811" s="25" t="s">
        <v>12</v>
      </c>
      <c r="D811" s="25" t="s">
        <v>52</v>
      </c>
      <c r="E811" s="26">
        <v>1.5</v>
      </c>
      <c r="F811" s="26">
        <f t="shared" si="252"/>
        <v>16.6175</v>
      </c>
      <c r="G811" s="26">
        <f t="shared" si="253"/>
        <v>24.93</v>
      </c>
      <c r="H811" s="375">
        <v>16.6175</v>
      </c>
      <c r="I811" s="28" t="e">
        <f>IF(A811&lt;&gt;0,VLOOKUP(A811,#REF!,2,FALSE),"")</f>
        <v>#REF!</v>
      </c>
      <c r="K811" s="237"/>
    </row>
    <row r="812" spans="1:11" ht="30">
      <c r="A812" s="24">
        <v>88262</v>
      </c>
      <c r="B812" s="78" t="s">
        <v>376</v>
      </c>
      <c r="C812" s="25" t="s">
        <v>12</v>
      </c>
      <c r="D812" s="25" t="s">
        <v>19</v>
      </c>
      <c r="E812" s="26">
        <v>0.75</v>
      </c>
      <c r="F812" s="26">
        <f t="shared" si="252"/>
        <v>14.96</v>
      </c>
      <c r="G812" s="26">
        <f t="shared" si="253"/>
        <v>11.22</v>
      </c>
      <c r="H812" s="375">
        <v>14.96</v>
      </c>
      <c r="I812" s="28" t="e">
        <f>IF(A812&lt;&gt;0,VLOOKUP(A812,#REF!,2,FALSE),"")</f>
        <v>#REF!</v>
      </c>
      <c r="K812" s="237"/>
    </row>
    <row r="813" spans="1:11" ht="45">
      <c r="A813" s="24">
        <v>88248</v>
      </c>
      <c r="B813" s="78" t="s">
        <v>473</v>
      </c>
      <c r="C813" s="25" t="s">
        <v>12</v>
      </c>
      <c r="D813" s="25" t="s">
        <v>19</v>
      </c>
      <c r="E813" s="26">
        <v>0.75</v>
      </c>
      <c r="F813" s="26">
        <f t="shared" si="252"/>
        <v>11.483499999999999</v>
      </c>
      <c r="G813" s="26">
        <f t="shared" si="253"/>
        <v>8.61</v>
      </c>
      <c r="H813" s="375">
        <v>11.483499999999999</v>
      </c>
      <c r="I813" s="28" t="e">
        <f>IF(A813&lt;&gt;0,VLOOKUP(A813,#REF!,2,FALSE),"")</f>
        <v>#REF!</v>
      </c>
      <c r="K813" s="237"/>
    </row>
    <row r="814" spans="1:11" ht="30">
      <c r="A814" s="24">
        <v>88267</v>
      </c>
      <c r="B814" s="78" t="s">
        <v>472</v>
      </c>
      <c r="C814" s="25" t="s">
        <v>12</v>
      </c>
      <c r="D814" s="25" t="s">
        <v>19</v>
      </c>
      <c r="E814" s="26">
        <v>0.12</v>
      </c>
      <c r="F814" s="26">
        <f t="shared" si="252"/>
        <v>14.7135</v>
      </c>
      <c r="G814" s="26">
        <f t="shared" si="253"/>
        <v>1.77</v>
      </c>
      <c r="H814" s="375">
        <v>14.7135</v>
      </c>
      <c r="I814" s="28" t="e">
        <f>IF(A814&lt;&gt;0,VLOOKUP(A814,#REF!,2,FALSE),"")</f>
        <v>#REF!</v>
      </c>
      <c r="K814" s="237"/>
    </row>
    <row r="815" spans="1:11" ht="30">
      <c r="A815" s="24">
        <v>88316</v>
      </c>
      <c r="B815" s="78" t="s">
        <v>377</v>
      </c>
      <c r="C815" s="25" t="s">
        <v>12</v>
      </c>
      <c r="D815" s="25" t="s">
        <v>19</v>
      </c>
      <c r="E815" s="26">
        <v>5.36</v>
      </c>
      <c r="F815" s="26">
        <f t="shared" si="252"/>
        <v>11.798000000000002</v>
      </c>
      <c r="G815" s="26">
        <f t="shared" si="253"/>
        <v>63.24</v>
      </c>
      <c r="H815" s="375">
        <v>11.798000000000002</v>
      </c>
      <c r="I815" s="28" t="e">
        <f>IF(A815&lt;&gt;0,VLOOKUP(A815,#REF!,2,FALSE),"")</f>
        <v>#REF!</v>
      </c>
      <c r="K815" s="237"/>
    </row>
    <row r="816" spans="1:11">
      <c r="A816" s="24">
        <v>94963</v>
      </c>
      <c r="B816" s="78" t="e">
        <f>I816</f>
        <v>#REF!</v>
      </c>
      <c r="C816" s="25" t="s">
        <v>12</v>
      </c>
      <c r="D816" s="25" t="s">
        <v>35</v>
      </c>
      <c r="E816" s="92">
        <v>0.18479999999999999</v>
      </c>
      <c r="F816" s="26">
        <f t="shared" si="252"/>
        <v>294.51650000000001</v>
      </c>
      <c r="G816" s="26">
        <f t="shared" si="253"/>
        <v>54.43</v>
      </c>
      <c r="H816" s="375">
        <v>294.51650000000001</v>
      </c>
      <c r="I816" s="28" t="e">
        <f>IF(A816&lt;&gt;0,VLOOKUP(A816,#REF!,2,FALSE),"")</f>
        <v>#REF!</v>
      </c>
      <c r="K816" s="237"/>
    </row>
    <row r="817" spans="1:11" ht="15" customHeight="1">
      <c r="A817" s="986" t="s">
        <v>1894</v>
      </c>
      <c r="B817" s="986"/>
      <c r="C817" s="986"/>
      <c r="D817" s="986"/>
      <c r="E817" s="986"/>
      <c r="F817" s="986"/>
      <c r="G817" s="79">
        <f>ROUND(SUM(G809:G816),2)</f>
        <v>177.22</v>
      </c>
      <c r="K817" s="237"/>
    </row>
    <row r="818" spans="1:11" ht="35.25" customHeight="1">
      <c r="A818" s="80"/>
      <c r="B818" s="80"/>
      <c r="C818" s="352"/>
      <c r="D818" s="353"/>
      <c r="E818" s="80"/>
      <c r="F818" s="80"/>
      <c r="G818" s="80"/>
      <c r="K818" s="237"/>
    </row>
    <row r="819" spans="1:11" ht="38.25" customHeight="1">
      <c r="A819" s="920" t="s">
        <v>2142</v>
      </c>
      <c r="B819" s="921"/>
      <c r="C819" s="921"/>
      <c r="D819" s="921"/>
      <c r="E819" s="922"/>
      <c r="F819" s="75" t="s">
        <v>70</v>
      </c>
      <c r="G819" s="347"/>
      <c r="K819" s="237"/>
    </row>
    <row r="820" spans="1:11" ht="28.5">
      <c r="A820" s="346" t="s">
        <v>364</v>
      </c>
      <c r="B820" s="347"/>
      <c r="C820" s="77" t="s">
        <v>3</v>
      </c>
      <c r="D820" s="77" t="s">
        <v>4</v>
      </c>
      <c r="E820" s="77" t="s">
        <v>1826</v>
      </c>
      <c r="F820" s="77" t="s">
        <v>367</v>
      </c>
      <c r="G820" s="77" t="s">
        <v>368</v>
      </c>
      <c r="K820" s="237"/>
    </row>
    <row r="821" spans="1:11" s="28" customFormat="1" ht="30">
      <c r="A821" s="24">
        <v>11135</v>
      </c>
      <c r="B821" s="78" t="s">
        <v>533</v>
      </c>
      <c r="C821" s="25" t="s">
        <v>12</v>
      </c>
      <c r="D821" s="25" t="s">
        <v>26</v>
      </c>
      <c r="E821" s="26">
        <v>0.32400000000000001</v>
      </c>
      <c r="F821" s="26">
        <f t="shared" ref="F821" si="254">H821</f>
        <v>42.950500000000005</v>
      </c>
      <c r="G821" s="26">
        <f t="shared" ref="G821" si="255">ROUND(F821*E821,2)</f>
        <v>13.92</v>
      </c>
      <c r="H821" s="374">
        <v>42.950500000000005</v>
      </c>
      <c r="I821" s="28" t="e">
        <f>IF(A821&lt;&gt;0,VLOOKUP(A821,#REF!,2,FALSE),"")</f>
        <v>#REF!</v>
      </c>
      <c r="J821" s="374"/>
      <c r="K821" s="237"/>
    </row>
    <row r="822" spans="1:11" ht="45">
      <c r="A822" s="24">
        <v>3992</v>
      </c>
      <c r="B822" s="78" t="s">
        <v>534</v>
      </c>
      <c r="C822" s="25" t="s">
        <v>12</v>
      </c>
      <c r="D822" s="25" t="s">
        <v>52</v>
      </c>
      <c r="E822" s="26">
        <v>9.7000000000000003E-2</v>
      </c>
      <c r="F822" s="26">
        <f t="shared" ref="F822:F835" si="256">H822</f>
        <v>19.72</v>
      </c>
      <c r="G822" s="26">
        <f t="shared" ref="G822:G835" si="257">ROUND(F822*E822,2)</f>
        <v>1.91</v>
      </c>
      <c r="H822" s="375">
        <v>19.72</v>
      </c>
      <c r="I822" s="28" t="e">
        <f>IF(A822&lt;&gt;0,VLOOKUP(A822,#REF!,2,FALSE),"")</f>
        <v>#REF!</v>
      </c>
      <c r="K822" s="237"/>
    </row>
    <row r="823" spans="1:11">
      <c r="A823" s="24">
        <v>1379</v>
      </c>
      <c r="B823" s="78" t="s">
        <v>397</v>
      </c>
      <c r="C823" s="25" t="s">
        <v>12</v>
      </c>
      <c r="D823" s="25" t="s">
        <v>45</v>
      </c>
      <c r="E823" s="26">
        <v>87.186000000000007</v>
      </c>
      <c r="F823" s="26">
        <f t="shared" si="256"/>
        <v>0.60349999999999993</v>
      </c>
      <c r="G823" s="26">
        <f t="shared" si="257"/>
        <v>52.62</v>
      </c>
      <c r="H823" s="375">
        <v>0.60349999999999993</v>
      </c>
      <c r="I823" s="28" t="e">
        <f>IF(A823&lt;&gt;0,VLOOKUP(A823,#REF!,2,FALSE),"")</f>
        <v>#REF!</v>
      </c>
      <c r="K823" s="237"/>
    </row>
    <row r="824" spans="1:11" ht="30">
      <c r="A824" s="24">
        <v>370</v>
      </c>
      <c r="B824" s="78" t="s">
        <v>396</v>
      </c>
      <c r="C824" s="25" t="s">
        <v>12</v>
      </c>
      <c r="D824" s="25" t="s">
        <v>35</v>
      </c>
      <c r="E824" s="26">
        <v>0.36899999999999999</v>
      </c>
      <c r="F824" s="26">
        <f t="shared" si="256"/>
        <v>42.5</v>
      </c>
      <c r="G824" s="26">
        <f t="shared" si="257"/>
        <v>15.68</v>
      </c>
      <c r="H824" s="375">
        <v>42.5</v>
      </c>
      <c r="I824" s="28" t="e">
        <f>IF(A824&lt;&gt;0,VLOOKUP(A824,#REF!,2,FALSE),"")</f>
        <v>#REF!</v>
      </c>
      <c r="K824" s="237"/>
    </row>
    <row r="825" spans="1:11" ht="30">
      <c r="A825" s="24">
        <v>43132</v>
      </c>
      <c r="B825" s="78" t="s">
        <v>385</v>
      </c>
      <c r="C825" s="25" t="s">
        <v>12</v>
      </c>
      <c r="D825" s="25" t="s">
        <v>45</v>
      </c>
      <c r="E825" s="26">
        <v>7.1999999999999995E-2</v>
      </c>
      <c r="F825" s="26">
        <f t="shared" si="256"/>
        <v>17.8415</v>
      </c>
      <c r="G825" s="26">
        <f t="shared" si="257"/>
        <v>1.28</v>
      </c>
      <c r="H825" s="375">
        <v>17.8415</v>
      </c>
      <c r="I825" s="28" t="e">
        <f>IF(A825&lt;&gt;0,VLOOKUP(A825,#REF!,2,FALSE),"")</f>
        <v>#REF!</v>
      </c>
      <c r="K825" s="237"/>
    </row>
    <row r="826" spans="1:11">
      <c r="A826" s="24">
        <v>1106</v>
      </c>
      <c r="B826" s="78" t="s">
        <v>535</v>
      </c>
      <c r="C826" s="25" t="s">
        <v>12</v>
      </c>
      <c r="D826" s="25" t="s">
        <v>45</v>
      </c>
      <c r="E826" s="26">
        <v>24.888000000000002</v>
      </c>
      <c r="F826" s="26">
        <f t="shared" si="256"/>
        <v>0.76500000000000001</v>
      </c>
      <c r="G826" s="26">
        <f t="shared" si="257"/>
        <v>19.04</v>
      </c>
      <c r="H826" s="375">
        <v>0.76500000000000001</v>
      </c>
      <c r="I826" s="28" t="e">
        <f>IF(A826&lt;&gt;0,VLOOKUP(A826,#REF!,2,FALSE),"")</f>
        <v>#REF!</v>
      </c>
      <c r="K826" s="237"/>
    </row>
    <row r="827" spans="1:11" ht="30">
      <c r="A827" s="24">
        <v>4718</v>
      </c>
      <c r="B827" s="78" t="s">
        <v>536</v>
      </c>
      <c r="C827" s="25" t="s">
        <v>12</v>
      </c>
      <c r="D827" s="25" t="s">
        <v>35</v>
      </c>
      <c r="E827" s="26">
        <v>0.32400000000000001</v>
      </c>
      <c r="F827" s="26">
        <f t="shared" si="256"/>
        <v>78.625</v>
      </c>
      <c r="G827" s="26">
        <f t="shared" si="257"/>
        <v>25.47</v>
      </c>
      <c r="H827" s="375">
        <v>78.625</v>
      </c>
      <c r="I827" s="28" t="e">
        <f>IF(A827&lt;&gt;0,VLOOKUP(A827,#REF!,2,FALSE),"")</f>
        <v>#REF!</v>
      </c>
      <c r="K827" s="237"/>
    </row>
    <row r="828" spans="1:11">
      <c r="A828" s="24">
        <v>43059</v>
      </c>
      <c r="B828" s="78" t="s">
        <v>537</v>
      </c>
      <c r="C828" s="25" t="s">
        <v>12</v>
      </c>
      <c r="D828" s="25" t="s">
        <v>45</v>
      </c>
      <c r="E828" s="26">
        <v>4.2679999999999998</v>
      </c>
      <c r="F828" s="26">
        <f t="shared" si="256"/>
        <v>8.9589999999999996</v>
      </c>
      <c r="G828" s="26">
        <f t="shared" si="257"/>
        <v>38.24</v>
      </c>
      <c r="H828" s="375">
        <v>8.9589999999999996</v>
      </c>
      <c r="I828" s="28" t="e">
        <f>IF(A828&lt;&gt;0,VLOOKUP(A828,#REF!,2,FALSE),"")</f>
        <v>#REF!</v>
      </c>
      <c r="K828" s="237"/>
    </row>
    <row r="829" spans="1:11" ht="30">
      <c r="A829" s="24">
        <v>7267</v>
      </c>
      <c r="B829" s="78" t="s">
        <v>402</v>
      </c>
      <c r="C829" s="25" t="s">
        <v>12</v>
      </c>
      <c r="D829" s="25" t="s">
        <v>17</v>
      </c>
      <c r="E829" s="26">
        <v>51.85</v>
      </c>
      <c r="F829" s="26">
        <f t="shared" si="256"/>
        <v>0.62049999999999994</v>
      </c>
      <c r="G829" s="26">
        <f t="shared" si="257"/>
        <v>32.17</v>
      </c>
      <c r="H829" s="375">
        <v>0.62049999999999994</v>
      </c>
      <c r="I829" s="28" t="e">
        <f>IF(A829&lt;&gt;0,VLOOKUP(A829,#REF!,2,FALSE),"")</f>
        <v>#REF!</v>
      </c>
      <c r="K829" s="237"/>
    </row>
    <row r="830" spans="1:11" ht="30">
      <c r="A830" s="24">
        <v>88309</v>
      </c>
      <c r="B830" s="78" t="s">
        <v>390</v>
      </c>
      <c r="C830" s="25" t="s">
        <v>12</v>
      </c>
      <c r="D830" s="25" t="s">
        <v>19</v>
      </c>
      <c r="E830" s="26">
        <v>8.2110000000000003</v>
      </c>
      <c r="F830" s="26">
        <f t="shared" si="256"/>
        <v>15.121499999999999</v>
      </c>
      <c r="G830" s="26">
        <f t="shared" si="257"/>
        <v>124.16</v>
      </c>
      <c r="H830" s="375">
        <v>15.121499999999999</v>
      </c>
      <c r="I830" s="28" t="e">
        <f>IF(A830&lt;&gt;0,VLOOKUP(A830,#REF!,2,FALSE),"")</f>
        <v>#REF!</v>
      </c>
      <c r="K830" s="237"/>
    </row>
    <row r="831" spans="1:11" ht="30">
      <c r="A831" s="24">
        <v>88316</v>
      </c>
      <c r="B831" s="78" t="s">
        <v>377</v>
      </c>
      <c r="C831" s="25" t="s">
        <v>12</v>
      </c>
      <c r="D831" s="25" t="s">
        <v>19</v>
      </c>
      <c r="E831" s="26">
        <v>15.840999999999999</v>
      </c>
      <c r="F831" s="26">
        <f t="shared" si="256"/>
        <v>11.798000000000002</v>
      </c>
      <c r="G831" s="26">
        <f t="shared" si="257"/>
        <v>186.89</v>
      </c>
      <c r="H831" s="375">
        <v>11.798000000000002</v>
      </c>
      <c r="I831" s="28" t="e">
        <f>IF(A831&lt;&gt;0,VLOOKUP(A831,#REF!,2,FALSE),"")</f>
        <v>#REF!</v>
      </c>
      <c r="K831" s="237"/>
    </row>
    <row r="832" spans="1:11" ht="30">
      <c r="A832" s="24">
        <v>88261</v>
      </c>
      <c r="B832" s="78" t="s">
        <v>435</v>
      </c>
      <c r="C832" s="25" t="s">
        <v>12</v>
      </c>
      <c r="D832" s="25" t="s">
        <v>19</v>
      </c>
      <c r="E832" s="26">
        <v>1.96</v>
      </c>
      <c r="F832" s="26">
        <f t="shared" si="256"/>
        <v>14.314</v>
      </c>
      <c r="G832" s="26">
        <f t="shared" si="257"/>
        <v>28.06</v>
      </c>
      <c r="H832" s="375">
        <v>14.314</v>
      </c>
      <c r="I832" s="28" t="e">
        <f>IF(A832&lt;&gt;0,VLOOKUP(A832,#REF!,2,FALSE),"")</f>
        <v>#REF!</v>
      </c>
      <c r="K832" s="237"/>
    </row>
    <row r="833" spans="1:11" ht="30">
      <c r="A833" s="24">
        <v>88245</v>
      </c>
      <c r="B833" s="78" t="s">
        <v>395</v>
      </c>
      <c r="C833" s="25" t="s">
        <v>12</v>
      </c>
      <c r="D833" s="25" t="s">
        <v>19</v>
      </c>
      <c r="E833" s="26">
        <v>0.41299999999999998</v>
      </c>
      <c r="F833" s="26">
        <f t="shared" si="256"/>
        <v>15.045</v>
      </c>
      <c r="G833" s="26">
        <f t="shared" si="257"/>
        <v>6.21</v>
      </c>
      <c r="H833" s="375">
        <v>15.045</v>
      </c>
      <c r="I833" s="28" t="e">
        <f>IF(A833&lt;&gt;0,VLOOKUP(A833,#REF!,2,FALSE),"")</f>
        <v>#REF!</v>
      </c>
      <c r="K833" s="237"/>
    </row>
    <row r="834" spans="1:11" ht="30">
      <c r="A834" s="24">
        <v>88239</v>
      </c>
      <c r="B834" s="78" t="s">
        <v>393</v>
      </c>
      <c r="C834" s="25" t="s">
        <v>12</v>
      </c>
      <c r="D834" s="25" t="s">
        <v>19</v>
      </c>
      <c r="E834" s="26">
        <v>1.96</v>
      </c>
      <c r="F834" s="26">
        <f t="shared" si="256"/>
        <v>12.622499999999999</v>
      </c>
      <c r="G834" s="26">
        <f t="shared" si="257"/>
        <v>24.74</v>
      </c>
      <c r="H834" s="375">
        <v>12.622499999999999</v>
      </c>
      <c r="I834" s="28" t="e">
        <f>IF(A834&lt;&gt;0,VLOOKUP(A834,#REF!,2,FALSE),"")</f>
        <v>#REF!</v>
      </c>
      <c r="K834" s="237"/>
    </row>
    <row r="835" spans="1:11" ht="30">
      <c r="A835" s="24">
        <v>88238</v>
      </c>
      <c r="B835" s="78" t="s">
        <v>394</v>
      </c>
      <c r="C835" s="25" t="s">
        <v>12</v>
      </c>
      <c r="D835" s="25" t="s">
        <v>19</v>
      </c>
      <c r="E835" s="26">
        <v>0.41299999999999998</v>
      </c>
      <c r="F835" s="26">
        <f t="shared" si="256"/>
        <v>11.704499999999999</v>
      </c>
      <c r="G835" s="26">
        <f t="shared" si="257"/>
        <v>4.83</v>
      </c>
      <c r="H835" s="375">
        <v>11.704499999999999</v>
      </c>
      <c r="I835" s="28" t="e">
        <f>IF(A835&lt;&gt;0,VLOOKUP(A835,#REF!,2,FALSE),"")</f>
        <v>#REF!</v>
      </c>
      <c r="K835" s="237"/>
    </row>
    <row r="836" spans="1:11" ht="15" customHeight="1">
      <c r="A836" s="986" t="s">
        <v>1894</v>
      </c>
      <c r="B836" s="986"/>
      <c r="C836" s="986"/>
      <c r="D836" s="986"/>
      <c r="E836" s="986"/>
      <c r="F836" s="986"/>
      <c r="G836" s="79">
        <f>ROUND(SUM(G821:G835),2)</f>
        <v>575.22</v>
      </c>
      <c r="K836" s="237"/>
    </row>
    <row r="837" spans="1:11" ht="22.5" customHeight="1">
      <c r="A837" s="80"/>
      <c r="B837" s="80"/>
      <c r="C837" s="352"/>
      <c r="D837" s="353"/>
      <c r="E837" s="80"/>
      <c r="F837" s="80"/>
      <c r="G837" s="80"/>
      <c r="K837" s="237"/>
    </row>
    <row r="838" spans="1:11" ht="36.75" customHeight="1">
      <c r="A838" s="920" t="s">
        <v>2145</v>
      </c>
      <c r="B838" s="921"/>
      <c r="C838" s="921"/>
      <c r="D838" s="921"/>
      <c r="E838" s="929"/>
      <c r="F838" s="75" t="s">
        <v>1915</v>
      </c>
      <c r="G838" s="347"/>
      <c r="K838" s="237"/>
    </row>
    <row r="839" spans="1:11" ht="28.5">
      <c r="A839" s="346" t="s">
        <v>364</v>
      </c>
      <c r="B839" s="347"/>
      <c r="C839" s="77" t="s">
        <v>3</v>
      </c>
      <c r="D839" s="77" t="s">
        <v>4</v>
      </c>
      <c r="E839" s="77" t="s">
        <v>1826</v>
      </c>
      <c r="F839" s="77" t="s">
        <v>367</v>
      </c>
      <c r="G839" s="77" t="s">
        <v>368</v>
      </c>
      <c r="K839" s="237"/>
    </row>
    <row r="840" spans="1:11" ht="60">
      <c r="A840" s="24">
        <v>35277</v>
      </c>
      <c r="B840" s="78" t="s">
        <v>530</v>
      </c>
      <c r="C840" s="25" t="s">
        <v>12</v>
      </c>
      <c r="D840" s="25" t="s">
        <v>17</v>
      </c>
      <c r="E840" s="26">
        <v>1</v>
      </c>
      <c r="F840" s="26">
        <f t="shared" ref="F840" si="258">H840</f>
        <v>283.798</v>
      </c>
      <c r="G840" s="26">
        <f t="shared" ref="G840" si="259">ROUND(F840*E840,2)</f>
        <v>283.8</v>
      </c>
      <c r="H840" s="375">
        <v>283.798</v>
      </c>
      <c r="I840" s="28" t="e">
        <f>IF(A840&lt;&gt;0,VLOOKUP(A840,#REF!,2,FALSE),"")</f>
        <v>#REF!</v>
      </c>
      <c r="K840" s="237"/>
    </row>
    <row r="841" spans="1:11" ht="30">
      <c r="A841" s="24">
        <v>3146</v>
      </c>
      <c r="B841" s="78" t="s">
        <v>471</v>
      </c>
      <c r="C841" s="25" t="s">
        <v>12</v>
      </c>
      <c r="D841" s="25" t="s">
        <v>17</v>
      </c>
      <c r="E841" s="26">
        <v>7.0000000000000001E-3</v>
      </c>
      <c r="F841" s="26">
        <f t="shared" ref="F841:F844" si="260">H841</f>
        <v>3.06</v>
      </c>
      <c r="G841" s="26">
        <f t="shared" ref="G841:G844" si="261">ROUND(F841*E841,2)</f>
        <v>0.02</v>
      </c>
      <c r="H841" s="375">
        <v>3.06</v>
      </c>
      <c r="I841" s="28" t="e">
        <f>IF(A841&lt;&gt;0,VLOOKUP(A841,#REF!,2,FALSE),"")</f>
        <v>#REF!</v>
      </c>
      <c r="K841" s="237"/>
    </row>
    <row r="842" spans="1:11" ht="30">
      <c r="A842" s="24">
        <v>20080</v>
      </c>
      <c r="B842" s="78" t="s">
        <v>475</v>
      </c>
      <c r="C842" s="25" t="s">
        <v>12</v>
      </c>
      <c r="D842" s="25" t="s">
        <v>17</v>
      </c>
      <c r="E842" s="26">
        <v>0.03</v>
      </c>
      <c r="F842" s="26">
        <f t="shared" si="260"/>
        <v>17.646000000000001</v>
      </c>
      <c r="G842" s="26">
        <f t="shared" si="261"/>
        <v>0.53</v>
      </c>
      <c r="H842" s="375">
        <v>17.646000000000001</v>
      </c>
      <c r="I842" s="28" t="e">
        <f>IF(A842&lt;&gt;0,VLOOKUP(A842,#REF!,2,FALSE),"")</f>
        <v>#REF!</v>
      </c>
      <c r="K842" s="237"/>
    </row>
    <row r="843" spans="1:11" ht="30">
      <c r="A843" s="24">
        <v>88267</v>
      </c>
      <c r="B843" s="78" t="s">
        <v>472</v>
      </c>
      <c r="C843" s="25" t="s">
        <v>12</v>
      </c>
      <c r="D843" s="25" t="s">
        <v>19</v>
      </c>
      <c r="E843" s="26">
        <v>2.5299999999999998</v>
      </c>
      <c r="F843" s="26">
        <f t="shared" si="260"/>
        <v>14.7135</v>
      </c>
      <c r="G843" s="26">
        <f t="shared" si="261"/>
        <v>37.229999999999997</v>
      </c>
      <c r="H843" s="375">
        <v>14.7135</v>
      </c>
      <c r="I843" s="28" t="e">
        <f>IF(A843&lt;&gt;0,VLOOKUP(A843,#REF!,2,FALSE),"")</f>
        <v>#REF!</v>
      </c>
      <c r="K843" s="237"/>
    </row>
    <row r="844" spans="1:11" ht="45">
      <c r="A844" s="24">
        <v>88248</v>
      </c>
      <c r="B844" s="78" t="s">
        <v>473</v>
      </c>
      <c r="C844" s="25" t="s">
        <v>12</v>
      </c>
      <c r="D844" s="25" t="s">
        <v>19</v>
      </c>
      <c r="E844" s="26">
        <v>2.5299999999999998</v>
      </c>
      <c r="F844" s="26">
        <f t="shared" si="260"/>
        <v>11.483499999999999</v>
      </c>
      <c r="G844" s="26">
        <f t="shared" si="261"/>
        <v>29.05</v>
      </c>
      <c r="H844" s="375">
        <v>11.483499999999999</v>
      </c>
      <c r="I844" s="28" t="e">
        <f>IF(A844&lt;&gt;0,VLOOKUP(A844,#REF!,2,FALSE),"")</f>
        <v>#REF!</v>
      </c>
      <c r="K844" s="237"/>
    </row>
    <row r="845" spans="1:11" ht="15" customHeight="1">
      <c r="A845" s="986" t="s">
        <v>1894</v>
      </c>
      <c r="B845" s="986"/>
      <c r="C845" s="986"/>
      <c r="D845" s="986"/>
      <c r="E845" s="986"/>
      <c r="F845" s="986"/>
      <c r="G845" s="79">
        <f>ROUND(SUM(G840:G844),2)</f>
        <v>350.63</v>
      </c>
      <c r="I845" s="28"/>
      <c r="K845" s="237"/>
    </row>
    <row r="846" spans="1:11" ht="20.25" customHeight="1">
      <c r="A846" s="80"/>
      <c r="B846" s="80"/>
      <c r="C846" s="352"/>
      <c r="D846" s="353"/>
      <c r="E846" s="80"/>
      <c r="F846" s="80"/>
      <c r="G846" s="80"/>
      <c r="K846" s="237"/>
    </row>
    <row r="847" spans="1:11" ht="45" customHeight="1">
      <c r="A847" s="920" t="s">
        <v>2584</v>
      </c>
      <c r="B847" s="921"/>
      <c r="C847" s="921"/>
      <c r="D847" s="921"/>
      <c r="E847" s="929"/>
      <c r="F847" s="75" t="s">
        <v>1915</v>
      </c>
      <c r="G847" s="347"/>
      <c r="K847" s="237"/>
    </row>
    <row r="848" spans="1:11" ht="28.5">
      <c r="A848" s="346" t="s">
        <v>364</v>
      </c>
      <c r="B848" s="347"/>
      <c r="C848" s="77" t="s">
        <v>3</v>
      </c>
      <c r="D848" s="77" t="s">
        <v>4</v>
      </c>
      <c r="E848" s="77" t="s">
        <v>1826</v>
      </c>
      <c r="F848" s="77" t="s">
        <v>367</v>
      </c>
      <c r="G848" s="77" t="s">
        <v>368</v>
      </c>
      <c r="K848" s="237"/>
    </row>
    <row r="849" spans="1:11" ht="30">
      <c r="A849" s="24">
        <v>12532</v>
      </c>
      <c r="B849" s="78" t="s">
        <v>538</v>
      </c>
      <c r="C849" s="25" t="s">
        <v>12</v>
      </c>
      <c r="D849" s="25" t="s">
        <v>17</v>
      </c>
      <c r="E849" s="26">
        <v>2</v>
      </c>
      <c r="F849" s="26">
        <f t="shared" ref="F849" si="262">H849</f>
        <v>75.412000000000006</v>
      </c>
      <c r="G849" s="26">
        <f t="shared" ref="G849" si="263">ROUND(F849*E849,2)</f>
        <v>150.82</v>
      </c>
      <c r="H849" s="375">
        <v>75.412000000000006</v>
      </c>
      <c r="I849" s="28" t="e">
        <f>IF(A849&lt;&gt;0,VLOOKUP(A849,#REF!,2,FALSE),"")</f>
        <v>#REF!</v>
      </c>
      <c r="K849" s="237"/>
    </row>
    <row r="850" spans="1:11" ht="30">
      <c r="A850" s="24">
        <v>43423</v>
      </c>
      <c r="B850" s="78" t="s">
        <v>539</v>
      </c>
      <c r="C850" s="25" t="s">
        <v>12</v>
      </c>
      <c r="D850" s="25" t="s">
        <v>17</v>
      </c>
      <c r="E850" s="26">
        <v>2</v>
      </c>
      <c r="F850" s="26">
        <f t="shared" ref="F850:F854" si="264">H850</f>
        <v>48.892000000000003</v>
      </c>
      <c r="G850" s="26">
        <f t="shared" ref="G850:G854" si="265">ROUND(F850*E850,2)</f>
        <v>97.78</v>
      </c>
      <c r="H850" s="375">
        <v>48.892000000000003</v>
      </c>
      <c r="I850" s="28" t="e">
        <f>IF(A850&lt;&gt;0,VLOOKUP(A850,#REF!,2,FALSE),"")</f>
        <v>#REF!</v>
      </c>
      <c r="K850" s="237"/>
    </row>
    <row r="851" spans="1:11" ht="30">
      <c r="A851" s="24">
        <v>43423</v>
      </c>
      <c r="B851" s="78" t="s">
        <v>540</v>
      </c>
      <c r="C851" s="25" t="s">
        <v>12</v>
      </c>
      <c r="D851" s="25" t="s">
        <v>17</v>
      </c>
      <c r="E851" s="26">
        <v>1</v>
      </c>
      <c r="F851" s="26">
        <f t="shared" si="264"/>
        <v>48.892000000000003</v>
      </c>
      <c r="G851" s="26">
        <f t="shared" si="265"/>
        <v>48.89</v>
      </c>
      <c r="H851" s="375">
        <v>48.892000000000003</v>
      </c>
      <c r="I851" s="28" t="e">
        <f>IF(A851&lt;&gt;0,VLOOKUP(A851,#REF!,2,FALSE),"")</f>
        <v>#REF!</v>
      </c>
      <c r="K851" s="237"/>
    </row>
    <row r="852" spans="1:11" ht="60">
      <c r="A852" s="24">
        <v>87369</v>
      </c>
      <c r="B852" s="78" t="s">
        <v>1784</v>
      </c>
      <c r="C852" s="25" t="s">
        <v>12</v>
      </c>
      <c r="D852" s="25" t="s">
        <v>35</v>
      </c>
      <c r="E852" s="26">
        <v>0.01</v>
      </c>
      <c r="F852" s="26">
        <f t="shared" si="264"/>
        <v>426.48750000000001</v>
      </c>
      <c r="G852" s="26">
        <f t="shared" si="265"/>
        <v>4.26</v>
      </c>
      <c r="H852" s="375">
        <v>426.48750000000001</v>
      </c>
      <c r="I852" s="28" t="e">
        <f>IF(A852&lt;&gt;0,VLOOKUP(A852,#REF!,2,FALSE),"")</f>
        <v>#REF!</v>
      </c>
      <c r="K852" s="237"/>
    </row>
    <row r="853" spans="1:11" ht="30">
      <c r="A853" s="24">
        <v>88309</v>
      </c>
      <c r="B853" s="78" t="s">
        <v>390</v>
      </c>
      <c r="C853" s="25" t="s">
        <v>12</v>
      </c>
      <c r="D853" s="25" t="s">
        <v>19</v>
      </c>
      <c r="E853" s="26">
        <v>2</v>
      </c>
      <c r="F853" s="26">
        <f t="shared" si="264"/>
        <v>15.121499999999999</v>
      </c>
      <c r="G853" s="26">
        <f t="shared" si="265"/>
        <v>30.24</v>
      </c>
      <c r="H853" s="375">
        <v>15.121499999999999</v>
      </c>
      <c r="I853" s="28" t="e">
        <f>IF(A853&lt;&gt;0,VLOOKUP(A853,#REF!,2,FALSE),"")</f>
        <v>#REF!</v>
      </c>
      <c r="K853" s="237"/>
    </row>
    <row r="854" spans="1:11" ht="30">
      <c r="A854" s="24">
        <v>88316</v>
      </c>
      <c r="B854" s="78" t="s">
        <v>377</v>
      </c>
      <c r="C854" s="25" t="s">
        <v>12</v>
      </c>
      <c r="D854" s="25" t="s">
        <v>19</v>
      </c>
      <c r="E854" s="26">
        <v>1</v>
      </c>
      <c r="F854" s="26">
        <f t="shared" si="264"/>
        <v>11.798000000000002</v>
      </c>
      <c r="G854" s="26">
        <f t="shared" si="265"/>
        <v>11.8</v>
      </c>
      <c r="H854" s="375">
        <v>11.798000000000002</v>
      </c>
      <c r="I854" s="28" t="e">
        <f>IF(A854&lt;&gt;0,VLOOKUP(A854,#REF!,2,FALSE),"")</f>
        <v>#REF!</v>
      </c>
      <c r="K854" s="237"/>
    </row>
    <row r="855" spans="1:11" ht="15" customHeight="1">
      <c r="A855" s="986" t="s">
        <v>1894</v>
      </c>
      <c r="B855" s="986"/>
      <c r="C855" s="986"/>
      <c r="D855" s="986"/>
      <c r="E855" s="986"/>
      <c r="F855" s="986"/>
      <c r="G855" s="79">
        <f>ROUND(SUM(G849:G854),2)</f>
        <v>343.79</v>
      </c>
      <c r="K855" s="237"/>
    </row>
    <row r="856" spans="1:11" ht="26.25" customHeight="1">
      <c r="A856" s="80"/>
      <c r="B856" s="80"/>
      <c r="C856" s="352"/>
      <c r="D856" s="353"/>
      <c r="E856" s="80"/>
      <c r="F856" s="80"/>
      <c r="G856" s="80"/>
      <c r="K856" s="237"/>
    </row>
    <row r="857" spans="1:11" ht="33.75" customHeight="1">
      <c r="A857" s="920" t="s">
        <v>2583</v>
      </c>
      <c r="B857" s="921"/>
      <c r="C857" s="921"/>
      <c r="D857" s="921"/>
      <c r="E857" s="929"/>
      <c r="F857" s="75" t="s">
        <v>1915</v>
      </c>
      <c r="G857" s="347"/>
      <c r="K857" s="237"/>
    </row>
    <row r="858" spans="1:11" ht="28.5">
      <c r="A858" s="346" t="s">
        <v>364</v>
      </c>
      <c r="B858" s="347"/>
      <c r="C858" s="77" t="s">
        <v>3</v>
      </c>
      <c r="D858" s="77" t="s">
        <v>4</v>
      </c>
      <c r="E858" s="77" t="s">
        <v>1826</v>
      </c>
      <c r="F858" s="77" t="s">
        <v>367</v>
      </c>
      <c r="G858" s="77" t="s">
        <v>368</v>
      </c>
      <c r="K858" s="237"/>
    </row>
    <row r="859" spans="1:11" ht="60">
      <c r="A859" s="24">
        <v>11649</v>
      </c>
      <c r="B859" s="78" t="s">
        <v>541</v>
      </c>
      <c r="C859" s="25" t="s">
        <v>12</v>
      </c>
      <c r="D859" s="25" t="s">
        <v>17</v>
      </c>
      <c r="E859" s="26">
        <v>1</v>
      </c>
      <c r="F859" s="26">
        <f t="shared" ref="F859" si="266">H859</f>
        <v>496.69749999999999</v>
      </c>
      <c r="G859" s="26">
        <f t="shared" ref="G859" si="267">ROUND(F859*E859,2)</f>
        <v>496.7</v>
      </c>
      <c r="H859" s="375">
        <v>496.69749999999999</v>
      </c>
      <c r="I859" s="28" t="e">
        <f>IF(A859&lt;&gt;0,VLOOKUP(A859,#REF!,2,FALSE),"")</f>
        <v>#REF!</v>
      </c>
      <c r="K859" s="237"/>
    </row>
    <row r="860" spans="1:11" ht="30">
      <c r="A860" s="24">
        <v>41637</v>
      </c>
      <c r="B860" s="78" t="s">
        <v>542</v>
      </c>
      <c r="C860" s="25" t="s">
        <v>12</v>
      </c>
      <c r="D860" s="25" t="s">
        <v>17</v>
      </c>
      <c r="E860" s="26">
        <v>5</v>
      </c>
      <c r="F860" s="26">
        <f t="shared" ref="F860:F865" si="268">H860</f>
        <v>88.484999999999999</v>
      </c>
      <c r="G860" s="26">
        <f t="shared" ref="G860:G865" si="269">ROUND(F860*E860,2)</f>
        <v>442.43</v>
      </c>
      <c r="H860" s="375">
        <v>88.484999999999999</v>
      </c>
      <c r="I860" s="28" t="e">
        <f>IF(A860&lt;&gt;0,VLOOKUP(A860,#REF!,2,FALSE),"")</f>
        <v>#REF!</v>
      </c>
      <c r="K860" s="237"/>
    </row>
    <row r="861" spans="1:11" ht="45">
      <c r="A861" s="24">
        <v>102498</v>
      </c>
      <c r="B861" s="78" t="s">
        <v>543</v>
      </c>
      <c r="C861" s="25" t="s">
        <v>12</v>
      </c>
      <c r="D861" s="25" t="s">
        <v>26</v>
      </c>
      <c r="E861" s="26">
        <f>2*5.77</f>
        <v>11.54</v>
      </c>
      <c r="F861" s="26">
        <f t="shared" si="268"/>
        <v>0.90100000000000002</v>
      </c>
      <c r="G861" s="26">
        <f t="shared" si="269"/>
        <v>10.4</v>
      </c>
      <c r="H861" s="375">
        <v>0.90100000000000002</v>
      </c>
      <c r="I861" s="28" t="e">
        <f>IF(A861&lt;&gt;0,VLOOKUP(A861,#REF!,2,FALSE),"")</f>
        <v>#REF!</v>
      </c>
      <c r="K861" s="237"/>
    </row>
    <row r="862" spans="1:11" ht="45">
      <c r="A862" s="24">
        <v>87316</v>
      </c>
      <c r="B862" s="78" t="s">
        <v>1809</v>
      </c>
      <c r="C862" s="25" t="s">
        <v>12</v>
      </c>
      <c r="D862" s="25" t="s">
        <v>35</v>
      </c>
      <c r="E862" s="26">
        <v>4.2999999999999997E-2</v>
      </c>
      <c r="F862" s="26">
        <f t="shared" si="268"/>
        <v>322.6345</v>
      </c>
      <c r="G862" s="26">
        <f t="shared" si="269"/>
        <v>13.87</v>
      </c>
      <c r="H862" s="375">
        <v>322.6345</v>
      </c>
      <c r="I862" s="28" t="e">
        <f>IF(A862&lt;&gt;0,VLOOKUP(A862,#REF!,2,FALSE),"")</f>
        <v>#REF!</v>
      </c>
      <c r="K862" s="237"/>
    </row>
    <row r="863" spans="1:11" ht="30">
      <c r="A863" s="24">
        <v>88309</v>
      </c>
      <c r="B863" s="78" t="s">
        <v>390</v>
      </c>
      <c r="C863" s="25" t="s">
        <v>12</v>
      </c>
      <c r="D863" s="25" t="s">
        <v>19</v>
      </c>
      <c r="E863" s="26">
        <v>10.5</v>
      </c>
      <c r="F863" s="26">
        <f t="shared" si="268"/>
        <v>15.121499999999999</v>
      </c>
      <c r="G863" s="26">
        <f t="shared" si="269"/>
        <v>158.78</v>
      </c>
      <c r="H863" s="375">
        <v>15.121499999999999</v>
      </c>
      <c r="I863" s="28" t="e">
        <f>IF(A863&lt;&gt;0,VLOOKUP(A863,#REF!,2,FALSE),"")</f>
        <v>#REF!</v>
      </c>
      <c r="K863" s="237"/>
    </row>
    <row r="864" spans="1:11" ht="30">
      <c r="A864" s="24">
        <v>88316</v>
      </c>
      <c r="B864" s="78" t="s">
        <v>377</v>
      </c>
      <c r="C864" s="25" t="s">
        <v>12</v>
      </c>
      <c r="D864" s="25" t="s">
        <v>19</v>
      </c>
      <c r="E864" s="26">
        <v>9</v>
      </c>
      <c r="F864" s="26">
        <f t="shared" si="268"/>
        <v>11.798000000000002</v>
      </c>
      <c r="G864" s="26">
        <f t="shared" si="269"/>
        <v>106.18</v>
      </c>
      <c r="H864" s="375">
        <v>11.798000000000002</v>
      </c>
      <c r="I864" s="28" t="e">
        <f>IF(A864&lt;&gt;0,VLOOKUP(A864,#REF!,2,FALSE),"")</f>
        <v>#REF!</v>
      </c>
      <c r="K864" s="237"/>
    </row>
    <row r="865" spans="1:11" ht="45">
      <c r="A865" s="24">
        <v>94962</v>
      </c>
      <c r="B865" s="78" t="s">
        <v>1773</v>
      </c>
      <c r="C865" s="25" t="s">
        <v>12</v>
      </c>
      <c r="D865" s="25" t="s">
        <v>35</v>
      </c>
      <c r="E865" s="26">
        <v>0.76</v>
      </c>
      <c r="F865" s="26">
        <f t="shared" si="268"/>
        <v>258.9015</v>
      </c>
      <c r="G865" s="26">
        <f t="shared" si="269"/>
        <v>196.77</v>
      </c>
      <c r="H865" s="375">
        <v>258.9015</v>
      </c>
      <c r="I865" s="28" t="e">
        <f>IF(A865&lt;&gt;0,VLOOKUP(A865,#REF!,2,FALSE),"")</f>
        <v>#REF!</v>
      </c>
      <c r="K865" s="237"/>
    </row>
    <row r="866" spans="1:11" ht="15" customHeight="1">
      <c r="A866" s="986" t="s">
        <v>1894</v>
      </c>
      <c r="B866" s="986"/>
      <c r="C866" s="986"/>
      <c r="D866" s="986"/>
      <c r="E866" s="986"/>
      <c r="F866" s="986"/>
      <c r="G866" s="79">
        <f>ROUND(SUM(G859:G865),2)</f>
        <v>1425.13</v>
      </c>
      <c r="K866" s="237"/>
    </row>
    <row r="867" spans="1:11" ht="30.75" customHeight="1">
      <c r="A867" s="80"/>
      <c r="B867" s="80"/>
      <c r="C867" s="352"/>
      <c r="D867" s="353"/>
      <c r="E867" s="80"/>
      <c r="F867" s="80"/>
      <c r="G867" s="80"/>
      <c r="K867" s="237"/>
    </row>
    <row r="868" spans="1:11" ht="21.75" customHeight="1">
      <c r="A868" s="920" t="s">
        <v>2146</v>
      </c>
      <c r="B868" s="921"/>
      <c r="C868" s="921"/>
      <c r="D868" s="921"/>
      <c r="E868" s="922"/>
      <c r="F868" s="75" t="s">
        <v>70</v>
      </c>
      <c r="G868" s="347"/>
      <c r="K868" s="237"/>
    </row>
    <row r="869" spans="1:11" ht="28.5">
      <c r="A869" s="346" t="s">
        <v>364</v>
      </c>
      <c r="B869" s="347"/>
      <c r="C869" s="77" t="s">
        <v>3</v>
      </c>
      <c r="D869" s="77" t="s">
        <v>4</v>
      </c>
      <c r="E869" s="77" t="s">
        <v>1826</v>
      </c>
      <c r="F869" s="77" t="s">
        <v>367</v>
      </c>
      <c r="G869" s="77" t="s">
        <v>368</v>
      </c>
      <c r="K869" s="237"/>
    </row>
    <row r="870" spans="1:11" ht="30">
      <c r="A870" s="25">
        <v>11135</v>
      </c>
      <c r="B870" s="78" t="s">
        <v>533</v>
      </c>
      <c r="C870" s="25" t="s">
        <v>12</v>
      </c>
      <c r="D870" s="25" t="s">
        <v>26</v>
      </c>
      <c r="E870" s="26">
        <v>0.105</v>
      </c>
      <c r="F870" s="26">
        <f t="shared" ref="F870" si="270">H870</f>
        <v>42.950500000000005</v>
      </c>
      <c r="G870" s="26">
        <f t="shared" ref="G870" si="271">ROUND(F870*E870,2)</f>
        <v>4.51</v>
      </c>
      <c r="H870" s="375">
        <v>42.950500000000005</v>
      </c>
      <c r="I870" s="28" t="e">
        <f>IF(A870&lt;&gt;0,VLOOKUP(A870,#REF!,2,FALSE),"")</f>
        <v>#REF!</v>
      </c>
      <c r="K870" s="237"/>
    </row>
    <row r="871" spans="1:11" ht="30">
      <c r="A871" s="24">
        <v>43132</v>
      </c>
      <c r="B871" s="78" t="s">
        <v>385</v>
      </c>
      <c r="C871" s="25" t="s">
        <v>12</v>
      </c>
      <c r="D871" s="25" t="s">
        <v>45</v>
      </c>
      <c r="E871" s="26">
        <v>2.1999999999999999E-2</v>
      </c>
      <c r="F871" s="26">
        <f t="shared" ref="F871:F882" si="272">H871</f>
        <v>17.8415</v>
      </c>
      <c r="G871" s="26">
        <f t="shared" ref="G871:G882" si="273">ROUND(F871*E871,2)</f>
        <v>0.39</v>
      </c>
      <c r="H871" s="375">
        <v>17.8415</v>
      </c>
      <c r="I871" s="28" t="e">
        <f>IF(A871&lt;&gt;0,VLOOKUP(A871,#REF!,2,FALSE),"")</f>
        <v>#REF!</v>
      </c>
      <c r="K871" s="237"/>
    </row>
    <row r="872" spans="1:11" ht="30">
      <c r="A872" s="24">
        <v>370</v>
      </c>
      <c r="B872" s="78" t="s">
        <v>396</v>
      </c>
      <c r="C872" s="25" t="s">
        <v>12</v>
      </c>
      <c r="D872" s="25" t="s">
        <v>35</v>
      </c>
      <c r="E872" s="26">
        <v>0.105</v>
      </c>
      <c r="F872" s="26">
        <f t="shared" si="272"/>
        <v>42.5</v>
      </c>
      <c r="G872" s="26">
        <f t="shared" si="273"/>
        <v>4.46</v>
      </c>
      <c r="H872" s="375">
        <v>42.5</v>
      </c>
      <c r="I872" s="28" t="e">
        <f>IF(A872&lt;&gt;0,VLOOKUP(A872,#REF!,2,FALSE),"")</f>
        <v>#REF!</v>
      </c>
      <c r="K872" s="237"/>
    </row>
    <row r="873" spans="1:11">
      <c r="A873" s="24">
        <v>1106</v>
      </c>
      <c r="B873" s="78" t="s">
        <v>535</v>
      </c>
      <c r="C873" s="25" t="s">
        <v>12</v>
      </c>
      <c r="D873" s="25" t="s">
        <v>45</v>
      </c>
      <c r="E873" s="26">
        <v>5.46</v>
      </c>
      <c r="F873" s="26">
        <f t="shared" si="272"/>
        <v>0.76500000000000001</v>
      </c>
      <c r="G873" s="26">
        <f t="shared" si="273"/>
        <v>4.18</v>
      </c>
      <c r="H873" s="375">
        <v>0.76500000000000001</v>
      </c>
      <c r="I873" s="28" t="e">
        <f>IF(A873&lt;&gt;0,VLOOKUP(A873,#REF!,2,FALSE),"")</f>
        <v>#REF!</v>
      </c>
      <c r="K873" s="237"/>
    </row>
    <row r="874" spans="1:11">
      <c r="A874" s="24">
        <v>1379</v>
      </c>
      <c r="B874" s="78" t="s">
        <v>397</v>
      </c>
      <c r="C874" s="25" t="s">
        <v>12</v>
      </c>
      <c r="D874" s="25" t="s">
        <v>45</v>
      </c>
      <c r="E874" s="26">
        <v>28.5</v>
      </c>
      <c r="F874" s="26">
        <f t="shared" si="272"/>
        <v>0.60349999999999993</v>
      </c>
      <c r="G874" s="26">
        <f t="shared" si="273"/>
        <v>17.2</v>
      </c>
      <c r="H874" s="375">
        <v>0.60349999999999993</v>
      </c>
      <c r="I874" s="28" t="e">
        <f>IF(A874&lt;&gt;0,VLOOKUP(A874,#REF!,2,FALSE),"")</f>
        <v>#REF!</v>
      </c>
      <c r="K874" s="237"/>
    </row>
    <row r="875" spans="1:11" ht="45">
      <c r="A875" s="24">
        <v>4720</v>
      </c>
      <c r="B875" s="78" t="s">
        <v>544</v>
      </c>
      <c r="C875" s="25" t="s">
        <v>12</v>
      </c>
      <c r="D875" s="25" t="s">
        <v>35</v>
      </c>
      <c r="E875" s="26">
        <v>4.2000000000000003E-2</v>
      </c>
      <c r="F875" s="26">
        <f t="shared" si="272"/>
        <v>90.295500000000004</v>
      </c>
      <c r="G875" s="26">
        <f t="shared" si="273"/>
        <v>3.79</v>
      </c>
      <c r="H875" s="375">
        <v>90.295500000000004</v>
      </c>
      <c r="I875" s="28" t="e">
        <f>IF(A875&lt;&gt;0,VLOOKUP(A875,#REF!,2,FALSE),"")</f>
        <v>#REF!</v>
      </c>
      <c r="K875" s="237"/>
    </row>
    <row r="876" spans="1:11" ht="30">
      <c r="A876" s="24">
        <v>7267</v>
      </c>
      <c r="B876" s="78" t="s">
        <v>402</v>
      </c>
      <c r="C876" s="25" t="s">
        <v>12</v>
      </c>
      <c r="D876" s="25" t="s">
        <v>17</v>
      </c>
      <c r="E876" s="26">
        <v>14.74</v>
      </c>
      <c r="F876" s="26">
        <f t="shared" si="272"/>
        <v>0.62049999999999994</v>
      </c>
      <c r="G876" s="26">
        <f t="shared" si="273"/>
        <v>9.15</v>
      </c>
      <c r="H876" s="375">
        <v>0.62049999999999994</v>
      </c>
      <c r="I876" s="28" t="e">
        <f>IF(A876&lt;&gt;0,VLOOKUP(A876,#REF!,2,FALSE),"")</f>
        <v>#REF!</v>
      </c>
      <c r="K876" s="237"/>
    </row>
    <row r="877" spans="1:11" ht="30">
      <c r="A877" s="24">
        <v>9837</v>
      </c>
      <c r="B877" s="78" t="s">
        <v>518</v>
      </c>
      <c r="C877" s="25" t="s">
        <v>12</v>
      </c>
      <c r="D877" s="25" t="s">
        <v>52</v>
      </c>
      <c r="E877" s="26">
        <v>0.4</v>
      </c>
      <c r="F877" s="26">
        <f t="shared" si="272"/>
        <v>9.7665000000000006</v>
      </c>
      <c r="G877" s="26">
        <f t="shared" si="273"/>
        <v>3.91</v>
      </c>
      <c r="H877" s="375">
        <v>9.7665000000000006</v>
      </c>
      <c r="I877" s="28" t="e">
        <f>IF(A877&lt;&gt;0,VLOOKUP(A877,#REF!,2,FALSE),"")</f>
        <v>#REF!</v>
      </c>
      <c r="K877" s="237"/>
    </row>
    <row r="878" spans="1:11" ht="30">
      <c r="A878" s="24">
        <v>88239</v>
      </c>
      <c r="B878" s="78" t="s">
        <v>393</v>
      </c>
      <c r="C878" s="25" t="s">
        <v>12</v>
      </c>
      <c r="D878" s="25" t="s">
        <v>19</v>
      </c>
      <c r="E878" s="26">
        <v>0.60499999999999998</v>
      </c>
      <c r="F878" s="26">
        <f t="shared" si="272"/>
        <v>12.622499999999999</v>
      </c>
      <c r="G878" s="26">
        <f t="shared" si="273"/>
        <v>7.64</v>
      </c>
      <c r="H878" s="375">
        <v>12.622499999999999</v>
      </c>
      <c r="I878" s="28" t="e">
        <f>IF(A878&lt;&gt;0,VLOOKUP(A878,#REF!,2,FALSE),"")</f>
        <v>#REF!</v>
      </c>
      <c r="K878" s="237"/>
    </row>
    <row r="879" spans="1:11" ht="30">
      <c r="A879" s="24">
        <v>88262</v>
      </c>
      <c r="B879" s="78" t="s">
        <v>376</v>
      </c>
      <c r="C879" s="25" t="s">
        <v>12</v>
      </c>
      <c r="D879" s="25" t="s">
        <v>19</v>
      </c>
      <c r="E879" s="26">
        <v>0.60499999999999998</v>
      </c>
      <c r="F879" s="26">
        <f t="shared" si="272"/>
        <v>14.96</v>
      </c>
      <c r="G879" s="26">
        <f t="shared" si="273"/>
        <v>9.0500000000000007</v>
      </c>
      <c r="H879" s="375">
        <v>14.96</v>
      </c>
      <c r="I879" s="28" t="e">
        <f>IF(A879&lt;&gt;0,VLOOKUP(A879,#REF!,2,FALSE),"")</f>
        <v>#REF!</v>
      </c>
      <c r="K879" s="237"/>
    </row>
    <row r="880" spans="1:11" ht="30">
      <c r="A880" s="24">
        <v>88309</v>
      </c>
      <c r="B880" s="78" t="s">
        <v>390</v>
      </c>
      <c r="C880" s="25" t="s">
        <v>12</v>
      </c>
      <c r="D880" s="25" t="s">
        <v>19</v>
      </c>
      <c r="E880" s="26">
        <v>3.2</v>
      </c>
      <c r="F880" s="26">
        <f t="shared" si="272"/>
        <v>15.121499999999999</v>
      </c>
      <c r="G880" s="26">
        <f t="shared" si="273"/>
        <v>48.39</v>
      </c>
      <c r="H880" s="375">
        <v>15.121499999999999</v>
      </c>
      <c r="I880" s="28" t="e">
        <f>IF(A880&lt;&gt;0,VLOOKUP(A880,#REF!,2,FALSE),"")</f>
        <v>#REF!</v>
      </c>
      <c r="K880" s="237"/>
    </row>
    <row r="881" spans="1:11" ht="30">
      <c r="A881" s="24">
        <v>88316</v>
      </c>
      <c r="B881" s="78" t="s">
        <v>377</v>
      </c>
      <c r="C881" s="25" t="s">
        <v>12</v>
      </c>
      <c r="D881" s="25" t="s">
        <v>19</v>
      </c>
      <c r="E881" s="26">
        <v>5.85</v>
      </c>
      <c r="F881" s="26">
        <f t="shared" si="272"/>
        <v>11.798000000000002</v>
      </c>
      <c r="G881" s="26">
        <f t="shared" si="273"/>
        <v>69.02</v>
      </c>
      <c r="H881" s="375">
        <v>11.798000000000002</v>
      </c>
      <c r="I881" s="28" t="e">
        <f>IF(A881&lt;&gt;0,VLOOKUP(A881,#REF!,2,FALSE),"")</f>
        <v>#REF!</v>
      </c>
      <c r="K881" s="237"/>
    </row>
    <row r="882" spans="1:11" ht="60">
      <c r="A882" s="24">
        <v>92915</v>
      </c>
      <c r="B882" s="78" t="s">
        <v>1810</v>
      </c>
      <c r="C882" s="25" t="s">
        <v>12</v>
      </c>
      <c r="D882" s="25" t="s">
        <v>45</v>
      </c>
      <c r="E882" s="26">
        <v>1.75</v>
      </c>
      <c r="F882" s="26">
        <f t="shared" si="272"/>
        <v>14.45</v>
      </c>
      <c r="G882" s="26">
        <f t="shared" si="273"/>
        <v>25.29</v>
      </c>
      <c r="H882" s="375">
        <v>14.45</v>
      </c>
      <c r="I882" s="28" t="e">
        <f>IF(A882&lt;&gt;0,VLOOKUP(A882,#REF!,2,FALSE),"")</f>
        <v>#REF!</v>
      </c>
      <c r="K882" s="237"/>
    </row>
    <row r="883" spans="1:11" ht="15" customHeight="1">
      <c r="A883" s="986" t="s">
        <v>1894</v>
      </c>
      <c r="B883" s="986"/>
      <c r="C883" s="986"/>
      <c r="D883" s="986"/>
      <c r="E883" s="986"/>
      <c r="F883" s="986"/>
      <c r="G883" s="79">
        <f>ROUND(SUM(G870:G882),2)</f>
        <v>206.98</v>
      </c>
      <c r="K883" s="237"/>
    </row>
    <row r="884" spans="1:11" ht="27.75" customHeight="1">
      <c r="A884" s="80"/>
      <c r="B884" s="80"/>
      <c r="C884" s="352"/>
      <c r="D884" s="353"/>
      <c r="E884" s="80"/>
      <c r="F884" s="80"/>
      <c r="G884" s="80"/>
      <c r="K884" s="237"/>
    </row>
    <row r="885" spans="1:11" ht="21" customHeight="1">
      <c r="A885" s="920" t="s">
        <v>2147</v>
      </c>
      <c r="B885" s="921"/>
      <c r="C885" s="921"/>
      <c r="D885" s="921"/>
      <c r="E885" s="922"/>
      <c r="F885" s="75" t="s">
        <v>70</v>
      </c>
      <c r="G885" s="347"/>
      <c r="K885" s="237"/>
    </row>
    <row r="886" spans="1:11" ht="28.5">
      <c r="A886" s="346" t="s">
        <v>364</v>
      </c>
      <c r="B886" s="347"/>
      <c r="C886" s="77" t="s">
        <v>3</v>
      </c>
      <c r="D886" s="77" t="s">
        <v>4</v>
      </c>
      <c r="E886" s="77" t="s">
        <v>1826</v>
      </c>
      <c r="F886" s="77" t="s">
        <v>367</v>
      </c>
      <c r="G886" s="77" t="s">
        <v>368</v>
      </c>
      <c r="K886" s="237"/>
    </row>
    <row r="887" spans="1:11" s="45" customFormat="1">
      <c r="A887" s="24">
        <v>1058</v>
      </c>
      <c r="B887" s="78" t="s">
        <v>545</v>
      </c>
      <c r="C887" s="25" t="s">
        <v>44</v>
      </c>
      <c r="D887" s="25" t="s">
        <v>26</v>
      </c>
      <c r="E887" s="26">
        <v>1.05</v>
      </c>
      <c r="F887" s="26">
        <f t="shared" ref="F887" si="274">H887</f>
        <v>169.38800000000001</v>
      </c>
      <c r="G887" s="26">
        <f t="shared" ref="G887" si="275">ROUND(F887*E887,2)</f>
        <v>177.86</v>
      </c>
      <c r="H887" s="364">
        <v>169.38800000000001</v>
      </c>
      <c r="I887" s="45" t="e">
        <f>IF(A887&lt;&gt;0,VLOOKUP(A887,#REF!,2,FALSE),"")</f>
        <v>#REF!</v>
      </c>
      <c r="J887" s="364"/>
      <c r="K887" s="237"/>
    </row>
    <row r="888" spans="1:11">
      <c r="A888" s="24">
        <v>1379</v>
      </c>
      <c r="B888" s="78" t="s">
        <v>397</v>
      </c>
      <c r="C888" s="25" t="s">
        <v>12</v>
      </c>
      <c r="D888" s="25" t="s">
        <v>45</v>
      </c>
      <c r="E888" s="26">
        <v>3.8</v>
      </c>
      <c r="F888" s="26">
        <f t="shared" ref="F888" si="276">H888</f>
        <v>0.60349999999999993</v>
      </c>
      <c r="G888" s="26">
        <f t="shared" ref="G888" si="277">ROUND(F888*E888,2)</f>
        <v>2.29</v>
      </c>
      <c r="H888" s="375">
        <v>0.60349999999999993</v>
      </c>
      <c r="I888" s="28" t="e">
        <f>IF(A888&lt;&gt;0,VLOOKUP(A888,#REF!,2,FALSE),"")</f>
        <v>#REF!</v>
      </c>
      <c r="K888" s="237"/>
    </row>
    <row r="889" spans="1:11" ht="45">
      <c r="A889" s="24">
        <v>367</v>
      </c>
      <c r="B889" s="78" t="s">
        <v>444</v>
      </c>
      <c r="C889" s="25" t="s">
        <v>12</v>
      </c>
      <c r="D889" s="25" t="s">
        <v>35</v>
      </c>
      <c r="E889" s="26">
        <v>0.01</v>
      </c>
      <c r="F889" s="26">
        <f t="shared" ref="F889:F891" si="278">H889</f>
        <v>43.919499999999999</v>
      </c>
      <c r="G889" s="26">
        <f t="shared" ref="G889:G891" si="279">ROUND(F889*E889,2)</f>
        <v>0.44</v>
      </c>
      <c r="H889" s="375">
        <v>43.919499999999999</v>
      </c>
      <c r="I889" s="28" t="e">
        <f>IF(A889&lt;&gt;0,VLOOKUP(A889,#REF!,2,FALSE),"")</f>
        <v>#REF!</v>
      </c>
      <c r="K889" s="237"/>
    </row>
    <row r="890" spans="1:11">
      <c r="A890" s="24">
        <v>1106</v>
      </c>
      <c r="B890" s="78" t="s">
        <v>535</v>
      </c>
      <c r="C890" s="25" t="s">
        <v>12</v>
      </c>
      <c r="D890" s="25" t="s">
        <v>45</v>
      </c>
      <c r="E890" s="26">
        <v>1</v>
      </c>
      <c r="F890" s="26">
        <f t="shared" si="278"/>
        <v>0.76500000000000001</v>
      </c>
      <c r="G890" s="26">
        <f t="shared" si="279"/>
        <v>0.77</v>
      </c>
      <c r="H890" s="375">
        <v>0.76500000000000001</v>
      </c>
      <c r="I890" s="28" t="e">
        <f>IF(A890&lt;&gt;0,VLOOKUP(A890,#REF!,2,FALSE),"")</f>
        <v>#REF!</v>
      </c>
      <c r="K890" s="237"/>
    </row>
    <row r="891" spans="1:11" ht="30">
      <c r="A891" s="24">
        <v>88309</v>
      </c>
      <c r="B891" s="78" t="s">
        <v>390</v>
      </c>
      <c r="C891" s="25" t="s">
        <v>12</v>
      </c>
      <c r="D891" s="25" t="s">
        <v>19</v>
      </c>
      <c r="E891" s="26">
        <v>1.5</v>
      </c>
      <c r="F891" s="26">
        <f t="shared" si="278"/>
        <v>15.121499999999999</v>
      </c>
      <c r="G891" s="26">
        <f t="shared" si="279"/>
        <v>22.68</v>
      </c>
      <c r="H891" s="375">
        <v>15.121499999999999</v>
      </c>
      <c r="I891" s="28" t="e">
        <f>IF(A891&lt;&gt;0,VLOOKUP(A891,#REF!,2,FALSE),"")</f>
        <v>#REF!</v>
      </c>
      <c r="K891" s="237"/>
    </row>
    <row r="892" spans="1:11" ht="30">
      <c r="A892" s="24">
        <v>88316</v>
      </c>
      <c r="B892" s="78" t="s">
        <v>377</v>
      </c>
      <c r="C892" s="25" t="s">
        <v>12</v>
      </c>
      <c r="D892" s="25" t="s">
        <v>19</v>
      </c>
      <c r="E892" s="26">
        <v>1.5</v>
      </c>
      <c r="F892" s="26">
        <f t="shared" ref="F892" si="280">H892</f>
        <v>11.798000000000002</v>
      </c>
      <c r="G892" s="26">
        <f t="shared" ref="G892" si="281">ROUND(F892*E892,2)</f>
        <v>17.7</v>
      </c>
      <c r="H892" s="375">
        <v>11.798000000000002</v>
      </c>
      <c r="I892" s="28" t="e">
        <f>IF(A892&lt;&gt;0,VLOOKUP(A892,#REF!,2,FALSE),"")</f>
        <v>#REF!</v>
      </c>
      <c r="K892" s="237"/>
    </row>
    <row r="893" spans="1:11" ht="15" customHeight="1">
      <c r="A893" s="986" t="s">
        <v>1894</v>
      </c>
      <c r="B893" s="986"/>
      <c r="C893" s="986"/>
      <c r="D893" s="986"/>
      <c r="E893" s="986"/>
      <c r="F893" s="986"/>
      <c r="G893" s="79">
        <f>ROUND(SUM(G887:G892),2)</f>
        <v>221.74</v>
      </c>
      <c r="K893" s="237"/>
    </row>
    <row r="894" spans="1:11" ht="29.25" customHeight="1">
      <c r="A894" s="80"/>
      <c r="B894" s="80"/>
      <c r="C894" s="352"/>
      <c r="D894" s="353"/>
      <c r="E894" s="80"/>
      <c r="F894" s="80"/>
      <c r="G894" s="80"/>
      <c r="K894" s="237"/>
    </row>
    <row r="895" spans="1:11">
      <c r="A895" s="80"/>
      <c r="B895" s="80"/>
      <c r="C895" s="352"/>
      <c r="D895" s="353"/>
      <c r="E895" s="80"/>
      <c r="F895" s="80"/>
      <c r="G895" s="80"/>
      <c r="K895" s="237"/>
    </row>
    <row r="896" spans="1:11" ht="38.25" customHeight="1">
      <c r="A896" s="920" t="s">
        <v>2154</v>
      </c>
      <c r="B896" s="921"/>
      <c r="C896" s="921"/>
      <c r="D896" s="921"/>
      <c r="E896" s="922"/>
      <c r="F896" s="75" t="s">
        <v>1915</v>
      </c>
      <c r="G896" s="347"/>
      <c r="K896" s="237"/>
    </row>
    <row r="897" spans="1:11" ht="28.5">
      <c r="A897" s="346" t="s">
        <v>364</v>
      </c>
      <c r="B897" s="347"/>
      <c r="C897" s="77" t="s">
        <v>3</v>
      </c>
      <c r="D897" s="77" t="s">
        <v>4</v>
      </c>
      <c r="E897" s="77" t="s">
        <v>1826</v>
      </c>
      <c r="F897" s="77" t="s">
        <v>367</v>
      </c>
      <c r="G897" s="77" t="s">
        <v>368</v>
      </c>
      <c r="K897" s="237"/>
    </row>
    <row r="898" spans="1:11" ht="45">
      <c r="A898" s="24">
        <v>7694</v>
      </c>
      <c r="B898" s="78" t="s">
        <v>546</v>
      </c>
      <c r="C898" s="25" t="s">
        <v>12</v>
      </c>
      <c r="D898" s="25" t="s">
        <v>52</v>
      </c>
      <c r="E898" s="26">
        <v>1.0389999999999999</v>
      </c>
      <c r="F898" s="26">
        <f t="shared" ref="F898" si="282">H898</f>
        <v>126.85400000000001</v>
      </c>
      <c r="G898" s="26">
        <f t="shared" ref="G898" si="283">ROUND(F898*E898,2)</f>
        <v>131.80000000000001</v>
      </c>
      <c r="H898" s="375">
        <v>126.85400000000001</v>
      </c>
      <c r="I898" s="28" t="e">
        <f>IF(A898&lt;&gt;0,VLOOKUP(A898,#REF!,2,FALSE),"")</f>
        <v>#REF!</v>
      </c>
      <c r="K898" s="237"/>
    </row>
    <row r="899" spans="1:11" ht="45">
      <c r="A899" s="24">
        <v>88248</v>
      </c>
      <c r="B899" s="78" t="s">
        <v>473</v>
      </c>
      <c r="C899" s="25" t="s">
        <v>12</v>
      </c>
      <c r="D899" s="25" t="s">
        <v>19</v>
      </c>
      <c r="E899" s="26">
        <v>0.30599999999999999</v>
      </c>
      <c r="F899" s="26">
        <f t="shared" ref="F899:F900" si="284">H899</f>
        <v>11.483499999999999</v>
      </c>
      <c r="G899" s="26">
        <f t="shared" ref="G899:G900" si="285">ROUND(F899*E899,2)</f>
        <v>3.51</v>
      </c>
      <c r="H899" s="375">
        <v>11.483499999999999</v>
      </c>
      <c r="I899" s="28" t="e">
        <f>IF(A899&lt;&gt;0,VLOOKUP(A899,#REF!,2,FALSE),"")</f>
        <v>#REF!</v>
      </c>
      <c r="K899" s="237"/>
    </row>
    <row r="900" spans="1:11" ht="30">
      <c r="A900" s="24">
        <v>88267</v>
      </c>
      <c r="B900" s="78" t="s">
        <v>472</v>
      </c>
      <c r="C900" s="25" t="s">
        <v>12</v>
      </c>
      <c r="D900" s="25" t="s">
        <v>19</v>
      </c>
      <c r="E900" s="26">
        <v>0.30599999999999999</v>
      </c>
      <c r="F900" s="26">
        <f t="shared" si="284"/>
        <v>14.7135</v>
      </c>
      <c r="G900" s="26">
        <f t="shared" si="285"/>
        <v>4.5</v>
      </c>
      <c r="H900" s="375">
        <v>14.7135</v>
      </c>
      <c r="I900" s="28" t="e">
        <f>IF(A900&lt;&gt;0,VLOOKUP(A900,#REF!,2,FALSE),"")</f>
        <v>#REF!</v>
      </c>
      <c r="K900" s="237"/>
    </row>
    <row r="901" spans="1:11" ht="15" customHeight="1">
      <c r="A901" s="986" t="s">
        <v>1894</v>
      </c>
      <c r="B901" s="986"/>
      <c r="C901" s="986"/>
      <c r="D901" s="986"/>
      <c r="E901" s="986"/>
      <c r="F901" s="986"/>
      <c r="G901" s="79">
        <f>ROUND(SUM(G898:G900),2)</f>
        <v>139.81</v>
      </c>
      <c r="I901" s="28"/>
      <c r="K901" s="237"/>
    </row>
    <row r="902" spans="1:11">
      <c r="A902" s="80"/>
      <c r="B902" s="80"/>
      <c r="C902" s="352"/>
      <c r="D902" s="353"/>
      <c r="E902" s="80"/>
      <c r="F902" s="80"/>
      <c r="G902" s="80"/>
      <c r="K902" s="237"/>
    </row>
    <row r="903" spans="1:11">
      <c r="A903" s="80"/>
      <c r="B903" s="80"/>
      <c r="C903" s="352"/>
      <c r="D903" s="353"/>
      <c r="E903" s="80"/>
      <c r="F903" s="80"/>
      <c r="G903" s="80"/>
      <c r="K903" s="237"/>
    </row>
    <row r="904" spans="1:11" ht="33" customHeight="1">
      <c r="A904" s="920" t="s">
        <v>2155</v>
      </c>
      <c r="B904" s="921"/>
      <c r="C904" s="921"/>
      <c r="D904" s="921"/>
      <c r="E904" s="929"/>
      <c r="F904" s="75" t="s">
        <v>1915</v>
      </c>
      <c r="G904" s="347"/>
      <c r="K904" s="237"/>
    </row>
    <row r="905" spans="1:11" ht="28.5">
      <c r="A905" s="346" t="s">
        <v>364</v>
      </c>
      <c r="B905" s="347"/>
      <c r="C905" s="77" t="s">
        <v>3</v>
      </c>
      <c r="D905" s="77" t="s">
        <v>4</v>
      </c>
      <c r="E905" s="77" t="s">
        <v>1826</v>
      </c>
      <c r="F905" s="77" t="s">
        <v>367</v>
      </c>
      <c r="G905" s="77" t="s">
        <v>368</v>
      </c>
      <c r="K905" s="237"/>
    </row>
    <row r="906" spans="1:11" ht="45">
      <c r="A906" s="24">
        <v>7697</v>
      </c>
      <c r="B906" s="78" t="s">
        <v>547</v>
      </c>
      <c r="C906" s="25" t="s">
        <v>12</v>
      </c>
      <c r="D906" s="25" t="s">
        <v>52</v>
      </c>
      <c r="E906" s="26">
        <v>1.0389999999999999</v>
      </c>
      <c r="F906" s="26">
        <f t="shared" ref="F906" si="286">H906</f>
        <v>52.674500000000002</v>
      </c>
      <c r="G906" s="26">
        <f t="shared" ref="G906" si="287">ROUND(F906*E906,2)</f>
        <v>54.73</v>
      </c>
      <c r="H906" s="375">
        <v>52.674500000000002</v>
      </c>
      <c r="I906" s="28" t="e">
        <f>IF(A906&lt;&gt;0,VLOOKUP(A906,#REF!,2,FALSE),"")</f>
        <v>#REF!</v>
      </c>
      <c r="K906" s="237"/>
    </row>
    <row r="907" spans="1:11" ht="45">
      <c r="A907" s="24">
        <v>88248</v>
      </c>
      <c r="B907" s="78" t="s">
        <v>473</v>
      </c>
      <c r="C907" s="25" t="s">
        <v>12</v>
      </c>
      <c r="D907" s="25" t="s">
        <v>19</v>
      </c>
      <c r="E907" s="26">
        <v>0.26500000000000001</v>
      </c>
      <c r="F907" s="26">
        <f t="shared" ref="F907:F908" si="288">H907</f>
        <v>11.483499999999999</v>
      </c>
      <c r="G907" s="26">
        <f t="shared" ref="G907:G908" si="289">ROUND(F907*E907,2)</f>
        <v>3.04</v>
      </c>
      <c r="H907" s="375">
        <v>11.483499999999999</v>
      </c>
      <c r="I907" s="28" t="e">
        <f>IF(A907&lt;&gt;0,VLOOKUP(A907,#REF!,2,FALSE),"")</f>
        <v>#REF!</v>
      </c>
      <c r="K907" s="237"/>
    </row>
    <row r="908" spans="1:11" ht="30">
      <c r="A908" s="24">
        <v>88267</v>
      </c>
      <c r="B908" s="78" t="s">
        <v>472</v>
      </c>
      <c r="C908" s="25" t="s">
        <v>12</v>
      </c>
      <c r="D908" s="25" t="s">
        <v>19</v>
      </c>
      <c r="E908" s="26">
        <v>0.26500000000000001</v>
      </c>
      <c r="F908" s="26">
        <f t="shared" si="288"/>
        <v>14.7135</v>
      </c>
      <c r="G908" s="26">
        <f t="shared" si="289"/>
        <v>3.9</v>
      </c>
      <c r="H908" s="375">
        <v>14.7135</v>
      </c>
      <c r="I908" s="28" t="e">
        <f>IF(A908&lt;&gt;0,VLOOKUP(A908,#REF!,2,FALSE),"")</f>
        <v>#REF!</v>
      </c>
      <c r="K908" s="237"/>
    </row>
    <row r="909" spans="1:11" ht="15" customHeight="1">
      <c r="A909" s="986" t="s">
        <v>1894</v>
      </c>
      <c r="B909" s="986"/>
      <c r="C909" s="986"/>
      <c r="D909" s="986"/>
      <c r="E909" s="986"/>
      <c r="F909" s="986"/>
      <c r="G909" s="79">
        <f>ROUND(SUM(G906:G908),2)</f>
        <v>61.67</v>
      </c>
      <c r="I909" s="28"/>
      <c r="K909" s="237"/>
    </row>
    <row r="910" spans="1:11" ht="20.25" customHeight="1">
      <c r="A910" s="80"/>
      <c r="B910" s="80"/>
      <c r="C910" s="352"/>
      <c r="D910" s="353"/>
      <c r="E910" s="80"/>
      <c r="F910" s="80"/>
      <c r="G910" s="80"/>
      <c r="K910" s="237"/>
    </row>
    <row r="911" spans="1:11" ht="39" customHeight="1">
      <c r="A911" s="920" t="s">
        <v>2156</v>
      </c>
      <c r="B911" s="921"/>
      <c r="C911" s="921"/>
      <c r="D911" s="921"/>
      <c r="E911" s="929"/>
      <c r="F911" s="75" t="s">
        <v>1915</v>
      </c>
      <c r="G911" s="347"/>
      <c r="K911" s="237"/>
    </row>
    <row r="912" spans="1:11" ht="28.5">
      <c r="A912" s="346" t="s">
        <v>364</v>
      </c>
      <c r="B912" s="347"/>
      <c r="C912" s="77" t="s">
        <v>3</v>
      </c>
      <c r="D912" s="77" t="s">
        <v>4</v>
      </c>
      <c r="E912" s="77" t="s">
        <v>1826</v>
      </c>
      <c r="F912" s="77" t="s">
        <v>367</v>
      </c>
      <c r="G912" s="77" t="s">
        <v>368</v>
      </c>
      <c r="K912" s="237"/>
    </row>
    <row r="913" spans="1:11" ht="45">
      <c r="A913" s="24">
        <v>7698</v>
      </c>
      <c r="B913" s="78" t="s">
        <v>548</v>
      </c>
      <c r="C913" s="25" t="s">
        <v>12</v>
      </c>
      <c r="D913" s="25" t="s">
        <v>52</v>
      </c>
      <c r="E913" s="26">
        <v>1.0389999999999999</v>
      </c>
      <c r="F913" s="26">
        <f t="shared" ref="F913" si="290">H913</f>
        <v>45.347500000000004</v>
      </c>
      <c r="G913" s="26">
        <f t="shared" ref="G913" si="291">ROUND(F913*E913,2)</f>
        <v>47.12</v>
      </c>
      <c r="H913" s="375">
        <v>45.347500000000004</v>
      </c>
      <c r="I913" s="28" t="e">
        <f>IF(A913&lt;&gt;0,VLOOKUP(A913,#REF!,2,FALSE),"")</f>
        <v>#REF!</v>
      </c>
      <c r="K913" s="237"/>
    </row>
    <row r="914" spans="1:11" ht="45">
      <c r="A914" s="24">
        <v>88248</v>
      </c>
      <c r="B914" s="78" t="s">
        <v>473</v>
      </c>
      <c r="C914" s="25" t="s">
        <v>12</v>
      </c>
      <c r="D914" s="25" t="s">
        <v>19</v>
      </c>
      <c r="E914" s="26">
        <v>0.26500000000000001</v>
      </c>
      <c r="F914" s="26">
        <f t="shared" ref="F914:F915" si="292">H914</f>
        <v>11.483499999999999</v>
      </c>
      <c r="G914" s="26">
        <f t="shared" ref="G914:G915" si="293">ROUND(F914*E914,2)</f>
        <v>3.04</v>
      </c>
      <c r="H914" s="375">
        <v>11.483499999999999</v>
      </c>
      <c r="I914" s="28" t="e">
        <f>IF(A914&lt;&gt;0,VLOOKUP(A914,#REF!,2,FALSE),"")</f>
        <v>#REF!</v>
      </c>
      <c r="K914" s="237"/>
    </row>
    <row r="915" spans="1:11" ht="30">
      <c r="A915" s="24">
        <v>88267</v>
      </c>
      <c r="B915" s="78" t="s">
        <v>472</v>
      </c>
      <c r="C915" s="25" t="s">
        <v>12</v>
      </c>
      <c r="D915" s="25" t="s">
        <v>19</v>
      </c>
      <c r="E915" s="26">
        <v>0.26500000000000001</v>
      </c>
      <c r="F915" s="26">
        <f t="shared" si="292"/>
        <v>14.7135</v>
      </c>
      <c r="G915" s="26">
        <f t="shared" si="293"/>
        <v>3.9</v>
      </c>
      <c r="H915" s="375">
        <v>14.7135</v>
      </c>
      <c r="I915" s="28" t="e">
        <f>IF(A915&lt;&gt;0,VLOOKUP(A915,#REF!,2,FALSE),"")</f>
        <v>#REF!</v>
      </c>
      <c r="K915" s="237"/>
    </row>
    <row r="916" spans="1:11" ht="15" customHeight="1">
      <c r="A916" s="986" t="s">
        <v>1894</v>
      </c>
      <c r="B916" s="986"/>
      <c r="C916" s="986"/>
      <c r="D916" s="986"/>
      <c r="E916" s="986"/>
      <c r="F916" s="986"/>
      <c r="G916" s="79">
        <f>ROUND(SUM(G913:G915),2)</f>
        <v>54.06</v>
      </c>
      <c r="K916" s="237"/>
    </row>
    <row r="917" spans="1:11" ht="22.5" customHeight="1">
      <c r="A917" s="80"/>
      <c r="B917" s="80"/>
      <c r="C917" s="352"/>
      <c r="D917" s="353"/>
      <c r="E917" s="80"/>
      <c r="F917" s="80"/>
      <c r="G917" s="80"/>
      <c r="K917" s="237"/>
    </row>
    <row r="918" spans="1:11" ht="33.75" customHeight="1">
      <c r="A918" s="920" t="s">
        <v>2157</v>
      </c>
      <c r="B918" s="921"/>
      <c r="C918" s="921"/>
      <c r="D918" s="921"/>
      <c r="E918" s="929"/>
      <c r="F918" s="75" t="s">
        <v>1915</v>
      </c>
      <c r="G918" s="347"/>
      <c r="K918" s="237"/>
    </row>
    <row r="919" spans="1:11" ht="28.5">
      <c r="A919" s="346" t="s">
        <v>364</v>
      </c>
      <c r="B919" s="347"/>
      <c r="C919" s="77" t="s">
        <v>3</v>
      </c>
      <c r="D919" s="77" t="s">
        <v>4</v>
      </c>
      <c r="E919" s="77" t="s">
        <v>1826</v>
      </c>
      <c r="F919" s="77" t="s">
        <v>367</v>
      </c>
      <c r="G919" s="77" t="s">
        <v>368</v>
      </c>
      <c r="K919" s="237"/>
    </row>
    <row r="920" spans="1:11" ht="45">
      <c r="A920" s="24">
        <v>40626</v>
      </c>
      <c r="B920" s="78" t="s">
        <v>549</v>
      </c>
      <c r="C920" s="25" t="s">
        <v>12</v>
      </c>
      <c r="D920" s="25" t="s">
        <v>52</v>
      </c>
      <c r="E920" s="26">
        <v>1.0389999999999999</v>
      </c>
      <c r="F920" s="26">
        <f t="shared" ref="F920:F922" si="294">H920</f>
        <v>35.954999999999998</v>
      </c>
      <c r="G920" s="26">
        <f t="shared" ref="G920:G922" si="295">ROUND(F920*E920,2)</f>
        <v>37.36</v>
      </c>
      <c r="H920" s="375">
        <v>35.954999999999998</v>
      </c>
      <c r="I920" s="28" t="e">
        <f>IF(A920&lt;&gt;0,VLOOKUP(A920,#REF!,2,FALSE),"")</f>
        <v>#REF!</v>
      </c>
      <c r="K920" s="237"/>
    </row>
    <row r="921" spans="1:11" ht="45">
      <c r="A921" s="24">
        <v>88248</v>
      </c>
      <c r="B921" s="78" t="s">
        <v>473</v>
      </c>
      <c r="C921" s="25" t="s">
        <v>12</v>
      </c>
      <c r="D921" s="25" t="s">
        <v>19</v>
      </c>
      <c r="E921" s="26">
        <v>0.26500000000000001</v>
      </c>
      <c r="F921" s="26">
        <f t="shared" si="294"/>
        <v>11.483499999999999</v>
      </c>
      <c r="G921" s="26">
        <f t="shared" si="295"/>
        <v>3.04</v>
      </c>
      <c r="H921" s="375">
        <v>11.483499999999999</v>
      </c>
      <c r="I921" s="28" t="e">
        <f>IF(A921&lt;&gt;0,VLOOKUP(A921,#REF!,2,FALSE),"")</f>
        <v>#REF!</v>
      </c>
      <c r="K921" s="237"/>
    </row>
    <row r="922" spans="1:11" ht="30">
      <c r="A922" s="24">
        <v>88267</v>
      </c>
      <c r="B922" s="78" t="s">
        <v>472</v>
      </c>
      <c r="C922" s="25" t="s">
        <v>12</v>
      </c>
      <c r="D922" s="25" t="s">
        <v>19</v>
      </c>
      <c r="E922" s="26">
        <v>0.26500000000000001</v>
      </c>
      <c r="F922" s="26">
        <f t="shared" si="294"/>
        <v>14.7135</v>
      </c>
      <c r="G922" s="26">
        <f t="shared" si="295"/>
        <v>3.9</v>
      </c>
      <c r="H922" s="375">
        <v>14.7135</v>
      </c>
      <c r="I922" s="28" t="e">
        <f>IF(A922&lt;&gt;0,VLOOKUP(A922,#REF!,2,FALSE),"")</f>
        <v>#REF!</v>
      </c>
      <c r="K922" s="237"/>
    </row>
    <row r="923" spans="1:11" ht="15" customHeight="1">
      <c r="A923" s="986" t="s">
        <v>1894</v>
      </c>
      <c r="B923" s="986"/>
      <c r="C923" s="986"/>
      <c r="D923" s="986"/>
      <c r="E923" s="986"/>
      <c r="F923" s="986"/>
      <c r="G923" s="79">
        <f>ROUND(SUM(G920:G922),2)</f>
        <v>44.3</v>
      </c>
      <c r="K923" s="237"/>
    </row>
    <row r="924" spans="1:11" ht="26.25" customHeight="1">
      <c r="A924" s="80"/>
      <c r="B924" s="80"/>
      <c r="C924" s="352"/>
      <c r="D924" s="353"/>
      <c r="E924" s="80"/>
      <c r="F924" s="80"/>
      <c r="G924" s="80"/>
      <c r="K924" s="237"/>
    </row>
    <row r="925" spans="1:11" ht="36.75" customHeight="1">
      <c r="A925" s="920" t="s">
        <v>2158</v>
      </c>
      <c r="B925" s="921"/>
      <c r="C925" s="921"/>
      <c r="D925" s="921"/>
      <c r="E925" s="922"/>
      <c r="F925" s="75" t="s">
        <v>1915</v>
      </c>
      <c r="G925" s="347"/>
      <c r="K925" s="237"/>
    </row>
    <row r="926" spans="1:11" ht="28.5">
      <c r="A926" s="346" t="s">
        <v>364</v>
      </c>
      <c r="B926" s="347"/>
      <c r="C926" s="77" t="s">
        <v>3</v>
      </c>
      <c r="D926" s="77" t="s">
        <v>4</v>
      </c>
      <c r="E926" s="77" t="s">
        <v>1826</v>
      </c>
      <c r="F926" s="77" t="s">
        <v>367</v>
      </c>
      <c r="G926" s="77" t="s">
        <v>368</v>
      </c>
      <c r="K926" s="237"/>
    </row>
    <row r="927" spans="1:11" ht="45">
      <c r="A927" s="24">
        <v>7693</v>
      </c>
      <c r="B927" s="78" t="s">
        <v>550</v>
      </c>
      <c r="C927" s="25" t="s">
        <v>12</v>
      </c>
      <c r="D927" s="25" t="s">
        <v>52</v>
      </c>
      <c r="E927" s="26">
        <v>1.0389999999999999</v>
      </c>
      <c r="F927" s="26">
        <f t="shared" ref="F927:F928" si="296">H927</f>
        <v>174.709</v>
      </c>
      <c r="G927" s="26">
        <f t="shared" ref="G927:G928" si="297">ROUND(F927*E927,2)</f>
        <v>181.52</v>
      </c>
      <c r="H927" s="375">
        <v>174.709</v>
      </c>
      <c r="I927" s="28" t="e">
        <f>IF(A927&lt;&gt;0,VLOOKUP(A927,#REF!,2,FALSE),"")</f>
        <v>#REF!</v>
      </c>
      <c r="K927" s="237"/>
    </row>
    <row r="928" spans="1:11" ht="45">
      <c r="A928" s="24">
        <v>88248</v>
      </c>
      <c r="B928" s="78" t="s">
        <v>473</v>
      </c>
      <c r="C928" s="25" t="s">
        <v>12</v>
      </c>
      <c r="D928" s="25" t="s">
        <v>19</v>
      </c>
      <c r="E928" s="26">
        <v>0.34599999999999997</v>
      </c>
      <c r="F928" s="26">
        <f t="shared" si="296"/>
        <v>11.483499999999999</v>
      </c>
      <c r="G928" s="26">
        <f t="shared" si="297"/>
        <v>3.97</v>
      </c>
      <c r="H928" s="375">
        <v>11.483499999999999</v>
      </c>
      <c r="I928" s="28" t="e">
        <f>IF(A928&lt;&gt;0,VLOOKUP(A928,#REF!,2,FALSE),"")</f>
        <v>#REF!</v>
      </c>
      <c r="K928" s="237"/>
    </row>
    <row r="929" spans="1:11" ht="30">
      <c r="A929" s="24">
        <v>88267</v>
      </c>
      <c r="B929" s="78" t="s">
        <v>472</v>
      </c>
      <c r="C929" s="25" t="s">
        <v>12</v>
      </c>
      <c r="D929" s="25" t="s">
        <v>19</v>
      </c>
      <c r="E929" s="26">
        <v>0.34599999999999997</v>
      </c>
      <c r="F929" s="26">
        <f t="shared" ref="F929" si="298">H929</f>
        <v>14.7135</v>
      </c>
      <c r="G929" s="26">
        <f t="shared" ref="G929" si="299">ROUND(F929*E929,2)</f>
        <v>5.09</v>
      </c>
      <c r="H929" s="375">
        <v>14.7135</v>
      </c>
      <c r="I929" s="28" t="e">
        <f>IF(A929&lt;&gt;0,VLOOKUP(A929,#REF!,2,FALSE),"")</f>
        <v>#REF!</v>
      </c>
      <c r="K929" s="237"/>
    </row>
    <row r="930" spans="1:11" ht="15" customHeight="1">
      <c r="A930" s="986" t="s">
        <v>1894</v>
      </c>
      <c r="B930" s="986"/>
      <c r="C930" s="986"/>
      <c r="D930" s="986"/>
      <c r="E930" s="986"/>
      <c r="F930" s="986"/>
      <c r="G930" s="79">
        <f>ROUND(SUM(G927:G929),2)</f>
        <v>190.58</v>
      </c>
      <c r="K930" s="237"/>
    </row>
    <row r="931" spans="1:11" ht="24" customHeight="1">
      <c r="A931" s="80"/>
      <c r="B931" s="80"/>
      <c r="C931" s="352"/>
      <c r="D931" s="353"/>
      <c r="E931" s="80"/>
      <c r="F931" s="80"/>
      <c r="G931" s="80"/>
      <c r="K931" s="237"/>
    </row>
    <row r="932" spans="1:11" ht="43.5" customHeight="1">
      <c r="A932" s="920" t="s">
        <v>2159</v>
      </c>
      <c r="B932" s="921"/>
      <c r="C932" s="921"/>
      <c r="D932" s="921"/>
      <c r="E932" s="929"/>
      <c r="F932" s="75" t="s">
        <v>1915</v>
      </c>
      <c r="G932" s="347"/>
      <c r="K932" s="237"/>
    </row>
    <row r="933" spans="1:11" ht="28.5">
      <c r="A933" s="346" t="s">
        <v>364</v>
      </c>
      <c r="B933" s="347"/>
      <c r="C933" s="77" t="s">
        <v>3</v>
      </c>
      <c r="D933" s="77" t="s">
        <v>4</v>
      </c>
      <c r="E933" s="77" t="s">
        <v>1826</v>
      </c>
      <c r="F933" s="77" t="s">
        <v>367</v>
      </c>
      <c r="G933" s="77" t="s">
        <v>368</v>
      </c>
      <c r="K933" s="237"/>
    </row>
    <row r="934" spans="1:11" ht="30">
      <c r="A934" s="24">
        <v>3148</v>
      </c>
      <c r="B934" s="78" t="s">
        <v>509</v>
      </c>
      <c r="C934" s="25" t="s">
        <v>12</v>
      </c>
      <c r="D934" s="25" t="s">
        <v>17</v>
      </c>
      <c r="E934" s="26">
        <v>2.7E-2</v>
      </c>
      <c r="F934" s="26">
        <f t="shared" ref="F934:F938" si="300">H934</f>
        <v>11.279499999999999</v>
      </c>
      <c r="G934" s="26">
        <f t="shared" ref="G934:G938" si="301">ROUND(F934*E934,2)</f>
        <v>0.3</v>
      </c>
      <c r="H934" s="375">
        <v>11.279499999999999</v>
      </c>
      <c r="I934" s="28" t="e">
        <f>IF(A934&lt;&gt;0,VLOOKUP(A934,#REF!,2,FALSE),"")</f>
        <v>#REF!</v>
      </c>
      <c r="K934" s="237"/>
    </row>
    <row r="935" spans="1:11" ht="30">
      <c r="A935" s="24">
        <v>7307</v>
      </c>
      <c r="B935" s="78" t="s">
        <v>551</v>
      </c>
      <c r="C935" s="25" t="s">
        <v>12</v>
      </c>
      <c r="D935" s="25" t="s">
        <v>381</v>
      </c>
      <c r="E935" s="26">
        <v>3.0000000000000001E-3</v>
      </c>
      <c r="F935" s="26">
        <f t="shared" si="300"/>
        <v>23.630000000000003</v>
      </c>
      <c r="G935" s="26">
        <f t="shared" si="301"/>
        <v>7.0000000000000007E-2</v>
      </c>
      <c r="H935" s="375">
        <v>23.630000000000003</v>
      </c>
      <c r="I935" s="28" t="e">
        <f>IF(A935&lt;&gt;0,VLOOKUP(A935,#REF!,2,FALSE),"")</f>
        <v>#REF!</v>
      </c>
      <c r="K935" s="237"/>
    </row>
    <row r="936" spans="1:11" ht="30">
      <c r="A936" s="24">
        <v>3472</v>
      </c>
      <c r="B936" s="78" t="s">
        <v>552</v>
      </c>
      <c r="C936" s="25" t="s">
        <v>12</v>
      </c>
      <c r="D936" s="25" t="s">
        <v>17</v>
      </c>
      <c r="E936" s="26">
        <v>1</v>
      </c>
      <c r="F936" s="26">
        <f t="shared" si="300"/>
        <v>11.169</v>
      </c>
      <c r="G936" s="26">
        <f t="shared" si="301"/>
        <v>11.17</v>
      </c>
      <c r="H936" s="375">
        <v>11.169</v>
      </c>
      <c r="I936" s="28" t="e">
        <f>IF(A936&lt;&gt;0,VLOOKUP(A936,#REF!,2,FALSE),"")</f>
        <v>#REF!</v>
      </c>
      <c r="K936" s="237"/>
    </row>
    <row r="937" spans="1:11" ht="45">
      <c r="A937" s="24">
        <v>88248</v>
      </c>
      <c r="B937" s="78" t="s">
        <v>473</v>
      </c>
      <c r="C937" s="25" t="s">
        <v>12</v>
      </c>
      <c r="D937" s="25" t="s">
        <v>19</v>
      </c>
      <c r="E937" s="26">
        <v>0.52200000000000002</v>
      </c>
      <c r="F937" s="26">
        <f t="shared" si="300"/>
        <v>11.483499999999999</v>
      </c>
      <c r="G937" s="26">
        <f t="shared" si="301"/>
        <v>5.99</v>
      </c>
      <c r="H937" s="375">
        <v>11.483499999999999</v>
      </c>
      <c r="I937" s="28" t="e">
        <f>IF(A937&lt;&gt;0,VLOOKUP(A937,#REF!,2,FALSE),"")</f>
        <v>#REF!</v>
      </c>
      <c r="K937" s="237"/>
    </row>
    <row r="938" spans="1:11" ht="30">
      <c r="A938" s="24">
        <v>88267</v>
      </c>
      <c r="B938" s="78" t="s">
        <v>472</v>
      </c>
      <c r="C938" s="25" t="s">
        <v>12</v>
      </c>
      <c r="D938" s="25" t="s">
        <v>19</v>
      </c>
      <c r="E938" s="26">
        <v>0.52200000000000002</v>
      </c>
      <c r="F938" s="26">
        <f t="shared" si="300"/>
        <v>14.7135</v>
      </c>
      <c r="G938" s="26">
        <f t="shared" si="301"/>
        <v>7.68</v>
      </c>
      <c r="H938" s="375">
        <v>14.7135</v>
      </c>
      <c r="I938" s="28" t="e">
        <f>IF(A938&lt;&gt;0,VLOOKUP(A938,#REF!,2,FALSE),"")</f>
        <v>#REF!</v>
      </c>
      <c r="K938" s="237"/>
    </row>
    <row r="939" spans="1:11" ht="15" customHeight="1">
      <c r="A939" s="986" t="s">
        <v>1894</v>
      </c>
      <c r="B939" s="986"/>
      <c r="C939" s="986"/>
      <c r="D939" s="986"/>
      <c r="E939" s="986"/>
      <c r="F939" s="986"/>
      <c r="G939" s="79">
        <f>ROUND(SUM(G934:G938),2)</f>
        <v>25.21</v>
      </c>
      <c r="K939" s="237"/>
    </row>
    <row r="940" spans="1:11" ht="21" customHeight="1">
      <c r="A940" s="80"/>
      <c r="B940" s="80"/>
      <c r="C940" s="352"/>
      <c r="D940" s="353"/>
      <c r="E940" s="80"/>
      <c r="F940" s="80"/>
      <c r="G940" s="80"/>
      <c r="K940" s="237"/>
    </row>
    <row r="941" spans="1:11" ht="15" customHeight="1">
      <c r="A941" s="920" t="s">
        <v>2160</v>
      </c>
      <c r="B941" s="921"/>
      <c r="C941" s="921"/>
      <c r="D941" s="921"/>
      <c r="E941" s="929"/>
      <c r="F941" s="75" t="s">
        <v>1915</v>
      </c>
      <c r="G941" s="347"/>
      <c r="K941" s="237"/>
    </row>
    <row r="942" spans="1:11" ht="28.5">
      <c r="A942" s="346" t="s">
        <v>364</v>
      </c>
      <c r="B942" s="347"/>
      <c r="C942" s="77" t="s">
        <v>3</v>
      </c>
      <c r="D942" s="77" t="s">
        <v>4</v>
      </c>
      <c r="E942" s="77" t="s">
        <v>1826</v>
      </c>
      <c r="F942" s="77" t="s">
        <v>367</v>
      </c>
      <c r="G942" s="77" t="s">
        <v>368</v>
      </c>
      <c r="K942" s="237"/>
    </row>
    <row r="943" spans="1:11" ht="30">
      <c r="A943" s="24">
        <v>3590</v>
      </c>
      <c r="B943" s="78" t="s">
        <v>553</v>
      </c>
      <c r="C943" s="25" t="s">
        <v>12</v>
      </c>
      <c r="D943" s="25" t="s">
        <v>17</v>
      </c>
      <c r="E943" s="26">
        <v>1</v>
      </c>
      <c r="F943" s="26">
        <f t="shared" ref="F943:F945" si="302">H943</f>
        <v>185.03649999999999</v>
      </c>
      <c r="G943" s="26">
        <f t="shared" ref="G943:G945" si="303">ROUND(F943*E943,2)</f>
        <v>185.04</v>
      </c>
      <c r="H943" s="375">
        <v>185.03649999999999</v>
      </c>
      <c r="I943" s="28" t="e">
        <f>IF(A943&lt;&gt;0,VLOOKUP(A943,#REF!,2,FALSE),"")</f>
        <v>#REF!</v>
      </c>
      <c r="K943" s="237"/>
    </row>
    <row r="944" spans="1:11" ht="30">
      <c r="A944" s="24">
        <v>88267</v>
      </c>
      <c r="B944" s="78" t="s">
        <v>472</v>
      </c>
      <c r="C944" s="25" t="s">
        <v>12</v>
      </c>
      <c r="D944" s="25" t="s">
        <v>19</v>
      </c>
      <c r="E944" s="26">
        <v>0.52</v>
      </c>
      <c r="F944" s="26">
        <f t="shared" si="302"/>
        <v>14.7135</v>
      </c>
      <c r="G944" s="26">
        <f t="shared" si="303"/>
        <v>7.65</v>
      </c>
      <c r="H944" s="375">
        <v>14.7135</v>
      </c>
      <c r="I944" s="28" t="e">
        <f>IF(A944&lt;&gt;0,VLOOKUP(A944,#REF!,2,FALSE),"")</f>
        <v>#REF!</v>
      </c>
      <c r="K944" s="237"/>
    </row>
    <row r="945" spans="1:11" ht="45">
      <c r="A945" s="24">
        <v>88248</v>
      </c>
      <c r="B945" s="78" t="s">
        <v>473</v>
      </c>
      <c r="C945" s="25" t="s">
        <v>12</v>
      </c>
      <c r="D945" s="25" t="s">
        <v>19</v>
      </c>
      <c r="E945" s="26">
        <v>0.52</v>
      </c>
      <c r="F945" s="26">
        <f t="shared" si="302"/>
        <v>11.483499999999999</v>
      </c>
      <c r="G945" s="26">
        <f t="shared" si="303"/>
        <v>5.97</v>
      </c>
      <c r="H945" s="375">
        <v>11.483499999999999</v>
      </c>
      <c r="I945" s="28" t="e">
        <f>IF(A945&lt;&gt;0,VLOOKUP(A945,#REF!,2,FALSE),"")</f>
        <v>#REF!</v>
      </c>
      <c r="K945" s="237"/>
    </row>
    <row r="946" spans="1:11">
      <c r="A946" s="986" t="s">
        <v>1894</v>
      </c>
      <c r="B946" s="986"/>
      <c r="C946" s="986"/>
      <c r="D946" s="986"/>
      <c r="E946" s="986"/>
      <c r="F946" s="986"/>
      <c r="G946" s="79">
        <f>ROUND(SUM(G943:G945),2)</f>
        <v>198.66</v>
      </c>
      <c r="I946" s="28"/>
      <c r="K946" s="237"/>
    </row>
    <row r="947" spans="1:11" ht="32.25" customHeight="1">
      <c r="A947" s="80"/>
      <c r="B947" s="80"/>
      <c r="C947" s="352"/>
      <c r="D947" s="353"/>
      <c r="E947" s="80"/>
      <c r="F947" s="80"/>
      <c r="G947" s="80"/>
      <c r="K947" s="237"/>
    </row>
    <row r="948" spans="1:11" ht="31.5" customHeight="1">
      <c r="A948" s="920" t="s">
        <v>2161</v>
      </c>
      <c r="B948" s="921"/>
      <c r="C948" s="921"/>
      <c r="D948" s="921"/>
      <c r="E948" s="929"/>
      <c r="F948" s="75" t="s">
        <v>1915</v>
      </c>
      <c r="G948" s="347"/>
      <c r="K948" s="237"/>
    </row>
    <row r="949" spans="1:11" ht="28.5">
      <c r="A949" s="346" t="s">
        <v>364</v>
      </c>
      <c r="B949" s="347"/>
      <c r="C949" s="77" t="s">
        <v>3</v>
      </c>
      <c r="D949" s="77" t="s">
        <v>4</v>
      </c>
      <c r="E949" s="77" t="s">
        <v>1826</v>
      </c>
      <c r="F949" s="77" t="s">
        <v>367</v>
      </c>
      <c r="G949" s="77" t="s">
        <v>368</v>
      </c>
      <c r="K949" s="237"/>
    </row>
    <row r="950" spans="1:11" ht="30">
      <c r="A950" s="24">
        <v>83</v>
      </c>
      <c r="B950" s="78" t="s">
        <v>554</v>
      </c>
      <c r="C950" s="25" t="s">
        <v>12</v>
      </c>
      <c r="D950" s="25" t="s">
        <v>17</v>
      </c>
      <c r="E950" s="26">
        <v>1</v>
      </c>
      <c r="F950" s="26">
        <f t="shared" ref="F950" si="304">H950</f>
        <v>162.25649999999999</v>
      </c>
      <c r="G950" s="26">
        <f t="shared" ref="G950" si="305">ROUND(F950*E950,2)</f>
        <v>162.26</v>
      </c>
      <c r="H950" s="375">
        <v>162.25649999999999</v>
      </c>
      <c r="I950" s="28" t="e">
        <f>IF(A950&lt;&gt;0,VLOOKUP(A950,#REF!,2,FALSE),"")</f>
        <v>#REF!</v>
      </c>
      <c r="K950" s="237"/>
    </row>
    <row r="951" spans="1:11" ht="30">
      <c r="A951" s="24">
        <v>88267</v>
      </c>
      <c r="B951" s="78" t="s">
        <v>472</v>
      </c>
      <c r="C951" s="25" t="s">
        <v>12</v>
      </c>
      <c r="D951" s="25" t="s">
        <v>19</v>
      </c>
      <c r="E951" s="26">
        <v>0.32</v>
      </c>
      <c r="F951" s="26">
        <f t="shared" ref="F951:F952" si="306">H951</f>
        <v>14.7135</v>
      </c>
      <c r="G951" s="26">
        <f t="shared" ref="G951:G952" si="307">ROUND(F951*E951,2)</f>
        <v>4.71</v>
      </c>
      <c r="H951" s="375">
        <v>14.7135</v>
      </c>
      <c r="I951" s="28" t="e">
        <f>IF(A951&lt;&gt;0,VLOOKUP(A951,#REF!,2,FALSE),"")</f>
        <v>#REF!</v>
      </c>
      <c r="K951" s="237"/>
    </row>
    <row r="952" spans="1:11" ht="45">
      <c r="A952" s="24">
        <v>88248</v>
      </c>
      <c r="B952" s="78" t="s">
        <v>473</v>
      </c>
      <c r="C952" s="25" t="s">
        <v>12</v>
      </c>
      <c r="D952" s="25" t="s">
        <v>19</v>
      </c>
      <c r="E952" s="26">
        <v>0.32</v>
      </c>
      <c r="F952" s="26">
        <f t="shared" si="306"/>
        <v>11.483499999999999</v>
      </c>
      <c r="G952" s="26">
        <f t="shared" si="307"/>
        <v>3.67</v>
      </c>
      <c r="H952" s="375">
        <v>11.483499999999999</v>
      </c>
      <c r="I952" s="28" t="e">
        <f>IF(A952&lt;&gt;0,VLOOKUP(A952,#REF!,2,FALSE),"")</f>
        <v>#REF!</v>
      </c>
      <c r="K952" s="237"/>
    </row>
    <row r="953" spans="1:11" ht="15" customHeight="1">
      <c r="A953" s="986" t="s">
        <v>1894</v>
      </c>
      <c r="B953" s="986"/>
      <c r="C953" s="986"/>
      <c r="D953" s="986"/>
      <c r="E953" s="986"/>
      <c r="F953" s="986"/>
      <c r="G953" s="79">
        <f>ROUND(SUM(G950:G952),2)</f>
        <v>170.64</v>
      </c>
      <c r="K953" s="237"/>
    </row>
    <row r="954" spans="1:11" ht="24.75" customHeight="1">
      <c r="A954" s="80"/>
      <c r="B954" s="80"/>
      <c r="C954" s="352"/>
      <c r="D954" s="353"/>
      <c r="E954" s="80"/>
      <c r="F954" s="80"/>
      <c r="G954" s="80"/>
      <c r="K954" s="237"/>
    </row>
    <row r="955" spans="1:11" ht="15" customHeight="1">
      <c r="A955" s="920" t="s">
        <v>2162</v>
      </c>
      <c r="B955" s="921"/>
      <c r="C955" s="921"/>
      <c r="D955" s="921"/>
      <c r="E955" s="929"/>
      <c r="F955" s="75" t="s">
        <v>1915</v>
      </c>
      <c r="G955" s="347"/>
      <c r="K955" s="237"/>
    </row>
    <row r="956" spans="1:11" ht="28.5">
      <c r="A956" s="346" t="s">
        <v>364</v>
      </c>
      <c r="B956" s="347"/>
      <c r="C956" s="77" t="s">
        <v>3</v>
      </c>
      <c r="D956" s="77" t="s">
        <v>4</v>
      </c>
      <c r="E956" s="77" t="s">
        <v>1826</v>
      </c>
      <c r="F956" s="77" t="s">
        <v>367</v>
      </c>
      <c r="G956" s="77" t="s">
        <v>368</v>
      </c>
      <c r="K956" s="237"/>
    </row>
    <row r="957" spans="1:11" ht="30">
      <c r="A957" s="24">
        <v>13279</v>
      </c>
      <c r="B957" s="78" t="s">
        <v>555</v>
      </c>
      <c r="C957" s="25" t="s">
        <v>12</v>
      </c>
      <c r="D957" s="25" t="s">
        <v>45</v>
      </c>
      <c r="E957" s="26">
        <v>4.32</v>
      </c>
      <c r="F957" s="26">
        <f t="shared" ref="F957" si="308">H957</f>
        <v>9.7495000000000012</v>
      </c>
      <c r="G957" s="26">
        <f t="shared" ref="G957" si="309">ROUND(F957*E957,2)</f>
        <v>42.12</v>
      </c>
      <c r="H957" s="375">
        <v>9.7495000000000012</v>
      </c>
      <c r="I957" s="28" t="e">
        <f>IF(A957&lt;&gt;0,VLOOKUP(A957,#REF!,2,FALSE),"")</f>
        <v>#REF!</v>
      </c>
      <c r="K957" s="237"/>
    </row>
    <row r="958" spans="1:11" ht="45">
      <c r="A958" s="24">
        <v>88248</v>
      </c>
      <c r="B958" s="78" t="s">
        <v>473</v>
      </c>
      <c r="C958" s="25" t="s">
        <v>12</v>
      </c>
      <c r="D958" s="25" t="s">
        <v>19</v>
      </c>
      <c r="E958" s="26">
        <v>0.13</v>
      </c>
      <c r="F958" s="26">
        <f t="shared" ref="F958:F959" si="310">H958</f>
        <v>11.483499999999999</v>
      </c>
      <c r="G958" s="26">
        <f t="shared" ref="G958:G959" si="311">ROUND(F958*E958,2)</f>
        <v>1.49</v>
      </c>
      <c r="H958" s="375">
        <v>11.483499999999999</v>
      </c>
      <c r="I958" s="28" t="e">
        <f>IF(A958&lt;&gt;0,VLOOKUP(A958,#REF!,2,FALSE),"")</f>
        <v>#REF!</v>
      </c>
      <c r="K958" s="237"/>
    </row>
    <row r="959" spans="1:11" ht="30">
      <c r="A959" s="24">
        <v>88267</v>
      </c>
      <c r="B959" s="78" t="s">
        <v>472</v>
      </c>
      <c r="C959" s="25" t="s">
        <v>12</v>
      </c>
      <c r="D959" s="25" t="s">
        <v>19</v>
      </c>
      <c r="E959" s="26">
        <v>0.13</v>
      </c>
      <c r="F959" s="26">
        <f t="shared" si="310"/>
        <v>14.7135</v>
      </c>
      <c r="G959" s="26">
        <f t="shared" si="311"/>
        <v>1.91</v>
      </c>
      <c r="H959" s="375">
        <v>14.7135</v>
      </c>
      <c r="I959" s="28" t="e">
        <f>IF(A959&lt;&gt;0,VLOOKUP(A959,#REF!,2,FALSE),"")</f>
        <v>#REF!</v>
      </c>
      <c r="K959" s="237"/>
    </row>
    <row r="960" spans="1:11" ht="15" customHeight="1">
      <c r="A960" s="986" t="s">
        <v>1894</v>
      </c>
      <c r="B960" s="986"/>
      <c r="C960" s="986"/>
      <c r="D960" s="986"/>
      <c r="E960" s="986"/>
      <c r="F960" s="986"/>
      <c r="G960" s="79">
        <f>ROUND(SUM(G957:G959),2)</f>
        <v>45.52</v>
      </c>
      <c r="K960" s="237"/>
    </row>
    <row r="961" spans="1:11" ht="25.5" customHeight="1">
      <c r="A961" s="80"/>
      <c r="B961" s="80"/>
      <c r="C961" s="352"/>
      <c r="D961" s="353"/>
      <c r="E961" s="80"/>
      <c r="F961" s="80"/>
      <c r="G961" s="80"/>
      <c r="K961" s="237"/>
    </row>
    <row r="962" spans="1:11">
      <c r="A962" s="80"/>
      <c r="B962" s="80"/>
      <c r="C962" s="352"/>
      <c r="D962" s="353"/>
      <c r="E962" s="80"/>
      <c r="F962" s="80"/>
      <c r="G962" s="80"/>
      <c r="K962" s="237"/>
    </row>
    <row r="963" spans="1:11" ht="24.75" customHeight="1">
      <c r="A963" s="920" t="s">
        <v>2163</v>
      </c>
      <c r="B963" s="921"/>
      <c r="C963" s="921"/>
      <c r="D963" s="921"/>
      <c r="E963" s="922"/>
      <c r="F963" s="75" t="s">
        <v>1915</v>
      </c>
      <c r="G963" s="347"/>
      <c r="K963" s="237"/>
    </row>
    <row r="964" spans="1:11" ht="28.5">
      <c r="A964" s="346" t="s">
        <v>364</v>
      </c>
      <c r="B964" s="347"/>
      <c r="C964" s="77" t="s">
        <v>3</v>
      </c>
      <c r="D964" s="77" t="s">
        <v>4</v>
      </c>
      <c r="E964" s="77" t="s">
        <v>1826</v>
      </c>
      <c r="F964" s="77" t="s">
        <v>367</v>
      </c>
      <c r="G964" s="77" t="s">
        <v>368</v>
      </c>
      <c r="K964" s="237"/>
    </row>
    <row r="965" spans="1:11">
      <c r="A965" s="24">
        <v>3768</v>
      </c>
      <c r="B965" s="78" t="s">
        <v>556</v>
      </c>
      <c r="C965" s="25" t="s">
        <v>12</v>
      </c>
      <c r="D965" s="25" t="s">
        <v>17</v>
      </c>
      <c r="E965" s="26">
        <v>0.6</v>
      </c>
      <c r="F965" s="26">
        <f t="shared" ref="F965" si="312">H965</f>
        <v>2.4990000000000001</v>
      </c>
      <c r="G965" s="26">
        <f t="shared" ref="G965" si="313">ROUND(F965*E965,2)</f>
        <v>1.5</v>
      </c>
      <c r="H965" s="375">
        <v>2.4990000000000001</v>
      </c>
      <c r="I965" s="28" t="e">
        <f>IF(A965&lt;&gt;0,VLOOKUP(A965,#REF!,2,FALSE),"")</f>
        <v>#REF!</v>
      </c>
      <c r="K965" s="237"/>
    </row>
    <row r="966" spans="1:11">
      <c r="A966" s="24">
        <v>5318</v>
      </c>
      <c r="B966" s="78" t="s">
        <v>557</v>
      </c>
      <c r="C966" s="25" t="s">
        <v>12</v>
      </c>
      <c r="D966" s="25" t="s">
        <v>381</v>
      </c>
      <c r="E966" s="26">
        <v>7.0000000000000007E-2</v>
      </c>
      <c r="F966" s="26">
        <f t="shared" ref="F966:F969" si="314">H966</f>
        <v>14.407499999999999</v>
      </c>
      <c r="G966" s="26">
        <f t="shared" ref="G966:G969" si="315">ROUND(F966*E966,2)</f>
        <v>1.01</v>
      </c>
      <c r="H966" s="375">
        <v>14.407499999999999</v>
      </c>
      <c r="I966" s="28" t="e">
        <f>IF(A966&lt;&gt;0,VLOOKUP(A966,#REF!,2,FALSE),"")</f>
        <v>#REF!</v>
      </c>
      <c r="K966" s="237"/>
    </row>
    <row r="967" spans="1:11">
      <c r="A967" s="24">
        <v>7288</v>
      </c>
      <c r="B967" s="78" t="s">
        <v>558</v>
      </c>
      <c r="C967" s="25" t="s">
        <v>12</v>
      </c>
      <c r="D967" s="25" t="s">
        <v>381</v>
      </c>
      <c r="E967" s="26">
        <v>0.16</v>
      </c>
      <c r="F967" s="26">
        <f t="shared" si="314"/>
        <v>22.2105</v>
      </c>
      <c r="G967" s="26">
        <f t="shared" si="315"/>
        <v>3.55</v>
      </c>
      <c r="H967" s="375">
        <v>22.2105</v>
      </c>
      <c r="I967" s="28" t="e">
        <f>IF(A967&lt;&gt;0,VLOOKUP(A967,#REF!,2,FALSE),"")</f>
        <v>#REF!</v>
      </c>
      <c r="K967" s="237"/>
    </row>
    <row r="968" spans="1:11">
      <c r="A968" s="24">
        <v>88310</v>
      </c>
      <c r="B968" s="78" t="s">
        <v>382</v>
      </c>
      <c r="C968" s="25" t="s">
        <v>12</v>
      </c>
      <c r="D968" s="25" t="s">
        <v>19</v>
      </c>
      <c r="E968" s="26">
        <v>0.5</v>
      </c>
      <c r="F968" s="26">
        <f t="shared" si="314"/>
        <v>15.98</v>
      </c>
      <c r="G968" s="26">
        <f t="shared" si="315"/>
        <v>7.99</v>
      </c>
      <c r="H968" s="375">
        <v>15.98</v>
      </c>
      <c r="I968" s="28" t="e">
        <f>IF(A968&lt;&gt;0,VLOOKUP(A968,#REF!,2,FALSE),"")</f>
        <v>#REF!</v>
      </c>
      <c r="K968" s="237"/>
    </row>
    <row r="969" spans="1:11" ht="30">
      <c r="A969" s="24">
        <v>88316</v>
      </c>
      <c r="B969" s="78" t="s">
        <v>377</v>
      </c>
      <c r="C969" s="25" t="s">
        <v>12</v>
      </c>
      <c r="D969" s="25" t="s">
        <v>19</v>
      </c>
      <c r="E969" s="26">
        <v>0.5</v>
      </c>
      <c r="F969" s="26">
        <f t="shared" si="314"/>
        <v>11.798000000000002</v>
      </c>
      <c r="G969" s="26">
        <f t="shared" si="315"/>
        <v>5.9</v>
      </c>
      <c r="H969" s="375">
        <v>11.798000000000002</v>
      </c>
      <c r="I969" s="28" t="e">
        <f>IF(A969&lt;&gt;0,VLOOKUP(A969,#REF!,2,FALSE),"")</f>
        <v>#REF!</v>
      </c>
      <c r="K969" s="237"/>
    </row>
    <row r="970" spans="1:11" ht="15" customHeight="1">
      <c r="A970" s="986" t="s">
        <v>1894</v>
      </c>
      <c r="B970" s="986"/>
      <c r="C970" s="986"/>
      <c r="D970" s="986"/>
      <c r="E970" s="986"/>
      <c r="F970" s="986"/>
      <c r="G970" s="79">
        <f>ROUND(SUM(G965:G969),2)</f>
        <v>19.95</v>
      </c>
      <c r="K970" s="237"/>
    </row>
    <row r="971" spans="1:11" ht="26.25" customHeight="1">
      <c r="A971" s="80"/>
      <c r="B971" s="80"/>
      <c r="C971" s="352"/>
      <c r="D971" s="353"/>
      <c r="E971" s="80"/>
      <c r="F971" s="80"/>
      <c r="G971" s="80"/>
      <c r="K971" s="237"/>
    </row>
    <row r="972" spans="1:11" ht="22.5" customHeight="1">
      <c r="A972" s="920" t="s">
        <v>2211</v>
      </c>
      <c r="B972" s="921"/>
      <c r="C972" s="921"/>
      <c r="D972" s="921"/>
      <c r="E972" s="922"/>
      <c r="F972" s="75" t="s">
        <v>70</v>
      </c>
      <c r="G972" s="347"/>
      <c r="K972" s="237"/>
    </row>
    <row r="973" spans="1:11" ht="28.5">
      <c r="A973" s="346" t="s">
        <v>364</v>
      </c>
      <c r="B973" s="347"/>
      <c r="C973" s="77" t="s">
        <v>3</v>
      </c>
      <c r="D973" s="77" t="s">
        <v>4</v>
      </c>
      <c r="E973" s="77" t="s">
        <v>1826</v>
      </c>
      <c r="F973" s="77" t="s">
        <v>367</v>
      </c>
      <c r="G973" s="77" t="s">
        <v>368</v>
      </c>
      <c r="K973" s="237"/>
    </row>
    <row r="974" spans="1:11">
      <c r="A974" s="86">
        <v>3146</v>
      </c>
      <c r="B974" s="85" t="s">
        <v>559</v>
      </c>
      <c r="C974" s="86" t="s">
        <v>12</v>
      </c>
      <c r="D974" s="86" t="s">
        <v>17</v>
      </c>
      <c r="E974" s="81">
        <v>0.2</v>
      </c>
      <c r="F974" s="26">
        <f t="shared" ref="F974:F975" si="316">H974</f>
        <v>3.06</v>
      </c>
      <c r="G974" s="26">
        <f t="shared" ref="G974:G975" si="317">ROUND(F974*E974,2)</f>
        <v>0.61</v>
      </c>
      <c r="H974" s="375">
        <v>3.06</v>
      </c>
      <c r="I974" s="28" t="e">
        <f>IF(A974&lt;&gt;0,VLOOKUP(A974,#REF!,2,FALSE),"")</f>
        <v>#REF!</v>
      </c>
      <c r="K974" s="237"/>
    </row>
    <row r="975" spans="1:11" s="28" customFormat="1" ht="30">
      <c r="A975" s="84">
        <v>1246</v>
      </c>
      <c r="B975" s="85" t="s">
        <v>560</v>
      </c>
      <c r="C975" s="86" t="s">
        <v>70</v>
      </c>
      <c r="D975" s="86" t="s">
        <v>17</v>
      </c>
      <c r="E975" s="81">
        <v>1</v>
      </c>
      <c r="F975" s="26">
        <f t="shared" si="316"/>
        <v>570.05250000000001</v>
      </c>
      <c r="G975" s="26">
        <f t="shared" si="317"/>
        <v>570.04999999999995</v>
      </c>
      <c r="H975" s="374">
        <v>570.05250000000001</v>
      </c>
      <c r="J975" s="374"/>
      <c r="K975" s="237"/>
    </row>
    <row r="976" spans="1:11" ht="30">
      <c r="A976" s="84">
        <v>88267</v>
      </c>
      <c r="B976" s="85" t="s">
        <v>472</v>
      </c>
      <c r="C976" s="86" t="s">
        <v>12</v>
      </c>
      <c r="D976" s="86" t="s">
        <v>19</v>
      </c>
      <c r="E976" s="81">
        <v>1.1499999999999999</v>
      </c>
      <c r="F976" s="26">
        <f t="shared" ref="F976:F977" si="318">H976</f>
        <v>14.7135</v>
      </c>
      <c r="G976" s="26">
        <f t="shared" ref="G976:G977" si="319">ROUND(F976*E976,2)</f>
        <v>16.920000000000002</v>
      </c>
      <c r="H976" s="375">
        <v>14.7135</v>
      </c>
      <c r="I976" s="28" t="e">
        <f>IF(A976&lt;&gt;0,VLOOKUP(A976,#REF!,2,FALSE),"")</f>
        <v>#REF!</v>
      </c>
      <c r="K976" s="237"/>
    </row>
    <row r="977" spans="1:11" ht="45">
      <c r="A977" s="84">
        <v>88248</v>
      </c>
      <c r="B977" s="85" t="s">
        <v>473</v>
      </c>
      <c r="C977" s="86" t="s">
        <v>12</v>
      </c>
      <c r="D977" s="86" t="s">
        <v>19</v>
      </c>
      <c r="E977" s="81">
        <v>1.1499999999999999</v>
      </c>
      <c r="F977" s="26">
        <f t="shared" si="318"/>
        <v>11.483499999999999</v>
      </c>
      <c r="G977" s="26">
        <f t="shared" si="319"/>
        <v>13.21</v>
      </c>
      <c r="H977" s="375">
        <v>11.483499999999999</v>
      </c>
      <c r="I977" s="28" t="e">
        <f>IF(A977&lt;&gt;0,VLOOKUP(A977,#REF!,2,FALSE),"")</f>
        <v>#REF!</v>
      </c>
      <c r="K977" s="237"/>
    </row>
    <row r="978" spans="1:11" ht="15" customHeight="1">
      <c r="A978" s="986" t="s">
        <v>1894</v>
      </c>
      <c r="B978" s="986"/>
      <c r="C978" s="986"/>
      <c r="D978" s="986"/>
      <c r="E978" s="986"/>
      <c r="F978" s="986"/>
      <c r="G978" s="79">
        <f>ROUND(SUM(G974:G977),2)</f>
        <v>600.79</v>
      </c>
      <c r="K978" s="237"/>
    </row>
    <row r="979" spans="1:11" ht="29.25" customHeight="1">
      <c r="A979" s="80"/>
      <c r="B979" s="80"/>
      <c r="C979" s="352"/>
      <c r="D979" s="353"/>
      <c r="E979" s="80"/>
      <c r="F979" s="80"/>
      <c r="G979" s="80"/>
      <c r="K979" s="237"/>
    </row>
    <row r="980" spans="1:11" ht="27.75" customHeight="1">
      <c r="A980" s="920" t="s">
        <v>2213</v>
      </c>
      <c r="B980" s="921"/>
      <c r="C980" s="921"/>
      <c r="D980" s="921"/>
      <c r="E980" s="929"/>
      <c r="F980" s="75" t="s">
        <v>70</v>
      </c>
      <c r="G980" s="347"/>
      <c r="K980" s="237"/>
    </row>
    <row r="981" spans="1:11" ht="28.5">
      <c r="A981" s="346" t="s">
        <v>364</v>
      </c>
      <c r="B981" s="347"/>
      <c r="C981" s="77" t="s">
        <v>3</v>
      </c>
      <c r="D981" s="77" t="s">
        <v>4</v>
      </c>
      <c r="E981" s="77" t="s">
        <v>1826</v>
      </c>
      <c r="F981" s="77" t="s">
        <v>367</v>
      </c>
      <c r="G981" s="77" t="s">
        <v>368</v>
      </c>
      <c r="K981" s="237"/>
    </row>
    <row r="982" spans="1:11">
      <c r="A982" s="84">
        <v>6240</v>
      </c>
      <c r="B982" s="85" t="s">
        <v>2212</v>
      </c>
      <c r="C982" s="86" t="s">
        <v>12</v>
      </c>
      <c r="D982" s="86" t="s">
        <v>17</v>
      </c>
      <c r="E982" s="81">
        <v>1</v>
      </c>
      <c r="F982" s="26">
        <f t="shared" ref="F982:F983" si="320">H982</f>
        <v>675.24849999999992</v>
      </c>
      <c r="G982" s="26">
        <f t="shared" ref="G982:G983" si="321">ROUND(F982*E982,2)</f>
        <v>675.25</v>
      </c>
      <c r="H982" s="375">
        <v>675.24849999999992</v>
      </c>
      <c r="I982" s="28" t="e">
        <f>IF(A982&lt;&gt;0,VLOOKUP(A982,#REF!,2,FALSE),"")</f>
        <v>#REF!</v>
      </c>
      <c r="K982" s="237"/>
    </row>
    <row r="983" spans="1:11" ht="30">
      <c r="A983" s="84">
        <v>88316</v>
      </c>
      <c r="B983" s="85" t="s">
        <v>377</v>
      </c>
      <c r="C983" s="86" t="s">
        <v>12</v>
      </c>
      <c r="D983" s="86" t="s">
        <v>19</v>
      </c>
      <c r="E983" s="81">
        <v>1.5</v>
      </c>
      <c r="F983" s="26">
        <f t="shared" si="320"/>
        <v>11.798000000000002</v>
      </c>
      <c r="G983" s="26">
        <f t="shared" si="321"/>
        <v>17.7</v>
      </c>
      <c r="H983" s="375">
        <v>11.798000000000002</v>
      </c>
      <c r="I983" s="28" t="e">
        <f>IF(A983&lt;&gt;0,VLOOKUP(A983,#REF!,2,FALSE),"")</f>
        <v>#REF!</v>
      </c>
      <c r="K983" s="237"/>
    </row>
    <row r="984" spans="1:11" ht="15" customHeight="1">
      <c r="A984" s="986" t="s">
        <v>1894</v>
      </c>
      <c r="B984" s="986"/>
      <c r="C984" s="986"/>
      <c r="D984" s="986"/>
      <c r="E984" s="986"/>
      <c r="F984" s="986"/>
      <c r="G984" s="79">
        <f>ROUND(SUM(G982:G983),2)</f>
        <v>692.95</v>
      </c>
      <c r="I984" s="28" t="e">
        <f>IF(A984&lt;&gt;0,VLOOKUP(A984,#REF!,2,FALSE),"")</f>
        <v>#REF!</v>
      </c>
      <c r="K984" s="237"/>
    </row>
    <row r="985" spans="1:11" ht="27" customHeight="1">
      <c r="A985" s="80"/>
      <c r="B985" s="80"/>
      <c r="C985" s="352"/>
      <c r="D985" s="353"/>
      <c r="E985" s="80"/>
      <c r="F985" s="80"/>
      <c r="G985" s="80"/>
      <c r="K985" s="237"/>
    </row>
    <row r="986" spans="1:11" ht="32.25" customHeight="1">
      <c r="A986" s="920" t="s">
        <v>2169</v>
      </c>
      <c r="B986" s="921"/>
      <c r="C986" s="921"/>
      <c r="D986" s="921"/>
      <c r="E986" s="922"/>
      <c r="F986" s="75" t="s">
        <v>1915</v>
      </c>
      <c r="G986" s="347"/>
      <c r="K986" s="237"/>
    </row>
    <row r="987" spans="1:11" ht="28.5">
      <c r="A987" s="346" t="s">
        <v>369</v>
      </c>
      <c r="B987" s="347"/>
      <c r="C987" s="77" t="s">
        <v>3</v>
      </c>
      <c r="D987" s="77" t="s">
        <v>4</v>
      </c>
      <c r="E987" s="77" t="s">
        <v>1826</v>
      </c>
      <c r="F987" s="77" t="s">
        <v>367</v>
      </c>
      <c r="G987" s="77" t="s">
        <v>368</v>
      </c>
      <c r="K987" s="237"/>
    </row>
    <row r="988" spans="1:11">
      <c r="A988" s="24">
        <v>88248</v>
      </c>
      <c r="B988" s="78" t="e">
        <f>I988</f>
        <v>#REF!</v>
      </c>
      <c r="C988" s="25" t="s">
        <v>12</v>
      </c>
      <c r="D988" s="25" t="s">
        <v>19</v>
      </c>
      <c r="E988" s="26">
        <v>0.34</v>
      </c>
      <c r="F988" s="26">
        <f t="shared" ref="F988:F989" si="322">H988</f>
        <v>11.483499999999999</v>
      </c>
      <c r="G988" s="26">
        <f t="shared" ref="G988:G989" si="323">ROUND(F988*E988,2)</f>
        <v>3.9</v>
      </c>
      <c r="H988" s="375">
        <v>11.483499999999999</v>
      </c>
      <c r="I988" s="28" t="e">
        <f>IF(A988&lt;&gt;0,VLOOKUP(A988,#REF!,2,FALSE),"")</f>
        <v>#REF!</v>
      </c>
      <c r="K988" s="237"/>
    </row>
    <row r="989" spans="1:11">
      <c r="A989" s="24">
        <v>88267</v>
      </c>
      <c r="B989" s="78" t="e">
        <f>I989</f>
        <v>#REF!</v>
      </c>
      <c r="C989" s="25" t="s">
        <v>12</v>
      </c>
      <c r="D989" s="25" t="s">
        <v>19</v>
      </c>
      <c r="E989" s="26">
        <v>0.34</v>
      </c>
      <c r="F989" s="26">
        <f t="shared" si="322"/>
        <v>14.7135</v>
      </c>
      <c r="G989" s="26">
        <f t="shared" si="323"/>
        <v>5</v>
      </c>
      <c r="H989" s="375">
        <v>14.7135</v>
      </c>
      <c r="I989" s="28" t="e">
        <f>IF(A989&lt;&gt;0,VLOOKUP(A989,#REF!,2,FALSE),"")</f>
        <v>#REF!</v>
      </c>
      <c r="K989" s="237"/>
    </row>
    <row r="990" spans="1:11" ht="45">
      <c r="A990" s="24">
        <v>10905</v>
      </c>
      <c r="B990" s="78" t="s">
        <v>563</v>
      </c>
      <c r="C990" s="25" t="s">
        <v>12</v>
      </c>
      <c r="D990" s="25" t="s">
        <v>17</v>
      </c>
      <c r="E990" s="26">
        <v>1</v>
      </c>
      <c r="F990" s="26">
        <f t="shared" ref="F990" si="324">H990</f>
        <v>67.583500000000001</v>
      </c>
      <c r="G990" s="26">
        <f t="shared" ref="G990" si="325">ROUND(F990*E990,2)</f>
        <v>67.58</v>
      </c>
      <c r="H990" s="375">
        <v>67.583500000000001</v>
      </c>
      <c r="I990" s="28" t="e">
        <f>IF(A990&lt;&gt;0,VLOOKUP(A990,#REF!,2,FALSE),"")</f>
        <v>#REF!</v>
      </c>
      <c r="K990" s="237"/>
    </row>
    <row r="991" spans="1:11" ht="15" customHeight="1">
      <c r="A991" s="986" t="s">
        <v>1894</v>
      </c>
      <c r="B991" s="986"/>
      <c r="C991" s="986"/>
      <c r="D991" s="986"/>
      <c r="E991" s="986"/>
      <c r="F991" s="986"/>
      <c r="G991" s="79">
        <f>ROUND(SUM(G988:G990),2)</f>
        <v>76.48</v>
      </c>
      <c r="K991" s="237"/>
    </row>
    <row r="992" spans="1:11" ht="24.75" customHeight="1">
      <c r="A992" s="80"/>
      <c r="B992" s="80"/>
      <c r="C992" s="352"/>
      <c r="D992" s="353"/>
      <c r="E992" s="80"/>
      <c r="F992" s="80"/>
      <c r="G992" s="80"/>
      <c r="K992" s="237"/>
    </row>
    <row r="993" spans="1:11" ht="21" customHeight="1">
      <c r="A993" s="920" t="s">
        <v>2170</v>
      </c>
      <c r="B993" s="921"/>
      <c r="C993" s="921"/>
      <c r="D993" s="921"/>
      <c r="E993" s="922"/>
      <c r="F993" s="75" t="s">
        <v>44</v>
      </c>
      <c r="G993" s="347"/>
      <c r="K993" s="237"/>
    </row>
    <row r="994" spans="1:11" ht="28.5">
      <c r="A994" s="346" t="s">
        <v>364</v>
      </c>
      <c r="B994" s="347"/>
      <c r="C994" s="77" t="s">
        <v>3</v>
      </c>
      <c r="D994" s="77" t="s">
        <v>4</v>
      </c>
      <c r="E994" s="77" t="s">
        <v>1826</v>
      </c>
      <c r="F994" s="77" t="s">
        <v>367</v>
      </c>
      <c r="G994" s="77" t="s">
        <v>368</v>
      </c>
      <c r="K994" s="237"/>
    </row>
    <row r="995" spans="1:11" s="45" customFormat="1" ht="30">
      <c r="A995" s="24">
        <v>3972</v>
      </c>
      <c r="B995" s="78" t="s">
        <v>564</v>
      </c>
      <c r="C995" s="25" t="s">
        <v>44</v>
      </c>
      <c r="D995" s="25" t="s">
        <v>17</v>
      </c>
      <c r="E995" s="26">
        <v>1.05</v>
      </c>
      <c r="F995" s="26">
        <f t="shared" ref="F995" si="326">H995</f>
        <v>93.075000000000003</v>
      </c>
      <c r="G995" s="26">
        <f t="shared" ref="G995" si="327">ROUND(F995*E995,2)</f>
        <v>97.73</v>
      </c>
      <c r="H995" s="364">
        <v>93.075000000000003</v>
      </c>
      <c r="I995" s="45" t="e">
        <f>IF(A995&lt;&gt;0,VLOOKUP(A995,#REF!,2,FALSE),"")</f>
        <v>#REF!</v>
      </c>
      <c r="J995" s="364"/>
      <c r="K995" s="237"/>
    </row>
    <row r="996" spans="1:11" ht="30">
      <c r="A996" s="24">
        <v>88264</v>
      </c>
      <c r="B996" s="78" t="s">
        <v>379</v>
      </c>
      <c r="C996" s="25" t="s">
        <v>12</v>
      </c>
      <c r="D996" s="25" t="s">
        <v>19</v>
      </c>
      <c r="E996" s="26">
        <v>0.75</v>
      </c>
      <c r="F996" s="26">
        <f t="shared" ref="F996:F997" si="328">H996</f>
        <v>15.249000000000001</v>
      </c>
      <c r="G996" s="26">
        <f t="shared" ref="G996:G997" si="329">ROUND(F996*E996,2)</f>
        <v>11.44</v>
      </c>
      <c r="H996" s="375">
        <v>15.249000000000001</v>
      </c>
      <c r="I996" s="28" t="e">
        <f>IF(A996&lt;&gt;0,VLOOKUP(A996,#REF!,2,FALSE),"")</f>
        <v>#REF!</v>
      </c>
      <c r="K996" s="237"/>
    </row>
    <row r="997" spans="1:11" ht="30">
      <c r="A997" s="24">
        <v>88316</v>
      </c>
      <c r="B997" s="78" t="s">
        <v>377</v>
      </c>
      <c r="C997" s="25" t="s">
        <v>12</v>
      </c>
      <c r="D997" s="25" t="s">
        <v>19</v>
      </c>
      <c r="E997" s="26">
        <v>0.75</v>
      </c>
      <c r="F997" s="26">
        <f t="shared" si="328"/>
        <v>11.798000000000002</v>
      </c>
      <c r="G997" s="26">
        <f t="shared" si="329"/>
        <v>8.85</v>
      </c>
      <c r="H997" s="375">
        <v>11.798000000000002</v>
      </c>
      <c r="I997" s="28" t="e">
        <f>IF(A997&lt;&gt;0,VLOOKUP(A997,#REF!,2,FALSE),"")</f>
        <v>#REF!</v>
      </c>
      <c r="K997" s="237"/>
    </row>
    <row r="998" spans="1:11" ht="15" customHeight="1">
      <c r="A998" s="986" t="s">
        <v>1894</v>
      </c>
      <c r="B998" s="986"/>
      <c r="C998" s="986"/>
      <c r="D998" s="986"/>
      <c r="E998" s="986"/>
      <c r="F998" s="986"/>
      <c r="G998" s="79">
        <f>ROUND(SUM(G995:G997),2)</f>
        <v>118.02</v>
      </c>
      <c r="K998" s="237"/>
    </row>
    <row r="999" spans="1:11" ht="22.5" customHeight="1">
      <c r="A999" s="80"/>
      <c r="B999" s="80"/>
      <c r="C999" s="352"/>
      <c r="D999" s="353"/>
      <c r="E999" s="80"/>
      <c r="F999" s="80"/>
      <c r="G999" s="80"/>
      <c r="K999" s="237"/>
    </row>
    <row r="1000" spans="1:11" ht="23.25" customHeight="1">
      <c r="A1000" s="920" t="s">
        <v>2171</v>
      </c>
      <c r="B1000" s="921"/>
      <c r="C1000" s="921"/>
      <c r="D1000" s="921"/>
      <c r="E1000" s="922"/>
      <c r="F1000" s="75" t="s">
        <v>1915</v>
      </c>
      <c r="G1000" s="347"/>
      <c r="K1000" s="237"/>
    </row>
    <row r="1001" spans="1:11" ht="28.5">
      <c r="A1001" s="346" t="s">
        <v>364</v>
      </c>
      <c r="B1001" s="347"/>
      <c r="C1001" s="77" t="s">
        <v>3</v>
      </c>
      <c r="D1001" s="77" t="s">
        <v>4</v>
      </c>
      <c r="E1001" s="77" t="s">
        <v>1826</v>
      </c>
      <c r="F1001" s="77" t="s">
        <v>367</v>
      </c>
      <c r="G1001" s="77" t="s">
        <v>368</v>
      </c>
      <c r="K1001" s="237"/>
    </row>
    <row r="1002" spans="1:11">
      <c r="A1002" s="24">
        <v>38193</v>
      </c>
      <c r="B1002" s="78" t="s">
        <v>188</v>
      </c>
      <c r="C1002" s="25" t="s">
        <v>12</v>
      </c>
      <c r="D1002" s="25" t="s">
        <v>17</v>
      </c>
      <c r="E1002" s="26">
        <v>1</v>
      </c>
      <c r="F1002" s="26">
        <f t="shared" ref="F1002" si="330">H1002</f>
        <v>8.0495000000000001</v>
      </c>
      <c r="G1002" s="26">
        <f t="shared" ref="G1002" si="331">ROUND(F1002*E1002,2)</f>
        <v>8.0500000000000007</v>
      </c>
      <c r="H1002" s="375">
        <v>8.0495000000000001</v>
      </c>
      <c r="I1002" s="28" t="e">
        <f>IF(A1002&lt;&gt;0,VLOOKUP(A1002,#REF!,2,FALSE),"")</f>
        <v>#REF!</v>
      </c>
      <c r="K1002" s="237"/>
    </row>
    <row r="1003" spans="1:11" ht="30">
      <c r="A1003" s="24">
        <v>88264</v>
      </c>
      <c r="B1003" s="78" t="s">
        <v>379</v>
      </c>
      <c r="C1003" s="25" t="s">
        <v>12</v>
      </c>
      <c r="D1003" s="25" t="s">
        <v>19</v>
      </c>
      <c r="E1003" s="26">
        <v>0.14000000000000001</v>
      </c>
      <c r="F1003" s="26">
        <f t="shared" ref="F1003:F1004" si="332">H1003</f>
        <v>15.249000000000001</v>
      </c>
      <c r="G1003" s="26">
        <f t="shared" ref="G1003:G1004" si="333">ROUND(F1003*E1003,2)</f>
        <v>2.13</v>
      </c>
      <c r="H1003" s="375">
        <v>15.249000000000001</v>
      </c>
      <c r="I1003" s="28" t="e">
        <f>IF(A1003&lt;&gt;0,VLOOKUP(A1003,#REF!,2,FALSE),"")</f>
        <v>#REF!</v>
      </c>
      <c r="K1003" s="237"/>
    </row>
    <row r="1004" spans="1:11" ht="30">
      <c r="A1004" s="24">
        <v>88247</v>
      </c>
      <c r="B1004" s="78" t="s">
        <v>510</v>
      </c>
      <c r="C1004" s="25" t="s">
        <v>12</v>
      </c>
      <c r="D1004" s="25" t="s">
        <v>19</v>
      </c>
      <c r="E1004" s="26">
        <v>0.14000000000000001</v>
      </c>
      <c r="F1004" s="26">
        <f t="shared" si="332"/>
        <v>11.9085</v>
      </c>
      <c r="G1004" s="26">
        <f t="shared" si="333"/>
        <v>1.67</v>
      </c>
      <c r="H1004" s="375">
        <v>11.9085</v>
      </c>
      <c r="I1004" s="28" t="e">
        <f>IF(A1004&lt;&gt;0,VLOOKUP(A1004,#REF!,2,FALSE),"")</f>
        <v>#REF!</v>
      </c>
      <c r="K1004" s="237"/>
    </row>
    <row r="1005" spans="1:11" ht="15" customHeight="1">
      <c r="A1005" s="986" t="s">
        <v>1894</v>
      </c>
      <c r="B1005" s="986"/>
      <c r="C1005" s="986"/>
      <c r="D1005" s="986"/>
      <c r="E1005" s="986"/>
      <c r="F1005" s="986"/>
      <c r="G1005" s="79">
        <f>ROUND(SUM(G1002:G1004),2)</f>
        <v>11.85</v>
      </c>
      <c r="K1005" s="237"/>
    </row>
    <row r="1006" spans="1:11" ht="23.25" customHeight="1">
      <c r="A1006" s="80"/>
      <c r="B1006" s="80"/>
      <c r="C1006" s="352"/>
      <c r="D1006" s="353"/>
      <c r="E1006" s="80"/>
      <c r="F1006" s="80"/>
      <c r="G1006" s="80"/>
      <c r="K1006" s="237"/>
    </row>
    <row r="1007" spans="1:11" ht="26.25" customHeight="1">
      <c r="A1007" s="920" t="s">
        <v>2172</v>
      </c>
      <c r="B1007" s="921"/>
      <c r="C1007" s="921"/>
      <c r="D1007" s="921"/>
      <c r="E1007" s="922"/>
      <c r="F1007" s="75" t="s">
        <v>1915</v>
      </c>
      <c r="G1007" s="347"/>
      <c r="K1007" s="237"/>
    </row>
    <row r="1008" spans="1:11" ht="28.5">
      <c r="A1008" s="346" t="s">
        <v>369</v>
      </c>
      <c r="B1008" s="347"/>
      <c r="C1008" s="77" t="s">
        <v>3</v>
      </c>
      <c r="D1008" s="77" t="s">
        <v>4</v>
      </c>
      <c r="E1008" s="77" t="s">
        <v>1826</v>
      </c>
      <c r="F1008" s="77" t="s">
        <v>367</v>
      </c>
      <c r="G1008" s="77" t="s">
        <v>368</v>
      </c>
      <c r="K1008" s="237"/>
    </row>
    <row r="1009" spans="1:11" ht="30">
      <c r="A1009" s="24">
        <v>88248</v>
      </c>
      <c r="B1009" s="78" t="s">
        <v>561</v>
      </c>
      <c r="C1009" s="25" t="s">
        <v>12</v>
      </c>
      <c r="D1009" s="25" t="s">
        <v>19</v>
      </c>
      <c r="E1009" s="26">
        <v>0.14000000000000001</v>
      </c>
      <c r="F1009" s="26">
        <f t="shared" ref="F1009:F1010" si="334">H1009</f>
        <v>11.483499999999999</v>
      </c>
      <c r="G1009" s="26">
        <f t="shared" ref="G1009:G1010" si="335">ROUND(F1009*E1009,2)</f>
        <v>1.61</v>
      </c>
      <c r="H1009" s="375">
        <v>11.483499999999999</v>
      </c>
      <c r="I1009" s="28" t="e">
        <f>IF(A1009&lt;&gt;0,VLOOKUP(A1009,#REF!,2,FALSE),"")</f>
        <v>#REF!</v>
      </c>
      <c r="K1009" s="237"/>
    </row>
    <row r="1010" spans="1:11">
      <c r="A1010" s="24">
        <v>88267</v>
      </c>
      <c r="B1010" s="78" t="s">
        <v>562</v>
      </c>
      <c r="C1010" s="25" t="s">
        <v>12</v>
      </c>
      <c r="D1010" s="25" t="s">
        <v>19</v>
      </c>
      <c r="E1010" s="26">
        <v>0.14000000000000001</v>
      </c>
      <c r="F1010" s="26">
        <f t="shared" si="334"/>
        <v>14.7135</v>
      </c>
      <c r="G1010" s="26">
        <f t="shared" si="335"/>
        <v>2.06</v>
      </c>
      <c r="H1010" s="375">
        <v>14.7135</v>
      </c>
      <c r="I1010" s="28" t="e">
        <f>IF(A1010&lt;&gt;0,VLOOKUP(A1010,#REF!,2,FALSE),"")</f>
        <v>#REF!</v>
      </c>
      <c r="K1010" s="237"/>
    </row>
    <row r="1011" spans="1:11" s="28" customFormat="1">
      <c r="A1011" s="25" t="s">
        <v>565</v>
      </c>
      <c r="B1011" s="78" t="s">
        <v>189</v>
      </c>
      <c r="C1011" s="25" t="s">
        <v>70</v>
      </c>
      <c r="D1011" s="25" t="s">
        <v>17</v>
      </c>
      <c r="E1011" s="26">
        <v>1</v>
      </c>
      <c r="F1011" s="26">
        <f t="shared" ref="F1011" si="336">H1011</f>
        <v>2441.1999999999998</v>
      </c>
      <c r="G1011" s="26">
        <f t="shared" ref="G1011" si="337">ROUND(F1011*E1011,2)</f>
        <v>2441.1999999999998</v>
      </c>
      <c r="H1011" s="374">
        <v>2441.1999999999998</v>
      </c>
      <c r="J1011" s="374"/>
      <c r="K1011" s="237"/>
    </row>
    <row r="1012" spans="1:11" ht="15" customHeight="1">
      <c r="A1012" s="986" t="s">
        <v>1894</v>
      </c>
      <c r="B1012" s="986"/>
      <c r="C1012" s="986"/>
      <c r="D1012" s="986"/>
      <c r="E1012" s="986"/>
      <c r="F1012" s="986"/>
      <c r="G1012" s="79">
        <f>ROUND(SUM(G1009:G1011),2)</f>
        <v>2444.87</v>
      </c>
      <c r="K1012" s="237"/>
    </row>
    <row r="1013" spans="1:11" ht="25.5" customHeight="1">
      <c r="A1013" s="80"/>
      <c r="B1013" s="80"/>
      <c r="C1013" s="352"/>
      <c r="D1013" s="353"/>
      <c r="E1013" s="80"/>
      <c r="F1013" s="80"/>
      <c r="G1013" s="80"/>
      <c r="K1013" s="237"/>
    </row>
    <row r="1014" spans="1:11" ht="15" customHeight="1">
      <c r="A1014" s="920" t="s">
        <v>2173</v>
      </c>
      <c r="B1014" s="921"/>
      <c r="C1014" s="921"/>
      <c r="D1014" s="921"/>
      <c r="E1014" s="922"/>
      <c r="F1014" s="75" t="s">
        <v>70</v>
      </c>
      <c r="G1014" s="347"/>
      <c r="K1014" s="237"/>
    </row>
    <row r="1015" spans="1:11" ht="28.5">
      <c r="A1015" s="346" t="s">
        <v>364</v>
      </c>
      <c r="B1015" s="347"/>
      <c r="C1015" s="77" t="s">
        <v>3</v>
      </c>
      <c r="D1015" s="77" t="s">
        <v>4</v>
      </c>
      <c r="E1015" s="77" t="s">
        <v>1826</v>
      </c>
      <c r="F1015" s="77" t="s">
        <v>367</v>
      </c>
      <c r="G1015" s="77" t="s">
        <v>368</v>
      </c>
      <c r="K1015" s="237"/>
    </row>
    <row r="1016" spans="1:11">
      <c r="A1016" s="24">
        <v>10405</v>
      </c>
      <c r="B1016" s="78" t="s">
        <v>566</v>
      </c>
      <c r="C1016" s="25" t="s">
        <v>12</v>
      </c>
      <c r="D1016" s="25" t="s">
        <v>17</v>
      </c>
      <c r="E1016" s="26">
        <v>1</v>
      </c>
      <c r="F1016" s="26">
        <f t="shared" ref="F1016" si="338">H1016</f>
        <v>315.96200000000005</v>
      </c>
      <c r="G1016" s="26">
        <f t="shared" ref="G1016" si="339">ROUND(F1016*E1016,2)</f>
        <v>315.95999999999998</v>
      </c>
      <c r="H1016" s="375">
        <v>315.96200000000005</v>
      </c>
      <c r="I1016" s="28" t="e">
        <f>IF(A1016&lt;&gt;0,VLOOKUP(A1016,#REF!,2,FALSE),"")</f>
        <v>#REF!</v>
      </c>
      <c r="K1016" s="237"/>
    </row>
    <row r="1017" spans="1:11" ht="30">
      <c r="A1017" s="24">
        <v>88267</v>
      </c>
      <c r="B1017" s="78" t="s">
        <v>472</v>
      </c>
      <c r="C1017" s="25" t="s">
        <v>12</v>
      </c>
      <c r="D1017" s="25" t="s">
        <v>19</v>
      </c>
      <c r="E1017" s="26">
        <v>1</v>
      </c>
      <c r="F1017" s="26">
        <f t="shared" ref="F1017:F1018" si="340">H1017</f>
        <v>14.7135</v>
      </c>
      <c r="G1017" s="26">
        <f t="shared" ref="G1017:G1018" si="341">ROUND(F1017*E1017,2)</f>
        <v>14.71</v>
      </c>
      <c r="H1017" s="375">
        <v>14.7135</v>
      </c>
      <c r="I1017" s="28" t="e">
        <f>IF(A1017&lt;&gt;0,VLOOKUP(A1017,#REF!,2,FALSE),"")</f>
        <v>#REF!</v>
      </c>
      <c r="K1017" s="237"/>
    </row>
    <row r="1018" spans="1:11" ht="45">
      <c r="A1018" s="24">
        <v>88248</v>
      </c>
      <c r="B1018" s="78" t="s">
        <v>473</v>
      </c>
      <c r="C1018" s="25" t="s">
        <v>12</v>
      </c>
      <c r="D1018" s="25" t="s">
        <v>19</v>
      </c>
      <c r="E1018" s="26">
        <v>1</v>
      </c>
      <c r="F1018" s="26">
        <f t="shared" si="340"/>
        <v>11.483499999999999</v>
      </c>
      <c r="G1018" s="26">
        <f t="shared" si="341"/>
        <v>11.48</v>
      </c>
      <c r="H1018" s="375">
        <v>11.483499999999999</v>
      </c>
      <c r="I1018" s="28" t="e">
        <f>IF(A1018&lt;&gt;0,VLOOKUP(A1018,#REF!,2,FALSE),"")</f>
        <v>#REF!</v>
      </c>
      <c r="K1018" s="237"/>
    </row>
    <row r="1019" spans="1:11" ht="15" customHeight="1">
      <c r="A1019" s="986" t="s">
        <v>1894</v>
      </c>
      <c r="B1019" s="986"/>
      <c r="C1019" s="986"/>
      <c r="D1019" s="986"/>
      <c r="E1019" s="986"/>
      <c r="F1019" s="986"/>
      <c r="G1019" s="79">
        <f>ROUND(SUM(G1016:G1018),2)</f>
        <v>342.15</v>
      </c>
      <c r="K1019" s="237"/>
    </row>
    <row r="1020" spans="1:11" ht="34.5" customHeight="1">
      <c r="A1020" s="80"/>
      <c r="B1020" s="80"/>
      <c r="C1020" s="352"/>
      <c r="D1020" s="353"/>
      <c r="E1020" s="80"/>
      <c r="F1020" s="80"/>
      <c r="G1020" s="80"/>
      <c r="K1020" s="237"/>
    </row>
    <row r="1021" spans="1:11" ht="37.5" customHeight="1">
      <c r="A1021" s="920" t="s">
        <v>2222</v>
      </c>
      <c r="B1021" s="921"/>
      <c r="C1021" s="921"/>
      <c r="D1021" s="921"/>
      <c r="E1021" s="929"/>
      <c r="F1021" s="75" t="s">
        <v>1915</v>
      </c>
      <c r="G1021" s="347"/>
      <c r="K1021" s="237"/>
    </row>
    <row r="1022" spans="1:11" ht="28.5">
      <c r="A1022" s="346" t="s">
        <v>364</v>
      </c>
      <c r="B1022" s="347"/>
      <c r="C1022" s="77" t="s">
        <v>3</v>
      </c>
      <c r="D1022" s="77" t="s">
        <v>4</v>
      </c>
      <c r="E1022" s="77" t="s">
        <v>1826</v>
      </c>
      <c r="F1022" s="77" t="s">
        <v>367</v>
      </c>
      <c r="G1022" s="77" t="s">
        <v>368</v>
      </c>
      <c r="K1022" s="237"/>
    </row>
    <row r="1023" spans="1:11" ht="75">
      <c r="A1023" s="24">
        <v>38051</v>
      </c>
      <c r="B1023" s="78" t="s">
        <v>567</v>
      </c>
      <c r="C1023" s="25" t="s">
        <v>12</v>
      </c>
      <c r="D1023" s="25" t="s">
        <v>52</v>
      </c>
      <c r="E1023" s="26">
        <v>1.0149999999999999</v>
      </c>
      <c r="F1023" s="26">
        <f t="shared" ref="F1023:F1024" si="342">H1023</f>
        <v>4.7939999999999996</v>
      </c>
      <c r="G1023" s="26">
        <f t="shared" ref="G1023:G1024" si="343">ROUND(F1023*E1023,2)</f>
        <v>4.87</v>
      </c>
      <c r="H1023" s="375">
        <v>4.7939999999999996</v>
      </c>
      <c r="I1023" s="28" t="e">
        <f>IF(A1023&lt;&gt;0,VLOOKUP(A1023,#REF!,2,FALSE),"")</f>
        <v>#REF!</v>
      </c>
      <c r="K1023" s="237"/>
    </row>
    <row r="1024" spans="1:11" ht="30">
      <c r="A1024" s="24">
        <v>88316</v>
      </c>
      <c r="B1024" s="78" t="s">
        <v>377</v>
      </c>
      <c r="C1024" s="25" t="s">
        <v>12</v>
      </c>
      <c r="D1024" s="25" t="s">
        <v>19</v>
      </c>
      <c r="E1024" s="26">
        <v>0.45</v>
      </c>
      <c r="F1024" s="26">
        <f t="shared" si="342"/>
        <v>11.798000000000002</v>
      </c>
      <c r="G1024" s="26">
        <f t="shared" si="343"/>
        <v>5.31</v>
      </c>
      <c r="H1024" s="375">
        <v>11.798000000000002</v>
      </c>
      <c r="I1024" s="28" t="e">
        <f>IF(A1024&lt;&gt;0,VLOOKUP(A1024,#REF!,2,FALSE),"")</f>
        <v>#REF!</v>
      </c>
      <c r="K1024" s="237"/>
    </row>
    <row r="1025" spans="1:11" ht="15" customHeight="1">
      <c r="A1025" s="986" t="s">
        <v>1894</v>
      </c>
      <c r="B1025" s="986"/>
      <c r="C1025" s="986"/>
      <c r="D1025" s="986"/>
      <c r="E1025" s="986"/>
      <c r="F1025" s="986"/>
      <c r="G1025" s="79">
        <f>ROUND(SUM(G1023:G1024),2)</f>
        <v>10.18</v>
      </c>
      <c r="K1025" s="237"/>
    </row>
    <row r="1026" spans="1:11" ht="30" customHeight="1">
      <c r="A1026" s="80"/>
      <c r="B1026" s="80"/>
      <c r="C1026" s="352"/>
      <c r="D1026" s="353"/>
      <c r="E1026" s="80"/>
      <c r="F1026" s="80"/>
      <c r="G1026" s="80"/>
      <c r="K1026" s="237"/>
    </row>
    <row r="1027" spans="1:11" ht="21" customHeight="1">
      <c r="A1027" s="920" t="s">
        <v>2586</v>
      </c>
      <c r="B1027" s="921"/>
      <c r="C1027" s="921"/>
      <c r="D1027" s="921"/>
      <c r="E1027" s="921"/>
      <c r="F1027" s="75" t="s">
        <v>44</v>
      </c>
      <c r="G1027" s="95">
        <v>749</v>
      </c>
      <c r="K1027" s="237"/>
    </row>
    <row r="1028" spans="1:11" ht="28.5">
      <c r="A1028" s="984" t="s">
        <v>364</v>
      </c>
      <c r="B1028" s="985"/>
      <c r="C1028" s="77" t="s">
        <v>3</v>
      </c>
      <c r="D1028" s="77" t="s">
        <v>4</v>
      </c>
      <c r="E1028" s="77" t="s">
        <v>1826</v>
      </c>
      <c r="F1028" s="77" t="s">
        <v>367</v>
      </c>
      <c r="G1028" s="77" t="s">
        <v>368</v>
      </c>
      <c r="K1028" s="237"/>
    </row>
    <row r="1029" spans="1:11" s="45" customFormat="1" ht="45">
      <c r="A1029" s="24">
        <v>858</v>
      </c>
      <c r="B1029" s="78" t="s">
        <v>568</v>
      </c>
      <c r="C1029" s="25" t="s">
        <v>44</v>
      </c>
      <c r="D1029" s="25" t="s">
        <v>17</v>
      </c>
      <c r="E1029" s="26">
        <v>1</v>
      </c>
      <c r="F1029" s="26">
        <f t="shared" ref="F1029" si="344">H1029</f>
        <v>47.277000000000001</v>
      </c>
      <c r="G1029" s="26">
        <f t="shared" ref="G1029" si="345">ROUND(F1029*E1029,2)</f>
        <v>47.28</v>
      </c>
      <c r="H1029" s="364">
        <v>47.277000000000001</v>
      </c>
      <c r="I1029" s="45" t="e">
        <f>IF(A1029&lt;&gt;0,VLOOKUP(A1029,#REF!,2,FALSE),"")</f>
        <v>#REF!</v>
      </c>
      <c r="J1029" s="364"/>
      <c r="K1029" s="237"/>
    </row>
    <row r="1030" spans="1:11" ht="30">
      <c r="A1030" s="24">
        <v>88264</v>
      </c>
      <c r="B1030" s="78" t="s">
        <v>379</v>
      </c>
      <c r="C1030" s="25" t="s">
        <v>12</v>
      </c>
      <c r="D1030" s="25" t="s">
        <v>19</v>
      </c>
      <c r="E1030" s="26">
        <v>0.3</v>
      </c>
      <c r="F1030" s="26">
        <f t="shared" ref="F1030:F1031" si="346">H1030</f>
        <v>15.249000000000001</v>
      </c>
      <c r="G1030" s="26">
        <f t="shared" ref="G1030:G1031" si="347">ROUND(F1030*E1030,2)</f>
        <v>4.57</v>
      </c>
      <c r="H1030" s="375">
        <v>15.249000000000001</v>
      </c>
      <c r="I1030" s="28" t="e">
        <f>IF(A1030&lt;&gt;0,VLOOKUP(A1030,#REF!,2,FALSE),"")</f>
        <v>#REF!</v>
      </c>
      <c r="K1030" s="237"/>
    </row>
    <row r="1031" spans="1:11" ht="30">
      <c r="A1031" s="24">
        <v>88316</v>
      </c>
      <c r="B1031" s="78" t="s">
        <v>377</v>
      </c>
      <c r="C1031" s="25" t="s">
        <v>12</v>
      </c>
      <c r="D1031" s="25" t="s">
        <v>19</v>
      </c>
      <c r="E1031" s="26">
        <v>0.3</v>
      </c>
      <c r="F1031" s="26">
        <f t="shared" si="346"/>
        <v>11.798000000000002</v>
      </c>
      <c r="G1031" s="26">
        <f t="shared" si="347"/>
        <v>3.54</v>
      </c>
      <c r="H1031" s="375">
        <v>11.798000000000002</v>
      </c>
      <c r="I1031" s="28" t="e">
        <f>IF(A1031&lt;&gt;0,VLOOKUP(A1031,#REF!,2,FALSE),"")</f>
        <v>#REF!</v>
      </c>
      <c r="K1031" s="237"/>
    </row>
    <row r="1032" spans="1:11" ht="15" customHeight="1">
      <c r="A1032" s="986" t="s">
        <v>1894</v>
      </c>
      <c r="B1032" s="986"/>
      <c r="C1032" s="986"/>
      <c r="D1032" s="986"/>
      <c r="E1032" s="986"/>
      <c r="F1032" s="986"/>
      <c r="G1032" s="79">
        <f>ROUND(SUM(G1029:G1031),2)</f>
        <v>55.39</v>
      </c>
      <c r="K1032" s="237"/>
    </row>
    <row r="1033" spans="1:11" ht="27" customHeight="1">
      <c r="A1033" s="80"/>
      <c r="B1033" s="80"/>
      <c r="C1033" s="965"/>
      <c r="D1033" s="966"/>
      <c r="E1033" s="80"/>
      <c r="F1033" s="80"/>
      <c r="G1033" s="80"/>
      <c r="K1033" s="237"/>
    </row>
    <row r="1034" spans="1:11" ht="25.5" customHeight="1">
      <c r="A1034" s="920" t="s">
        <v>2224</v>
      </c>
      <c r="B1034" s="921"/>
      <c r="C1034" s="921"/>
      <c r="D1034" s="921"/>
      <c r="E1034" s="921"/>
      <c r="F1034" s="75" t="s">
        <v>44</v>
      </c>
      <c r="G1034" s="88"/>
      <c r="K1034" s="237"/>
    </row>
    <row r="1035" spans="1:11" ht="28.5">
      <c r="A1035" s="984" t="s">
        <v>366</v>
      </c>
      <c r="B1035" s="985"/>
      <c r="C1035" s="77" t="s">
        <v>3</v>
      </c>
      <c r="D1035" s="77" t="s">
        <v>4</v>
      </c>
      <c r="E1035" s="77" t="s">
        <v>1826</v>
      </c>
      <c r="F1035" s="77" t="s">
        <v>367</v>
      </c>
      <c r="G1035" s="77" t="s">
        <v>368</v>
      </c>
      <c r="K1035" s="237"/>
    </row>
    <row r="1036" spans="1:11" s="45" customFormat="1" ht="30">
      <c r="A1036" s="24">
        <v>12152</v>
      </c>
      <c r="B1036" s="78" t="s">
        <v>2585</v>
      </c>
      <c r="C1036" s="25" t="s">
        <v>44</v>
      </c>
      <c r="D1036" s="25" t="s">
        <v>17</v>
      </c>
      <c r="E1036" s="26">
        <v>1</v>
      </c>
      <c r="F1036" s="26">
        <f t="shared" ref="F1036" si="348">H1036</f>
        <v>57.8</v>
      </c>
      <c r="G1036" s="26">
        <f t="shared" ref="G1036" si="349">ROUND(F1036*E1036,2)</f>
        <v>57.8</v>
      </c>
      <c r="H1036" s="364">
        <v>57.8</v>
      </c>
      <c r="I1036" s="45" t="e">
        <f>IF(A1036&lt;&gt;0,VLOOKUP(A1036,#REF!,2,FALSE),"")</f>
        <v>#REF!</v>
      </c>
      <c r="J1036" s="364"/>
      <c r="K1036" s="237"/>
    </row>
    <row r="1037" spans="1:11" ht="30">
      <c r="A1037" s="24">
        <v>88264</v>
      </c>
      <c r="B1037" s="78" t="s">
        <v>379</v>
      </c>
      <c r="C1037" s="25" t="s">
        <v>12</v>
      </c>
      <c r="D1037" s="25" t="s">
        <v>19</v>
      </c>
      <c r="E1037" s="26">
        <v>0.2</v>
      </c>
      <c r="F1037" s="26">
        <f t="shared" ref="F1037:F1038" si="350">H1037</f>
        <v>15.249000000000001</v>
      </c>
      <c r="G1037" s="26">
        <f t="shared" ref="G1037:G1038" si="351">ROUND(F1037*E1037,2)</f>
        <v>3.05</v>
      </c>
      <c r="H1037" s="375">
        <v>15.249000000000001</v>
      </c>
      <c r="I1037" s="28" t="e">
        <f>IF(A1037&lt;&gt;0,VLOOKUP(A1037,#REF!,2,FALSE),"")</f>
        <v>#REF!</v>
      </c>
      <c r="K1037" s="237"/>
    </row>
    <row r="1038" spans="1:11" ht="30">
      <c r="A1038" s="24">
        <v>88247</v>
      </c>
      <c r="B1038" s="78" t="s">
        <v>510</v>
      </c>
      <c r="C1038" s="25" t="s">
        <v>12</v>
      </c>
      <c r="D1038" s="25" t="s">
        <v>19</v>
      </c>
      <c r="E1038" s="26">
        <v>0.2</v>
      </c>
      <c r="F1038" s="26">
        <f t="shared" si="350"/>
        <v>11.9085</v>
      </c>
      <c r="G1038" s="26">
        <f t="shared" si="351"/>
        <v>2.38</v>
      </c>
      <c r="H1038" s="375">
        <v>11.9085</v>
      </c>
      <c r="I1038" s="28" t="e">
        <f>IF(A1038&lt;&gt;0,VLOOKUP(A1038,#REF!,2,FALSE),"")</f>
        <v>#REF!</v>
      </c>
      <c r="K1038" s="237"/>
    </row>
    <row r="1039" spans="1:11" ht="15" customHeight="1">
      <c r="A1039" s="986" t="s">
        <v>1894</v>
      </c>
      <c r="B1039" s="986"/>
      <c r="C1039" s="986"/>
      <c r="D1039" s="986"/>
      <c r="E1039" s="986"/>
      <c r="F1039" s="986"/>
      <c r="G1039" s="79">
        <f>ROUND(SUM(G1036:G1038),2)</f>
        <v>63.23</v>
      </c>
      <c r="K1039" s="237"/>
    </row>
    <row r="1040" spans="1:11" ht="27" customHeight="1">
      <c r="A1040" s="80"/>
      <c r="B1040" s="80"/>
      <c r="C1040" s="965"/>
      <c r="D1040" s="966"/>
      <c r="E1040" s="80"/>
      <c r="F1040" s="80"/>
      <c r="G1040" s="80"/>
      <c r="K1040" s="237"/>
    </row>
    <row r="1041" spans="1:11" ht="21" customHeight="1">
      <c r="A1041" s="920" t="s">
        <v>2223</v>
      </c>
      <c r="B1041" s="921"/>
      <c r="C1041" s="921"/>
      <c r="D1041" s="921"/>
      <c r="E1041" s="921"/>
      <c r="F1041" s="75" t="s">
        <v>44</v>
      </c>
      <c r="G1041" s="88"/>
      <c r="K1041" s="237"/>
    </row>
    <row r="1042" spans="1:11" ht="28.5">
      <c r="A1042" s="984" t="s">
        <v>364</v>
      </c>
      <c r="B1042" s="985"/>
      <c r="C1042" s="77" t="s">
        <v>3</v>
      </c>
      <c r="D1042" s="77" t="s">
        <v>4</v>
      </c>
      <c r="E1042" s="77" t="s">
        <v>1826</v>
      </c>
      <c r="F1042" s="77" t="s">
        <v>367</v>
      </c>
      <c r="G1042" s="77" t="s">
        <v>368</v>
      </c>
      <c r="K1042" s="237"/>
    </row>
    <row r="1043" spans="1:11" s="45" customFormat="1" ht="30">
      <c r="A1043" s="24">
        <v>12456</v>
      </c>
      <c r="B1043" s="78" t="s">
        <v>1817</v>
      </c>
      <c r="C1043" s="25" t="s">
        <v>44</v>
      </c>
      <c r="D1043" s="25" t="s">
        <v>17</v>
      </c>
      <c r="E1043" s="26">
        <v>1</v>
      </c>
      <c r="F1043" s="26">
        <f t="shared" ref="F1043" si="352">H1043</f>
        <v>23.400500000000001</v>
      </c>
      <c r="G1043" s="26">
        <f t="shared" ref="G1043" si="353">ROUND(F1043*E1043,2)</f>
        <v>23.4</v>
      </c>
      <c r="H1043" s="364">
        <v>23.400500000000001</v>
      </c>
      <c r="I1043" s="45" t="e">
        <f>IF(A1043&lt;&gt;0,VLOOKUP(A1043,#REF!,2,FALSE),"")</f>
        <v>#REF!</v>
      </c>
      <c r="J1043" s="364"/>
      <c r="K1043" s="237"/>
    </row>
    <row r="1044" spans="1:11" ht="30">
      <c r="A1044" s="24">
        <v>88264</v>
      </c>
      <c r="B1044" s="78" t="s">
        <v>379</v>
      </c>
      <c r="C1044" s="25" t="s">
        <v>12</v>
      </c>
      <c r="D1044" s="25" t="s">
        <v>19</v>
      </c>
      <c r="E1044" s="26">
        <v>0.2</v>
      </c>
      <c r="F1044" s="26">
        <f t="shared" ref="F1044:F1045" si="354">H1044</f>
        <v>15.249000000000001</v>
      </c>
      <c r="G1044" s="26">
        <f t="shared" ref="G1044:G1045" si="355">ROUND(F1044*E1044,2)</f>
        <v>3.05</v>
      </c>
      <c r="H1044" s="375">
        <v>15.249000000000001</v>
      </c>
      <c r="I1044" s="28" t="e">
        <f>IF(A1044&lt;&gt;0,VLOOKUP(A1044,#REF!,2,FALSE),"")</f>
        <v>#REF!</v>
      </c>
      <c r="K1044" s="237"/>
    </row>
    <row r="1045" spans="1:11" ht="30">
      <c r="A1045" s="24">
        <v>88316</v>
      </c>
      <c r="B1045" s="78" t="s">
        <v>377</v>
      </c>
      <c r="C1045" s="25" t="s">
        <v>12</v>
      </c>
      <c r="D1045" s="25" t="s">
        <v>19</v>
      </c>
      <c r="E1045" s="26">
        <v>0.2</v>
      </c>
      <c r="F1045" s="26">
        <f t="shared" si="354"/>
        <v>11.798000000000002</v>
      </c>
      <c r="G1045" s="26">
        <f t="shared" si="355"/>
        <v>2.36</v>
      </c>
      <c r="H1045" s="375">
        <v>11.798000000000002</v>
      </c>
      <c r="I1045" s="28" t="e">
        <f>IF(A1045&lt;&gt;0,VLOOKUP(A1045,#REF!,2,FALSE),"")</f>
        <v>#REF!</v>
      </c>
      <c r="K1045" s="237"/>
    </row>
    <row r="1046" spans="1:11" ht="15" customHeight="1">
      <c r="A1046" s="986" t="s">
        <v>1894</v>
      </c>
      <c r="B1046" s="986"/>
      <c r="C1046" s="986"/>
      <c r="D1046" s="986"/>
      <c r="E1046" s="986"/>
      <c r="F1046" s="986"/>
      <c r="G1046" s="79">
        <f>ROUND(SUM(G1043:G1045),2)</f>
        <v>28.81</v>
      </c>
      <c r="K1046" s="237"/>
    </row>
    <row r="1047" spans="1:11" ht="27" customHeight="1">
      <c r="A1047" s="80"/>
      <c r="B1047" s="80"/>
      <c r="C1047" s="965"/>
      <c r="D1047" s="966"/>
      <c r="E1047" s="80"/>
      <c r="F1047" s="80"/>
      <c r="G1047" s="80"/>
      <c r="K1047" s="237"/>
    </row>
    <row r="1048" spans="1:11" ht="31.5" customHeight="1">
      <c r="A1048" s="920" t="s">
        <v>2226</v>
      </c>
      <c r="B1048" s="921"/>
      <c r="C1048" s="921"/>
      <c r="D1048" s="921"/>
      <c r="E1048" s="929"/>
      <c r="F1048" s="75" t="s">
        <v>44</v>
      </c>
      <c r="G1048" s="88"/>
      <c r="K1048" s="237"/>
    </row>
    <row r="1049" spans="1:11" ht="28.5">
      <c r="A1049" s="984" t="s">
        <v>364</v>
      </c>
      <c r="B1049" s="985"/>
      <c r="C1049" s="77" t="s">
        <v>3</v>
      </c>
      <c r="D1049" s="77" t="s">
        <v>4</v>
      </c>
      <c r="E1049" s="77" t="s">
        <v>1826</v>
      </c>
      <c r="F1049" s="77" t="s">
        <v>367</v>
      </c>
      <c r="G1049" s="77" t="s">
        <v>368</v>
      </c>
      <c r="K1049" s="237"/>
    </row>
    <row r="1050" spans="1:11" s="45" customFormat="1" ht="30">
      <c r="A1050" s="24">
        <v>859</v>
      </c>
      <c r="B1050" s="78" t="s">
        <v>1811</v>
      </c>
      <c r="C1050" s="25" t="s">
        <v>44</v>
      </c>
      <c r="D1050" s="25" t="s">
        <v>17</v>
      </c>
      <c r="E1050" s="26">
        <v>1</v>
      </c>
      <c r="F1050" s="26">
        <f t="shared" ref="F1050" si="356">H1050</f>
        <v>56.95</v>
      </c>
      <c r="G1050" s="26">
        <f t="shared" ref="G1050" si="357">ROUND(F1050*E1050,2)</f>
        <v>56.95</v>
      </c>
      <c r="H1050" s="364">
        <v>56.95</v>
      </c>
      <c r="I1050" s="45" t="e">
        <f>IF(A1050&lt;&gt;0,VLOOKUP(A1050,#REF!,2,FALSE),"")</f>
        <v>#REF!</v>
      </c>
      <c r="J1050" s="364"/>
      <c r="K1050" s="237"/>
    </row>
    <row r="1051" spans="1:11" ht="30">
      <c r="A1051" s="24">
        <v>88264</v>
      </c>
      <c r="B1051" s="78" t="s">
        <v>379</v>
      </c>
      <c r="C1051" s="25" t="s">
        <v>12</v>
      </c>
      <c r="D1051" s="25" t="s">
        <v>19</v>
      </c>
      <c r="E1051" s="26">
        <v>0.5</v>
      </c>
      <c r="F1051" s="26">
        <f t="shared" ref="F1051:F1052" si="358">H1051</f>
        <v>15.249000000000001</v>
      </c>
      <c r="G1051" s="26">
        <f t="shared" ref="G1051:G1052" si="359">ROUND(F1051*E1051,2)</f>
        <v>7.62</v>
      </c>
      <c r="H1051" s="375">
        <v>15.249000000000001</v>
      </c>
      <c r="K1051" s="237"/>
    </row>
    <row r="1052" spans="1:11" ht="30">
      <c r="A1052" s="24">
        <v>88316</v>
      </c>
      <c r="B1052" s="78" t="s">
        <v>377</v>
      </c>
      <c r="C1052" s="25" t="s">
        <v>12</v>
      </c>
      <c r="D1052" s="25" t="s">
        <v>19</v>
      </c>
      <c r="E1052" s="26">
        <v>0.5</v>
      </c>
      <c r="F1052" s="26">
        <f t="shared" si="358"/>
        <v>11.798000000000002</v>
      </c>
      <c r="G1052" s="26">
        <f t="shared" si="359"/>
        <v>5.9</v>
      </c>
      <c r="H1052" s="375">
        <v>11.798000000000002</v>
      </c>
      <c r="K1052" s="237"/>
    </row>
    <row r="1053" spans="1:11" ht="15" customHeight="1">
      <c r="A1053" s="986" t="s">
        <v>1894</v>
      </c>
      <c r="B1053" s="986"/>
      <c r="C1053" s="986"/>
      <c r="D1053" s="986"/>
      <c r="E1053" s="986"/>
      <c r="F1053" s="986"/>
      <c r="G1053" s="79">
        <f>ROUND(SUM(G1050:G1052),2)</f>
        <v>70.47</v>
      </c>
      <c r="K1053" s="237"/>
    </row>
    <row r="1054" spans="1:11" ht="26.25" customHeight="1">
      <c r="A1054" s="80"/>
      <c r="B1054" s="80"/>
      <c r="C1054" s="965"/>
      <c r="D1054" s="966"/>
      <c r="E1054" s="80"/>
      <c r="F1054" s="80"/>
      <c r="G1054" s="80"/>
      <c r="K1054" s="237"/>
    </row>
    <row r="1055" spans="1:11" ht="24" customHeight="1">
      <c r="A1055" s="920" t="s">
        <v>2227</v>
      </c>
      <c r="B1055" s="921"/>
      <c r="C1055" s="921"/>
      <c r="D1055" s="921"/>
      <c r="E1055" s="929"/>
      <c r="F1055" s="75" t="s">
        <v>44</v>
      </c>
      <c r="G1055" s="88"/>
      <c r="K1055" s="237"/>
    </row>
    <row r="1056" spans="1:11" ht="28.5">
      <c r="A1056" s="984" t="s">
        <v>364</v>
      </c>
      <c r="B1056" s="985"/>
      <c r="C1056" s="77" t="s">
        <v>3</v>
      </c>
      <c r="D1056" s="77" t="s">
        <v>4</v>
      </c>
      <c r="E1056" s="77" t="s">
        <v>1826</v>
      </c>
      <c r="F1056" s="77" t="s">
        <v>367</v>
      </c>
      <c r="G1056" s="77" t="s">
        <v>368</v>
      </c>
      <c r="K1056" s="237"/>
    </row>
    <row r="1057" spans="1:11" s="45" customFormat="1" ht="30">
      <c r="A1057" s="24">
        <v>6542</v>
      </c>
      <c r="B1057" s="78" t="s">
        <v>1818</v>
      </c>
      <c r="C1057" s="25" t="s">
        <v>44</v>
      </c>
      <c r="D1057" s="25" t="s">
        <v>17</v>
      </c>
      <c r="E1057" s="26">
        <v>1</v>
      </c>
      <c r="F1057" s="26">
        <f t="shared" ref="F1057" si="360">H1057</f>
        <v>44.420999999999999</v>
      </c>
      <c r="G1057" s="26">
        <f t="shared" ref="G1057" si="361">ROUND(F1057*E1057,2)</f>
        <v>44.42</v>
      </c>
      <c r="H1057" s="364">
        <v>44.420999999999999</v>
      </c>
      <c r="I1057" s="45" t="e">
        <f>IF(A1057&lt;&gt;0,VLOOKUP(A1057,#REF!,2,FALSE),"")</f>
        <v>#REF!</v>
      </c>
      <c r="J1057" s="364"/>
      <c r="K1057" s="237"/>
    </row>
    <row r="1058" spans="1:11" ht="30">
      <c r="A1058" s="24">
        <v>88264</v>
      </c>
      <c r="B1058" s="78" t="s">
        <v>379</v>
      </c>
      <c r="C1058" s="25" t="s">
        <v>12</v>
      </c>
      <c r="D1058" s="25" t="s">
        <v>19</v>
      </c>
      <c r="E1058" s="26">
        <v>0.2</v>
      </c>
      <c r="F1058" s="26">
        <f t="shared" ref="F1058:F1059" si="362">H1058</f>
        <v>15.249000000000001</v>
      </c>
      <c r="G1058" s="26">
        <f t="shared" ref="G1058:G1059" si="363">ROUND(F1058*E1058,2)</f>
        <v>3.05</v>
      </c>
      <c r="H1058" s="375">
        <v>15.249000000000001</v>
      </c>
      <c r="K1058" s="237"/>
    </row>
    <row r="1059" spans="1:11" ht="30">
      <c r="A1059" s="24">
        <v>88316</v>
      </c>
      <c r="B1059" s="78" t="s">
        <v>377</v>
      </c>
      <c r="C1059" s="25" t="s">
        <v>12</v>
      </c>
      <c r="D1059" s="25" t="s">
        <v>19</v>
      </c>
      <c r="E1059" s="26">
        <v>0.2</v>
      </c>
      <c r="F1059" s="26">
        <f t="shared" si="362"/>
        <v>11.798000000000002</v>
      </c>
      <c r="G1059" s="26">
        <f t="shared" si="363"/>
        <v>2.36</v>
      </c>
      <c r="H1059" s="375">
        <v>11.798000000000002</v>
      </c>
      <c r="K1059" s="237"/>
    </row>
    <row r="1060" spans="1:11" ht="15" customHeight="1">
      <c r="A1060" s="986" t="s">
        <v>1894</v>
      </c>
      <c r="B1060" s="986"/>
      <c r="C1060" s="986"/>
      <c r="D1060" s="986"/>
      <c r="E1060" s="986"/>
      <c r="F1060" s="986"/>
      <c r="G1060" s="79">
        <f>ROUND(SUM(G1057:G1059),2)</f>
        <v>49.83</v>
      </c>
      <c r="K1060" s="237"/>
    </row>
    <row r="1061" spans="1:11" ht="27" customHeight="1">
      <c r="A1061" s="80"/>
      <c r="B1061" s="80"/>
      <c r="C1061" s="965"/>
      <c r="D1061" s="966"/>
      <c r="E1061" s="80"/>
      <c r="F1061" s="80"/>
      <c r="G1061" s="80"/>
      <c r="K1061" s="237"/>
    </row>
    <row r="1062" spans="1:11" ht="30.75" customHeight="1">
      <c r="A1062" s="920" t="s">
        <v>2228</v>
      </c>
      <c r="B1062" s="921"/>
      <c r="C1062" s="921"/>
      <c r="D1062" s="921"/>
      <c r="E1062" s="929"/>
      <c r="F1062" s="75" t="s">
        <v>44</v>
      </c>
      <c r="G1062" s="88"/>
      <c r="K1062" s="237"/>
    </row>
    <row r="1063" spans="1:11" ht="28.5">
      <c r="A1063" s="984" t="s">
        <v>364</v>
      </c>
      <c r="B1063" s="985"/>
      <c r="C1063" s="77" t="s">
        <v>3</v>
      </c>
      <c r="D1063" s="77" t="s">
        <v>4</v>
      </c>
      <c r="E1063" s="77" t="s">
        <v>1826</v>
      </c>
      <c r="F1063" s="77" t="s">
        <v>367</v>
      </c>
      <c r="G1063" s="77" t="s">
        <v>368</v>
      </c>
      <c r="K1063" s="237"/>
    </row>
    <row r="1064" spans="1:11" s="45" customFormat="1" ht="30">
      <c r="A1064" s="24">
        <v>6543</v>
      </c>
      <c r="B1064" s="78" t="s">
        <v>1755</v>
      </c>
      <c r="C1064" s="25" t="s">
        <v>44</v>
      </c>
      <c r="D1064" s="25" t="s">
        <v>17</v>
      </c>
      <c r="E1064" s="26">
        <v>1</v>
      </c>
      <c r="F1064" s="26">
        <f t="shared" ref="F1064" si="364">H1064</f>
        <v>34.552500000000002</v>
      </c>
      <c r="G1064" s="26">
        <f t="shared" ref="G1064" si="365">ROUND(F1064*E1064,2)</f>
        <v>34.549999999999997</v>
      </c>
      <c r="H1064" s="364">
        <v>34.552500000000002</v>
      </c>
      <c r="I1064" s="45" t="e">
        <f>IF(A1064&lt;&gt;0,VLOOKUP(A1064,#REF!,2,FALSE),"")</f>
        <v>#REF!</v>
      </c>
      <c r="J1064" s="364"/>
      <c r="K1064" s="237"/>
    </row>
    <row r="1065" spans="1:11" ht="30">
      <c r="A1065" s="24">
        <v>88264</v>
      </c>
      <c r="B1065" s="78" t="s">
        <v>379</v>
      </c>
      <c r="C1065" s="25" t="s">
        <v>12</v>
      </c>
      <c r="D1065" s="25" t="s">
        <v>19</v>
      </c>
      <c r="E1065" s="26">
        <v>0.2</v>
      </c>
      <c r="F1065" s="26">
        <f t="shared" ref="F1065:F1066" si="366">H1065</f>
        <v>15.249000000000001</v>
      </c>
      <c r="G1065" s="26">
        <f t="shared" ref="G1065:G1066" si="367">ROUND(F1065*E1065,2)</f>
        <v>3.05</v>
      </c>
      <c r="H1065" s="375">
        <v>15.249000000000001</v>
      </c>
      <c r="K1065" s="237"/>
    </row>
    <row r="1066" spans="1:11" ht="30">
      <c r="A1066" s="24">
        <v>88316</v>
      </c>
      <c r="B1066" s="78" t="s">
        <v>377</v>
      </c>
      <c r="C1066" s="25" t="s">
        <v>12</v>
      </c>
      <c r="D1066" s="25" t="s">
        <v>19</v>
      </c>
      <c r="E1066" s="26">
        <v>0.2</v>
      </c>
      <c r="F1066" s="26">
        <f t="shared" si="366"/>
        <v>11.798000000000002</v>
      </c>
      <c r="G1066" s="26">
        <f t="shared" si="367"/>
        <v>2.36</v>
      </c>
      <c r="H1066" s="375">
        <v>11.798000000000002</v>
      </c>
      <c r="K1066" s="237"/>
    </row>
    <row r="1067" spans="1:11" ht="15" customHeight="1">
      <c r="A1067" s="986" t="s">
        <v>1894</v>
      </c>
      <c r="B1067" s="986"/>
      <c r="C1067" s="986"/>
      <c r="D1067" s="986"/>
      <c r="E1067" s="986"/>
      <c r="F1067" s="986"/>
      <c r="G1067" s="79">
        <f>ROUND(SUM(G1064:G1066),2)</f>
        <v>39.96</v>
      </c>
      <c r="K1067" s="237"/>
    </row>
    <row r="1068" spans="1:11" ht="27" customHeight="1">
      <c r="A1068" s="80"/>
      <c r="B1068" s="80"/>
      <c r="C1068" s="965"/>
      <c r="D1068" s="966"/>
      <c r="E1068" s="80"/>
      <c r="F1068" s="80"/>
      <c r="G1068" s="80"/>
      <c r="K1068" s="237"/>
    </row>
    <row r="1069" spans="1:11" ht="33.75" customHeight="1">
      <c r="A1069" s="920" t="s">
        <v>2225</v>
      </c>
      <c r="B1069" s="921"/>
      <c r="C1069" s="921"/>
      <c r="D1069" s="921"/>
      <c r="E1069" s="929"/>
      <c r="F1069" s="75" t="s">
        <v>44</v>
      </c>
      <c r="G1069" s="88"/>
      <c r="K1069" s="237"/>
    </row>
    <row r="1070" spans="1:11" ht="28.5">
      <c r="A1070" s="984" t="s">
        <v>364</v>
      </c>
      <c r="B1070" s="985"/>
      <c r="C1070" s="77" t="s">
        <v>3</v>
      </c>
      <c r="D1070" s="77" t="s">
        <v>4</v>
      </c>
      <c r="E1070" s="77" t="s">
        <v>1826</v>
      </c>
      <c r="F1070" s="77" t="s">
        <v>367</v>
      </c>
      <c r="G1070" s="77" t="s">
        <v>368</v>
      </c>
      <c r="K1070" s="237"/>
    </row>
    <row r="1071" spans="1:11" s="45" customFormat="1" ht="30">
      <c r="A1071" s="24">
        <v>9596</v>
      </c>
      <c r="B1071" s="78" t="s">
        <v>569</v>
      </c>
      <c r="C1071" s="25" t="s">
        <v>44</v>
      </c>
      <c r="D1071" s="25" t="s">
        <v>17</v>
      </c>
      <c r="E1071" s="26">
        <v>1</v>
      </c>
      <c r="F1071" s="26">
        <f t="shared" ref="F1071" si="368">H1071</f>
        <v>46.758499999999998</v>
      </c>
      <c r="G1071" s="26">
        <f t="shared" ref="G1071" si="369">ROUND(F1071*E1071,2)</f>
        <v>46.76</v>
      </c>
      <c r="H1071" s="364">
        <v>46.758499999999998</v>
      </c>
      <c r="I1071" s="45" t="e">
        <f>IF(A1071&lt;&gt;0,VLOOKUP(A1071,#REF!,2,FALSE),"")</f>
        <v>#REF!</v>
      </c>
      <c r="J1071" s="364"/>
      <c r="K1071" s="237"/>
    </row>
    <row r="1072" spans="1:11" ht="30">
      <c r="A1072" s="24">
        <v>88264</v>
      </c>
      <c r="B1072" s="78" t="s">
        <v>379</v>
      </c>
      <c r="C1072" s="25" t="s">
        <v>12</v>
      </c>
      <c r="D1072" s="25" t="s">
        <v>19</v>
      </c>
      <c r="E1072" s="26">
        <v>0.2</v>
      </c>
      <c r="F1072" s="26">
        <f t="shared" ref="F1072:F1073" si="370">H1072</f>
        <v>15.249000000000001</v>
      </c>
      <c r="G1072" s="26">
        <f t="shared" ref="G1072:G1073" si="371">ROUND(F1072*E1072,2)</f>
        <v>3.05</v>
      </c>
      <c r="H1072" s="375">
        <v>15.249000000000001</v>
      </c>
      <c r="K1072" s="237"/>
    </row>
    <row r="1073" spans="1:11" ht="30">
      <c r="A1073" s="24">
        <v>88316</v>
      </c>
      <c r="B1073" s="78" t="s">
        <v>377</v>
      </c>
      <c r="C1073" s="25" t="s">
        <v>12</v>
      </c>
      <c r="D1073" s="25" t="s">
        <v>19</v>
      </c>
      <c r="E1073" s="26">
        <v>0.2</v>
      </c>
      <c r="F1073" s="26">
        <f t="shared" si="370"/>
        <v>11.798000000000002</v>
      </c>
      <c r="G1073" s="26">
        <f t="shared" si="371"/>
        <v>2.36</v>
      </c>
      <c r="H1073" s="375">
        <v>11.798000000000002</v>
      </c>
      <c r="K1073" s="237"/>
    </row>
    <row r="1074" spans="1:11" ht="15" customHeight="1">
      <c r="A1074" s="986" t="s">
        <v>1894</v>
      </c>
      <c r="B1074" s="986"/>
      <c r="C1074" s="986"/>
      <c r="D1074" s="986"/>
      <c r="E1074" s="986"/>
      <c r="F1074" s="986"/>
      <c r="G1074" s="79">
        <f>ROUND(SUM(G1071:G1073),2)</f>
        <v>52.17</v>
      </c>
      <c r="K1074" s="237"/>
    </row>
    <row r="1075" spans="1:11" ht="29.25" customHeight="1">
      <c r="A1075" s="80"/>
      <c r="B1075" s="80"/>
      <c r="C1075" s="965"/>
      <c r="D1075" s="966"/>
      <c r="E1075" s="80"/>
      <c r="F1075" s="80"/>
      <c r="G1075" s="80"/>
      <c r="K1075" s="237"/>
    </row>
    <row r="1076" spans="1:11" ht="27" customHeight="1">
      <c r="A1076" s="920" t="s">
        <v>2229</v>
      </c>
      <c r="B1076" s="921"/>
      <c r="C1076" s="921"/>
      <c r="D1076" s="921"/>
      <c r="E1076" s="929"/>
      <c r="F1076" s="75" t="s">
        <v>1915</v>
      </c>
      <c r="G1076" s="88"/>
      <c r="K1076" s="237"/>
    </row>
    <row r="1077" spans="1:11" ht="28.5">
      <c r="A1077" s="984" t="s">
        <v>364</v>
      </c>
      <c r="B1077" s="985"/>
      <c r="C1077" s="77" t="s">
        <v>3</v>
      </c>
      <c r="D1077" s="77" t="s">
        <v>4</v>
      </c>
      <c r="E1077" s="77" t="s">
        <v>1826</v>
      </c>
      <c r="F1077" s="77" t="s">
        <v>367</v>
      </c>
      <c r="G1077" s="77" t="s">
        <v>368</v>
      </c>
      <c r="K1077" s="237"/>
    </row>
    <row r="1078" spans="1:11" s="45" customFormat="1" ht="30">
      <c r="A1078" s="24">
        <v>4106</v>
      </c>
      <c r="B1078" s="78" t="s">
        <v>3083</v>
      </c>
      <c r="C1078" s="25" t="s">
        <v>44</v>
      </c>
      <c r="D1078" s="25" t="s">
        <v>17</v>
      </c>
      <c r="E1078" s="26">
        <v>1</v>
      </c>
      <c r="F1078" s="26">
        <f t="shared" ref="F1078" si="372">H1078</f>
        <v>10.199999999999999</v>
      </c>
      <c r="G1078" s="26">
        <f t="shared" ref="G1078" si="373">ROUND(F1078*E1078,2)</f>
        <v>10.199999999999999</v>
      </c>
      <c r="H1078" s="364">
        <v>10.199999999999999</v>
      </c>
      <c r="I1078" s="45" t="e">
        <f>IF(A1078&lt;&gt;0,VLOOKUP(A1078,#REF!,2,FALSE),"")</f>
        <v>#REF!</v>
      </c>
      <c r="J1078" s="364"/>
      <c r="K1078" s="237"/>
    </row>
    <row r="1079" spans="1:11" ht="30">
      <c r="A1079" s="24">
        <v>88264</v>
      </c>
      <c r="B1079" s="78" t="s">
        <v>379</v>
      </c>
      <c r="C1079" s="25" t="s">
        <v>12</v>
      </c>
      <c r="D1079" s="25" t="s">
        <v>19</v>
      </c>
      <c r="E1079" s="26">
        <v>0.2</v>
      </c>
      <c r="F1079" s="26">
        <f t="shared" ref="F1079:F1080" si="374">H1079</f>
        <v>15.249000000000001</v>
      </c>
      <c r="G1079" s="26">
        <f t="shared" ref="G1079:G1080" si="375">ROUND(F1079*E1079,2)</f>
        <v>3.05</v>
      </c>
      <c r="H1079" s="375">
        <v>15.249000000000001</v>
      </c>
      <c r="K1079" s="237"/>
    </row>
    <row r="1080" spans="1:11" ht="30">
      <c r="A1080" s="24">
        <v>88316</v>
      </c>
      <c r="B1080" s="78" t="s">
        <v>377</v>
      </c>
      <c r="C1080" s="25" t="s">
        <v>12</v>
      </c>
      <c r="D1080" s="25" t="s">
        <v>19</v>
      </c>
      <c r="E1080" s="26">
        <v>0.2</v>
      </c>
      <c r="F1080" s="26">
        <f t="shared" si="374"/>
        <v>11.798000000000002</v>
      </c>
      <c r="G1080" s="26">
        <f t="shared" si="375"/>
        <v>2.36</v>
      </c>
      <c r="H1080" s="375">
        <v>11.798000000000002</v>
      </c>
      <c r="K1080" s="237"/>
    </row>
    <row r="1081" spans="1:11" ht="15" customHeight="1">
      <c r="A1081" s="986" t="s">
        <v>1894</v>
      </c>
      <c r="B1081" s="986"/>
      <c r="C1081" s="986"/>
      <c r="D1081" s="986"/>
      <c r="E1081" s="986"/>
      <c r="F1081" s="986"/>
      <c r="G1081" s="79">
        <f>ROUND(SUM(G1078:G1080),2)</f>
        <v>15.61</v>
      </c>
      <c r="K1081" s="237"/>
    </row>
    <row r="1082" spans="1:11" ht="24" customHeight="1">
      <c r="A1082" s="80"/>
      <c r="B1082" s="80"/>
      <c r="C1082" s="965"/>
      <c r="D1082" s="966"/>
      <c r="E1082" s="80"/>
      <c r="F1082" s="80"/>
      <c r="G1082" s="80"/>
      <c r="K1082" s="237"/>
    </row>
    <row r="1083" spans="1:11" ht="30" customHeight="1">
      <c r="A1083" s="920" t="s">
        <v>2236</v>
      </c>
      <c r="B1083" s="921"/>
      <c r="C1083" s="921"/>
      <c r="D1083" s="921"/>
      <c r="E1083" s="929"/>
      <c r="F1083" s="75" t="s">
        <v>44</v>
      </c>
      <c r="G1083" s="88"/>
      <c r="K1083" s="237"/>
    </row>
    <row r="1084" spans="1:11" ht="28.5">
      <c r="A1084" s="984" t="s">
        <v>364</v>
      </c>
      <c r="B1084" s="985"/>
      <c r="C1084" s="77" t="s">
        <v>3</v>
      </c>
      <c r="D1084" s="77" t="s">
        <v>4</v>
      </c>
      <c r="E1084" s="77" t="s">
        <v>1826</v>
      </c>
      <c r="F1084" s="77" t="s">
        <v>367</v>
      </c>
      <c r="G1084" s="77" t="s">
        <v>368</v>
      </c>
      <c r="K1084" s="237"/>
    </row>
    <row r="1085" spans="1:11" s="45" customFormat="1" ht="30">
      <c r="A1085" s="24">
        <v>4218</v>
      </c>
      <c r="B1085" s="78" t="s">
        <v>1812</v>
      </c>
      <c r="C1085" s="25" t="s">
        <v>44</v>
      </c>
      <c r="D1085" s="25" t="s">
        <v>17</v>
      </c>
      <c r="E1085" s="26">
        <v>1</v>
      </c>
      <c r="F1085" s="26">
        <f t="shared" ref="F1085" si="376">H1085</f>
        <v>103.7</v>
      </c>
      <c r="G1085" s="26">
        <f t="shared" ref="G1085" si="377">ROUND(F1085*E1085,2)</f>
        <v>103.7</v>
      </c>
      <c r="H1085" s="364">
        <v>103.7</v>
      </c>
      <c r="I1085" s="45" t="e">
        <f>IF(A1085&lt;&gt;0,VLOOKUP(A1085,#REF!,2,FALSE),"")</f>
        <v>#REF!</v>
      </c>
      <c r="J1085" s="364"/>
      <c r="K1085" s="237"/>
    </row>
    <row r="1086" spans="1:11" ht="30">
      <c r="A1086" s="24">
        <v>88264</v>
      </c>
      <c r="B1086" s="78" t="s">
        <v>379</v>
      </c>
      <c r="C1086" s="25" t="s">
        <v>12</v>
      </c>
      <c r="D1086" s="25" t="s">
        <v>19</v>
      </c>
      <c r="E1086" s="26">
        <v>0.4</v>
      </c>
      <c r="F1086" s="26">
        <f t="shared" ref="F1086:F1087" si="378">H1086</f>
        <v>15.249000000000001</v>
      </c>
      <c r="G1086" s="26">
        <f t="shared" ref="G1086:G1087" si="379">ROUND(F1086*E1086,2)</f>
        <v>6.1</v>
      </c>
      <c r="H1086" s="375">
        <v>15.249000000000001</v>
      </c>
      <c r="K1086" s="237"/>
    </row>
    <row r="1087" spans="1:11" ht="30">
      <c r="A1087" s="24">
        <v>88316</v>
      </c>
      <c r="B1087" s="78" t="s">
        <v>377</v>
      </c>
      <c r="C1087" s="25" t="s">
        <v>12</v>
      </c>
      <c r="D1087" s="25" t="s">
        <v>19</v>
      </c>
      <c r="E1087" s="26">
        <v>0.4</v>
      </c>
      <c r="F1087" s="26">
        <f t="shared" si="378"/>
        <v>11.798000000000002</v>
      </c>
      <c r="G1087" s="26">
        <f t="shared" si="379"/>
        <v>4.72</v>
      </c>
      <c r="H1087" s="375">
        <v>11.798000000000002</v>
      </c>
      <c r="K1087" s="237"/>
    </row>
    <row r="1088" spans="1:11" ht="15" customHeight="1">
      <c r="A1088" s="986" t="s">
        <v>1894</v>
      </c>
      <c r="B1088" s="986"/>
      <c r="C1088" s="986"/>
      <c r="D1088" s="986"/>
      <c r="E1088" s="986"/>
      <c r="F1088" s="986"/>
      <c r="G1088" s="79">
        <f>ROUND(SUM(G1085:G1087),2)</f>
        <v>114.52</v>
      </c>
      <c r="K1088" s="237"/>
    </row>
    <row r="1089" spans="1:11" ht="27.75" customHeight="1">
      <c r="A1089" s="80"/>
      <c r="B1089" s="80"/>
      <c r="C1089" s="965"/>
      <c r="D1089" s="966"/>
      <c r="E1089" s="80"/>
      <c r="F1089" s="80"/>
      <c r="G1089" s="80"/>
      <c r="K1089" s="237"/>
    </row>
    <row r="1090" spans="1:11" ht="23.25" customHeight="1">
      <c r="A1090" s="920" t="s">
        <v>2231</v>
      </c>
      <c r="B1090" s="921"/>
      <c r="C1090" s="921"/>
      <c r="D1090" s="921"/>
      <c r="E1090" s="929"/>
      <c r="F1090" s="75" t="s">
        <v>44</v>
      </c>
      <c r="G1090" s="88"/>
      <c r="K1090" s="237"/>
    </row>
    <row r="1091" spans="1:11" ht="28.5">
      <c r="A1091" s="984" t="s">
        <v>364</v>
      </c>
      <c r="B1091" s="985"/>
      <c r="C1091" s="77" t="s">
        <v>3</v>
      </c>
      <c r="D1091" s="77" t="s">
        <v>4</v>
      </c>
      <c r="E1091" s="77" t="s">
        <v>1826</v>
      </c>
      <c r="F1091" s="77" t="s">
        <v>367</v>
      </c>
      <c r="G1091" s="77" t="s">
        <v>368</v>
      </c>
      <c r="K1091" s="237"/>
    </row>
    <row r="1092" spans="1:11" s="45" customFormat="1" ht="30">
      <c r="A1092" s="24">
        <v>11797</v>
      </c>
      <c r="B1092" s="78" t="s">
        <v>2232</v>
      </c>
      <c r="C1092" s="25" t="s">
        <v>44</v>
      </c>
      <c r="D1092" s="25" t="s">
        <v>17</v>
      </c>
      <c r="E1092" s="26">
        <v>1</v>
      </c>
      <c r="F1092" s="26">
        <f t="shared" ref="F1092" si="380">H1092</f>
        <v>37.4</v>
      </c>
      <c r="G1092" s="26">
        <f t="shared" ref="G1092" si="381">ROUND(F1092*E1092,2)</f>
        <v>37.4</v>
      </c>
      <c r="H1092" s="364">
        <v>37.4</v>
      </c>
      <c r="I1092" s="45" t="e">
        <f>IF(A1092&lt;&gt;0,VLOOKUP(A1092,#REF!,2,FALSE),"")</f>
        <v>#REF!</v>
      </c>
      <c r="J1092" s="364"/>
      <c r="K1092" s="237"/>
    </row>
    <row r="1093" spans="1:11" ht="30">
      <c r="A1093" s="24">
        <v>88264</v>
      </c>
      <c r="B1093" s="78" t="s">
        <v>379</v>
      </c>
      <c r="C1093" s="25" t="s">
        <v>12</v>
      </c>
      <c r="D1093" s="25" t="s">
        <v>19</v>
      </c>
      <c r="E1093" s="26">
        <v>0.2</v>
      </c>
      <c r="F1093" s="26">
        <f t="shared" ref="F1093:F1094" si="382">H1093</f>
        <v>15.249000000000001</v>
      </c>
      <c r="G1093" s="26">
        <f t="shared" ref="G1093:G1094" si="383">ROUND(F1093*E1093,2)</f>
        <v>3.05</v>
      </c>
      <c r="H1093" s="375">
        <v>15.249000000000001</v>
      </c>
      <c r="K1093" s="237"/>
    </row>
    <row r="1094" spans="1:11" ht="30">
      <c r="A1094" s="24">
        <v>88316</v>
      </c>
      <c r="B1094" s="78" t="s">
        <v>377</v>
      </c>
      <c r="C1094" s="25" t="s">
        <v>12</v>
      </c>
      <c r="D1094" s="25" t="s">
        <v>19</v>
      </c>
      <c r="E1094" s="26">
        <v>0.2</v>
      </c>
      <c r="F1094" s="26">
        <f t="shared" si="382"/>
        <v>11.798000000000002</v>
      </c>
      <c r="G1094" s="26">
        <f t="shared" si="383"/>
        <v>2.36</v>
      </c>
      <c r="H1094" s="375">
        <v>11.798000000000002</v>
      </c>
      <c r="K1094" s="237"/>
    </row>
    <row r="1095" spans="1:11" ht="15" customHeight="1">
      <c r="A1095" s="986" t="s">
        <v>1894</v>
      </c>
      <c r="B1095" s="986"/>
      <c r="C1095" s="986"/>
      <c r="D1095" s="986"/>
      <c r="E1095" s="986"/>
      <c r="F1095" s="986"/>
      <c r="G1095" s="79">
        <f>ROUND(SUM(G1092:G1094),2)</f>
        <v>42.81</v>
      </c>
      <c r="K1095" s="237"/>
    </row>
    <row r="1096" spans="1:11" ht="22.5" customHeight="1">
      <c r="A1096" s="80"/>
      <c r="B1096" s="80"/>
      <c r="C1096" s="965"/>
      <c r="D1096" s="966"/>
      <c r="E1096" s="80"/>
      <c r="F1096" s="80"/>
      <c r="G1096" s="80"/>
      <c r="K1096" s="237"/>
    </row>
    <row r="1097" spans="1:11" ht="35.25" customHeight="1">
      <c r="A1097" s="920" t="s">
        <v>2233</v>
      </c>
      <c r="B1097" s="921"/>
      <c r="C1097" s="921"/>
      <c r="D1097" s="921"/>
      <c r="E1097" s="929"/>
      <c r="F1097" s="75" t="s">
        <v>44</v>
      </c>
      <c r="G1097" s="88"/>
      <c r="K1097" s="237"/>
    </row>
    <row r="1098" spans="1:11" ht="28.5">
      <c r="A1098" s="984" t="s">
        <v>364</v>
      </c>
      <c r="B1098" s="985"/>
      <c r="C1098" s="77" t="s">
        <v>3</v>
      </c>
      <c r="D1098" s="77" t="s">
        <v>4</v>
      </c>
      <c r="E1098" s="77" t="s">
        <v>1826</v>
      </c>
      <c r="F1098" s="77" t="s">
        <v>367</v>
      </c>
      <c r="G1098" s="77" t="s">
        <v>368</v>
      </c>
      <c r="K1098" s="237"/>
    </row>
    <row r="1099" spans="1:11" s="45" customFormat="1" ht="30">
      <c r="A1099" s="24">
        <v>6552</v>
      </c>
      <c r="B1099" s="78" t="s">
        <v>1757</v>
      </c>
      <c r="C1099" s="25" t="s">
        <v>44</v>
      </c>
      <c r="D1099" s="25" t="s">
        <v>17</v>
      </c>
      <c r="E1099" s="26">
        <v>1</v>
      </c>
      <c r="F1099" s="26">
        <f t="shared" ref="F1099" si="384">H1099</f>
        <v>47.43</v>
      </c>
      <c r="G1099" s="26">
        <f t="shared" ref="G1099" si="385">ROUND(F1099*E1099,2)</f>
        <v>47.43</v>
      </c>
      <c r="H1099" s="364">
        <v>47.43</v>
      </c>
      <c r="I1099" s="45" t="e">
        <f>IF(A1099&lt;&gt;0,VLOOKUP(A1099,#REF!,2,FALSE),"")</f>
        <v>#REF!</v>
      </c>
      <c r="J1099" s="364"/>
      <c r="K1099" s="237"/>
    </row>
    <row r="1100" spans="1:11" ht="30">
      <c r="A1100" s="24">
        <v>88264</v>
      </c>
      <c r="B1100" s="78" t="s">
        <v>379</v>
      </c>
      <c r="C1100" s="25" t="s">
        <v>12</v>
      </c>
      <c r="D1100" s="25" t="s">
        <v>19</v>
      </c>
      <c r="E1100" s="26">
        <v>0.2</v>
      </c>
      <c r="F1100" s="26">
        <f t="shared" ref="F1100:F1101" si="386">H1100</f>
        <v>15.249000000000001</v>
      </c>
      <c r="G1100" s="26">
        <f t="shared" ref="G1100:G1101" si="387">ROUND(F1100*E1100,2)</f>
        <v>3.05</v>
      </c>
      <c r="H1100" s="375">
        <v>15.249000000000001</v>
      </c>
      <c r="K1100" s="237"/>
    </row>
    <row r="1101" spans="1:11" ht="30">
      <c r="A1101" s="24">
        <v>88316</v>
      </c>
      <c r="B1101" s="78" t="s">
        <v>377</v>
      </c>
      <c r="C1101" s="25" t="s">
        <v>12</v>
      </c>
      <c r="D1101" s="25" t="s">
        <v>19</v>
      </c>
      <c r="E1101" s="26">
        <v>0.2</v>
      </c>
      <c r="F1101" s="26">
        <f t="shared" si="386"/>
        <v>11.798000000000002</v>
      </c>
      <c r="G1101" s="26">
        <f t="shared" si="387"/>
        <v>2.36</v>
      </c>
      <c r="H1101" s="375">
        <v>11.798000000000002</v>
      </c>
      <c r="K1101" s="237"/>
    </row>
    <row r="1102" spans="1:11" ht="15" customHeight="1">
      <c r="A1102" s="986" t="s">
        <v>1894</v>
      </c>
      <c r="B1102" s="986"/>
      <c r="C1102" s="986"/>
      <c r="D1102" s="986"/>
      <c r="E1102" s="986"/>
      <c r="F1102" s="986"/>
      <c r="G1102" s="79">
        <f>ROUND(SUM(G1099:G1101),2)</f>
        <v>52.84</v>
      </c>
      <c r="K1102" s="237"/>
    </row>
    <row r="1103" spans="1:11" ht="24" customHeight="1">
      <c r="A1103" s="80"/>
      <c r="B1103" s="80"/>
      <c r="C1103" s="965"/>
      <c r="D1103" s="966"/>
      <c r="E1103" s="80"/>
      <c r="F1103" s="80"/>
      <c r="G1103" s="80"/>
      <c r="K1103" s="237"/>
    </row>
    <row r="1104" spans="1:11" ht="34.5" customHeight="1">
      <c r="A1104" s="920" t="s">
        <v>2234</v>
      </c>
      <c r="B1104" s="921"/>
      <c r="C1104" s="921"/>
      <c r="D1104" s="921"/>
      <c r="E1104" s="929"/>
      <c r="F1104" s="75" t="s">
        <v>44</v>
      </c>
      <c r="G1104" s="88"/>
      <c r="K1104" s="237"/>
    </row>
    <row r="1105" spans="1:11" ht="28.5">
      <c r="A1105" s="984" t="s">
        <v>364</v>
      </c>
      <c r="B1105" s="985"/>
      <c r="C1105" s="77" t="s">
        <v>3</v>
      </c>
      <c r="D1105" s="77" t="s">
        <v>4</v>
      </c>
      <c r="E1105" s="77" t="s">
        <v>1826</v>
      </c>
      <c r="F1105" s="77" t="s">
        <v>367</v>
      </c>
      <c r="G1105" s="77" t="s">
        <v>368</v>
      </c>
      <c r="K1105" s="237"/>
    </row>
    <row r="1106" spans="1:11" s="45" customFormat="1" ht="30">
      <c r="A1106" s="24">
        <v>6551</v>
      </c>
      <c r="B1106" s="78" t="s">
        <v>1753</v>
      </c>
      <c r="C1106" s="25" t="s">
        <v>44</v>
      </c>
      <c r="D1106" s="25" t="s">
        <v>17</v>
      </c>
      <c r="E1106" s="26">
        <v>1</v>
      </c>
      <c r="F1106" s="26">
        <f t="shared" ref="F1106" si="388">H1106</f>
        <v>60.35</v>
      </c>
      <c r="G1106" s="26">
        <f t="shared" ref="G1106" si="389">ROUND(F1106*E1106,2)</f>
        <v>60.35</v>
      </c>
      <c r="H1106" s="364">
        <v>60.35</v>
      </c>
      <c r="I1106" s="45" t="e">
        <f>IF(A1106&lt;&gt;0,VLOOKUP(A1106,#REF!,2,FALSE),"")</f>
        <v>#REF!</v>
      </c>
      <c r="J1106" s="364"/>
      <c r="K1106" s="237"/>
    </row>
    <row r="1107" spans="1:11" ht="30">
      <c r="A1107" s="24">
        <v>88264</v>
      </c>
      <c r="B1107" s="78" t="s">
        <v>379</v>
      </c>
      <c r="C1107" s="25" t="s">
        <v>12</v>
      </c>
      <c r="D1107" s="25" t="s">
        <v>19</v>
      </c>
      <c r="E1107" s="26">
        <v>0.2</v>
      </c>
      <c r="F1107" s="26">
        <f t="shared" ref="F1107:F1108" si="390">H1107</f>
        <v>15.249000000000001</v>
      </c>
      <c r="G1107" s="26">
        <f t="shared" ref="G1107:G1108" si="391">ROUND(F1107*E1107,2)</f>
        <v>3.05</v>
      </c>
      <c r="H1107" s="375">
        <v>15.249000000000001</v>
      </c>
      <c r="K1107" s="237"/>
    </row>
    <row r="1108" spans="1:11" ht="30">
      <c r="A1108" s="24">
        <v>88316</v>
      </c>
      <c r="B1108" s="78" t="s">
        <v>377</v>
      </c>
      <c r="C1108" s="25" t="s">
        <v>12</v>
      </c>
      <c r="D1108" s="25" t="s">
        <v>19</v>
      </c>
      <c r="E1108" s="26">
        <v>0.2</v>
      </c>
      <c r="F1108" s="26">
        <f t="shared" si="390"/>
        <v>11.798000000000002</v>
      </c>
      <c r="G1108" s="26">
        <f t="shared" si="391"/>
        <v>2.36</v>
      </c>
      <c r="H1108" s="375">
        <v>11.798000000000002</v>
      </c>
      <c r="K1108" s="237"/>
    </row>
    <row r="1109" spans="1:11" ht="15" customHeight="1">
      <c r="A1109" s="986" t="s">
        <v>1894</v>
      </c>
      <c r="B1109" s="986"/>
      <c r="C1109" s="986"/>
      <c r="D1109" s="986"/>
      <c r="E1109" s="986"/>
      <c r="F1109" s="986"/>
      <c r="G1109" s="79">
        <f>ROUND(SUM(G1106:G1108),2)</f>
        <v>65.760000000000005</v>
      </c>
      <c r="K1109" s="237"/>
    </row>
    <row r="1110" spans="1:11" ht="28.5" customHeight="1">
      <c r="A1110" s="80"/>
      <c r="B1110" s="80"/>
      <c r="C1110" s="965"/>
      <c r="D1110" s="966"/>
      <c r="E1110" s="80"/>
      <c r="F1110" s="80"/>
      <c r="G1110" s="80"/>
      <c r="K1110" s="237"/>
    </row>
    <row r="1111" spans="1:11" ht="21" customHeight="1">
      <c r="A1111" s="920" t="s">
        <v>2235</v>
      </c>
      <c r="B1111" s="921"/>
      <c r="C1111" s="921"/>
      <c r="D1111" s="921"/>
      <c r="E1111" s="929"/>
      <c r="F1111" s="75" t="s">
        <v>44</v>
      </c>
      <c r="G1111" s="88"/>
      <c r="K1111" s="237"/>
    </row>
    <row r="1112" spans="1:11" ht="28.5">
      <c r="A1112" s="984" t="s">
        <v>364</v>
      </c>
      <c r="B1112" s="985"/>
      <c r="C1112" s="77" t="s">
        <v>3</v>
      </c>
      <c r="D1112" s="77" t="s">
        <v>4</v>
      </c>
      <c r="E1112" s="77" t="s">
        <v>1826</v>
      </c>
      <c r="F1112" s="77" t="s">
        <v>367</v>
      </c>
      <c r="G1112" s="77" t="s">
        <v>368</v>
      </c>
      <c r="K1112" s="237"/>
    </row>
    <row r="1113" spans="1:11" s="45" customFormat="1" ht="30">
      <c r="A1113" s="24">
        <v>13683</v>
      </c>
      <c r="B1113" s="78" t="s">
        <v>3047</v>
      </c>
      <c r="C1113" s="25" t="s">
        <v>44</v>
      </c>
      <c r="D1113" s="25" t="s">
        <v>17</v>
      </c>
      <c r="E1113" s="26">
        <v>1</v>
      </c>
      <c r="F1113" s="26">
        <f t="shared" ref="F1113" si="392">H1113</f>
        <v>5.8650000000000002</v>
      </c>
      <c r="G1113" s="26">
        <f t="shared" ref="G1113" si="393">ROUND(F1113*E1113,2)</f>
        <v>5.87</v>
      </c>
      <c r="H1113" s="364">
        <v>5.8650000000000002</v>
      </c>
      <c r="I1113" s="45" t="e">
        <f>IF(A1113&lt;&gt;0,VLOOKUP(A1113,#REF!,2,FALSE),"")</f>
        <v>#REF!</v>
      </c>
      <c r="J1113" s="364"/>
      <c r="K1113" s="237"/>
    </row>
    <row r="1114" spans="1:11" ht="30">
      <c r="A1114" s="24">
        <v>88264</v>
      </c>
      <c r="B1114" s="78" t="s">
        <v>379</v>
      </c>
      <c r="C1114" s="25" t="s">
        <v>12</v>
      </c>
      <c r="D1114" s="25" t="s">
        <v>19</v>
      </c>
      <c r="E1114" s="26">
        <v>0.2</v>
      </c>
      <c r="F1114" s="26">
        <f t="shared" ref="F1114:F1115" si="394">H1114</f>
        <v>15.249000000000001</v>
      </c>
      <c r="G1114" s="26">
        <f t="shared" ref="G1114:G1115" si="395">ROUND(F1114*E1114,2)</f>
        <v>3.05</v>
      </c>
      <c r="H1114" s="375">
        <v>15.249000000000001</v>
      </c>
      <c r="K1114" s="237"/>
    </row>
    <row r="1115" spans="1:11" ht="30">
      <c r="A1115" s="24">
        <v>88316</v>
      </c>
      <c r="B1115" s="78" t="s">
        <v>377</v>
      </c>
      <c r="C1115" s="25" t="s">
        <v>12</v>
      </c>
      <c r="D1115" s="25" t="s">
        <v>19</v>
      </c>
      <c r="E1115" s="26">
        <v>0.2</v>
      </c>
      <c r="F1115" s="26">
        <f t="shared" si="394"/>
        <v>11.798000000000002</v>
      </c>
      <c r="G1115" s="26">
        <f t="shared" si="395"/>
        <v>2.36</v>
      </c>
      <c r="H1115" s="375">
        <v>11.798000000000002</v>
      </c>
      <c r="K1115" s="237"/>
    </row>
    <row r="1116" spans="1:11" ht="15" customHeight="1">
      <c r="A1116" s="986" t="s">
        <v>1894</v>
      </c>
      <c r="B1116" s="986"/>
      <c r="C1116" s="986"/>
      <c r="D1116" s="986"/>
      <c r="E1116" s="986"/>
      <c r="F1116" s="986"/>
      <c r="G1116" s="79">
        <f>ROUND(SUM(G1113:G1115),2)</f>
        <v>11.28</v>
      </c>
      <c r="K1116" s="237"/>
    </row>
    <row r="1117" spans="1:11" ht="23.25" customHeight="1">
      <c r="A1117" s="80"/>
      <c r="B1117" s="80"/>
      <c r="C1117" s="965"/>
      <c r="D1117" s="966"/>
      <c r="E1117" s="80"/>
      <c r="F1117" s="80"/>
      <c r="G1117" s="80"/>
      <c r="K1117" s="237"/>
    </row>
    <row r="1118" spans="1:11" ht="27.75" customHeight="1">
      <c r="A1118" s="920" t="s">
        <v>2617</v>
      </c>
      <c r="B1118" s="921"/>
      <c r="C1118" s="921"/>
      <c r="D1118" s="921"/>
      <c r="E1118" s="929"/>
      <c r="F1118" s="75" t="s">
        <v>1915</v>
      </c>
      <c r="G1118" s="88"/>
      <c r="K1118" s="237"/>
    </row>
    <row r="1119" spans="1:11" ht="28.5">
      <c r="A1119" s="984" t="s">
        <v>364</v>
      </c>
      <c r="B1119" s="985"/>
      <c r="C1119" s="77" t="s">
        <v>3</v>
      </c>
      <c r="D1119" s="77" t="s">
        <v>4</v>
      </c>
      <c r="E1119" s="77" t="s">
        <v>1826</v>
      </c>
      <c r="F1119" s="77" t="s">
        <v>367</v>
      </c>
      <c r="G1119" s="77" t="s">
        <v>368</v>
      </c>
      <c r="K1119" s="237"/>
    </row>
    <row r="1120" spans="1:11" s="45" customFormat="1" ht="30">
      <c r="A1120" s="24">
        <v>4028</v>
      </c>
      <c r="B1120" s="78" t="s">
        <v>2241</v>
      </c>
      <c r="C1120" s="25" t="s">
        <v>44</v>
      </c>
      <c r="D1120" s="25" t="s">
        <v>17</v>
      </c>
      <c r="E1120" s="26">
        <v>1</v>
      </c>
      <c r="F1120" s="26">
        <f t="shared" ref="F1120" si="396">H1120</f>
        <v>71.391499999999994</v>
      </c>
      <c r="G1120" s="26">
        <f t="shared" ref="G1120" si="397">ROUND(F1120*E1120,2)</f>
        <v>71.39</v>
      </c>
      <c r="H1120" s="364">
        <v>71.391499999999994</v>
      </c>
      <c r="I1120" s="45" t="e">
        <f>IF(A1120&lt;&gt;0,VLOOKUP(A1120,#REF!,2,FALSE),"")</f>
        <v>#REF!</v>
      </c>
      <c r="J1120" s="364"/>
      <c r="K1120" s="237"/>
    </row>
    <row r="1121" spans="1:11" ht="30">
      <c r="A1121" s="24">
        <v>88264</v>
      </c>
      <c r="B1121" s="78" t="s">
        <v>379</v>
      </c>
      <c r="C1121" s="25" t="s">
        <v>12</v>
      </c>
      <c r="D1121" s="25" t="s">
        <v>19</v>
      </c>
      <c r="E1121" s="26">
        <v>0.4</v>
      </c>
      <c r="F1121" s="26">
        <f t="shared" ref="F1121:F1122" si="398">H1121</f>
        <v>15.249000000000001</v>
      </c>
      <c r="G1121" s="26">
        <f t="shared" ref="G1121:G1122" si="399">ROUND(F1121*E1121,2)</f>
        <v>6.1</v>
      </c>
      <c r="H1121" s="375">
        <v>15.249000000000001</v>
      </c>
      <c r="K1121" s="237"/>
    </row>
    <row r="1122" spans="1:11" ht="30">
      <c r="A1122" s="24">
        <v>88316</v>
      </c>
      <c r="B1122" s="78" t="s">
        <v>377</v>
      </c>
      <c r="C1122" s="25" t="s">
        <v>12</v>
      </c>
      <c r="D1122" s="25" t="s">
        <v>19</v>
      </c>
      <c r="E1122" s="26">
        <v>0.4</v>
      </c>
      <c r="F1122" s="26">
        <f t="shared" si="398"/>
        <v>11.798000000000002</v>
      </c>
      <c r="G1122" s="26">
        <f t="shared" si="399"/>
        <v>4.72</v>
      </c>
      <c r="H1122" s="375">
        <v>11.798000000000002</v>
      </c>
      <c r="K1122" s="237"/>
    </row>
    <row r="1123" spans="1:11" ht="15" customHeight="1">
      <c r="A1123" s="986" t="s">
        <v>1894</v>
      </c>
      <c r="B1123" s="986"/>
      <c r="C1123" s="986"/>
      <c r="D1123" s="986"/>
      <c r="E1123" s="986"/>
      <c r="F1123" s="986"/>
      <c r="G1123" s="79">
        <f>ROUND(SUM(G1120:G1122),2)</f>
        <v>82.21</v>
      </c>
      <c r="K1123" s="237"/>
    </row>
    <row r="1124" spans="1:11" ht="30" customHeight="1">
      <c r="A1124" s="80"/>
      <c r="B1124" s="80"/>
      <c r="C1124" s="965"/>
      <c r="D1124" s="966"/>
      <c r="E1124" s="80"/>
      <c r="F1124" s="80"/>
      <c r="G1124" s="80"/>
      <c r="K1124" s="237"/>
    </row>
    <row r="1125" spans="1:11" ht="26.25" customHeight="1">
      <c r="A1125" s="920" t="s">
        <v>2238</v>
      </c>
      <c r="B1125" s="921"/>
      <c r="C1125" s="921"/>
      <c r="D1125" s="921"/>
      <c r="E1125" s="929"/>
      <c r="F1125" s="75" t="s">
        <v>1915</v>
      </c>
      <c r="G1125" s="88"/>
      <c r="K1125" s="237"/>
    </row>
    <row r="1126" spans="1:11" ht="28.5">
      <c r="A1126" s="984" t="s">
        <v>364</v>
      </c>
      <c r="B1126" s="985"/>
      <c r="C1126" s="77" t="s">
        <v>3</v>
      </c>
      <c r="D1126" s="77" t="s">
        <v>4</v>
      </c>
      <c r="E1126" s="77" t="s">
        <v>1826</v>
      </c>
      <c r="F1126" s="77" t="s">
        <v>367</v>
      </c>
      <c r="G1126" s="77" t="s">
        <v>368</v>
      </c>
      <c r="K1126" s="237"/>
    </row>
    <row r="1127" spans="1:11" s="45" customFormat="1" ht="30">
      <c r="A1127" s="24">
        <v>810</v>
      </c>
      <c r="B1127" s="78" t="s">
        <v>2239</v>
      </c>
      <c r="C1127" s="25" t="s">
        <v>44</v>
      </c>
      <c r="D1127" s="25" t="s">
        <v>4</v>
      </c>
      <c r="E1127" s="26">
        <v>1</v>
      </c>
      <c r="F1127" s="26">
        <f t="shared" ref="F1127" si="400">H1127</f>
        <v>68.135999999999996</v>
      </c>
      <c r="G1127" s="26">
        <f t="shared" ref="G1127" si="401">ROUND(F1127*E1127,2)</f>
        <v>68.14</v>
      </c>
      <c r="H1127" s="364">
        <v>68.135999999999996</v>
      </c>
      <c r="I1127" s="45" t="e">
        <f>IF(A1127&lt;&gt;0,VLOOKUP(A1127,#REF!,2,FALSE),"")</f>
        <v>#REF!</v>
      </c>
      <c r="J1127" s="364"/>
      <c r="K1127" s="237"/>
    </row>
    <row r="1128" spans="1:11" ht="30">
      <c r="A1128" s="24">
        <v>88264</v>
      </c>
      <c r="B1128" s="78" t="s">
        <v>379</v>
      </c>
      <c r="C1128" s="25" t="s">
        <v>12</v>
      </c>
      <c r="D1128" s="25" t="s">
        <v>19</v>
      </c>
      <c r="E1128" s="26">
        <v>0.2</v>
      </c>
      <c r="F1128" s="26">
        <f t="shared" ref="F1128:F1129" si="402">H1128</f>
        <v>15.249000000000001</v>
      </c>
      <c r="G1128" s="26">
        <f t="shared" ref="G1128:G1129" si="403">ROUND(F1128*E1128,2)</f>
        <v>3.05</v>
      </c>
      <c r="H1128" s="375">
        <v>15.249000000000001</v>
      </c>
      <c r="K1128" s="237"/>
    </row>
    <row r="1129" spans="1:11" ht="30">
      <c r="A1129" s="24">
        <v>88316</v>
      </c>
      <c r="B1129" s="78" t="s">
        <v>377</v>
      </c>
      <c r="C1129" s="25" t="s">
        <v>12</v>
      </c>
      <c r="D1129" s="25" t="s">
        <v>19</v>
      </c>
      <c r="E1129" s="26">
        <v>0.2</v>
      </c>
      <c r="F1129" s="26">
        <f t="shared" si="402"/>
        <v>11.798000000000002</v>
      </c>
      <c r="G1129" s="26">
        <f t="shared" si="403"/>
        <v>2.36</v>
      </c>
      <c r="H1129" s="375">
        <v>11.798000000000002</v>
      </c>
      <c r="K1129" s="237"/>
    </row>
    <row r="1130" spans="1:11" ht="15" customHeight="1">
      <c r="A1130" s="986" t="s">
        <v>1894</v>
      </c>
      <c r="B1130" s="986"/>
      <c r="C1130" s="986"/>
      <c r="D1130" s="986"/>
      <c r="E1130" s="986"/>
      <c r="F1130" s="986"/>
      <c r="G1130" s="79">
        <f>ROUND(SUM(G1127:G1129),2)</f>
        <v>73.55</v>
      </c>
      <c r="K1130" s="237"/>
    </row>
    <row r="1131" spans="1:11" ht="27" customHeight="1">
      <c r="A1131" s="80"/>
      <c r="B1131" s="80"/>
      <c r="C1131" s="965"/>
      <c r="D1131" s="966"/>
      <c r="E1131" s="80"/>
      <c r="F1131" s="80"/>
      <c r="G1131" s="80"/>
      <c r="K1131" s="237"/>
    </row>
    <row r="1132" spans="1:11" ht="36" customHeight="1">
      <c r="A1132" s="920" t="s">
        <v>2620</v>
      </c>
      <c r="B1132" s="921"/>
      <c r="C1132" s="921"/>
      <c r="D1132" s="921"/>
      <c r="E1132" s="929"/>
      <c r="F1132" s="75" t="s">
        <v>44</v>
      </c>
      <c r="G1132" s="88"/>
      <c r="K1132" s="237"/>
    </row>
    <row r="1133" spans="1:11" ht="28.5">
      <c r="A1133" s="984" t="s">
        <v>364</v>
      </c>
      <c r="B1133" s="985"/>
      <c r="C1133" s="77" t="s">
        <v>3</v>
      </c>
      <c r="D1133" s="77" t="s">
        <v>4</v>
      </c>
      <c r="E1133" s="77" t="s">
        <v>1826</v>
      </c>
      <c r="F1133" s="77" t="s">
        <v>367</v>
      </c>
      <c r="G1133" s="77" t="s">
        <v>368</v>
      </c>
      <c r="K1133" s="237"/>
    </row>
    <row r="1134" spans="1:11" s="45" customFormat="1" ht="30">
      <c r="A1134" s="24">
        <v>3635</v>
      </c>
      <c r="B1134" s="78" t="s">
        <v>1813</v>
      </c>
      <c r="C1134" s="25" t="s">
        <v>44</v>
      </c>
      <c r="D1134" s="25" t="s">
        <v>17</v>
      </c>
      <c r="E1134" s="26">
        <v>1</v>
      </c>
      <c r="F1134" s="26">
        <f t="shared" ref="F1134" si="404">H1134</f>
        <v>113.9</v>
      </c>
      <c r="G1134" s="26">
        <f t="shared" ref="G1134" si="405">ROUND(F1134*E1134,2)</f>
        <v>113.9</v>
      </c>
      <c r="H1134" s="364">
        <v>113.9</v>
      </c>
      <c r="I1134" s="45" t="e">
        <f>IF(A1134&lt;&gt;0,VLOOKUP(A1134,#REF!,2,FALSE),"")</f>
        <v>#REF!</v>
      </c>
      <c r="J1134" s="364"/>
      <c r="K1134" s="237"/>
    </row>
    <row r="1135" spans="1:11" ht="30">
      <c r="A1135" s="24">
        <v>88264</v>
      </c>
      <c r="B1135" s="78" t="s">
        <v>379</v>
      </c>
      <c r="C1135" s="25" t="s">
        <v>12</v>
      </c>
      <c r="D1135" s="25" t="s">
        <v>19</v>
      </c>
      <c r="E1135" s="26">
        <v>0.4</v>
      </c>
      <c r="F1135" s="26">
        <f t="shared" ref="F1135:F1136" si="406">H1135</f>
        <v>15.249000000000001</v>
      </c>
      <c r="G1135" s="26">
        <f t="shared" ref="G1135:G1136" si="407">ROUND(F1135*E1135,2)</f>
        <v>6.1</v>
      </c>
      <c r="H1135" s="375">
        <v>15.249000000000001</v>
      </c>
      <c r="K1135" s="237"/>
    </row>
    <row r="1136" spans="1:11" ht="30">
      <c r="A1136" s="24">
        <v>88316</v>
      </c>
      <c r="B1136" s="78" t="s">
        <v>377</v>
      </c>
      <c r="C1136" s="25" t="s">
        <v>12</v>
      </c>
      <c r="D1136" s="25" t="s">
        <v>19</v>
      </c>
      <c r="E1136" s="26">
        <v>0.4</v>
      </c>
      <c r="F1136" s="26">
        <f t="shared" si="406"/>
        <v>11.798000000000002</v>
      </c>
      <c r="G1136" s="26">
        <f t="shared" si="407"/>
        <v>4.72</v>
      </c>
      <c r="H1136" s="375">
        <v>11.798000000000002</v>
      </c>
      <c r="K1136" s="237"/>
    </row>
    <row r="1137" spans="1:11" ht="15" customHeight="1">
      <c r="A1137" s="986" t="s">
        <v>1894</v>
      </c>
      <c r="B1137" s="986"/>
      <c r="C1137" s="986"/>
      <c r="D1137" s="986"/>
      <c r="E1137" s="986"/>
      <c r="F1137" s="986"/>
      <c r="G1137" s="79">
        <f>ROUND(SUM(G1134:G1136),2)</f>
        <v>124.72</v>
      </c>
      <c r="K1137" s="237"/>
    </row>
    <row r="1138" spans="1:11" ht="28.5" customHeight="1">
      <c r="A1138" s="80"/>
      <c r="B1138" s="80"/>
      <c r="C1138" s="965"/>
      <c r="D1138" s="966"/>
      <c r="E1138" s="80"/>
      <c r="F1138" s="80"/>
      <c r="G1138" s="80"/>
      <c r="K1138" s="237"/>
    </row>
    <row r="1139" spans="1:11" ht="33" customHeight="1">
      <c r="A1139" s="920" t="s">
        <v>2237</v>
      </c>
      <c r="B1139" s="921"/>
      <c r="C1139" s="921"/>
      <c r="D1139" s="921"/>
      <c r="E1139" s="929"/>
      <c r="F1139" s="75" t="s">
        <v>44</v>
      </c>
      <c r="G1139" s="88"/>
      <c r="K1139" s="237"/>
    </row>
    <row r="1140" spans="1:11" ht="28.5">
      <c r="A1140" s="984" t="s">
        <v>364</v>
      </c>
      <c r="B1140" s="985"/>
      <c r="C1140" s="77" t="s">
        <v>3</v>
      </c>
      <c r="D1140" s="77" t="s">
        <v>4</v>
      </c>
      <c r="E1140" s="77" t="s">
        <v>1826</v>
      </c>
      <c r="F1140" s="77" t="s">
        <v>367</v>
      </c>
      <c r="G1140" s="77" t="s">
        <v>368</v>
      </c>
      <c r="K1140" s="237"/>
    </row>
    <row r="1141" spans="1:11" s="45" customFormat="1" ht="30">
      <c r="A1141" s="84">
        <v>4005</v>
      </c>
      <c r="B1141" s="85" t="s">
        <v>1819</v>
      </c>
      <c r="C1141" s="86" t="s">
        <v>44</v>
      </c>
      <c r="D1141" s="86" t="s">
        <v>17</v>
      </c>
      <c r="E1141" s="81">
        <v>1</v>
      </c>
      <c r="F1141" s="26">
        <f t="shared" ref="F1141" si="408">H1141</f>
        <v>43.35</v>
      </c>
      <c r="G1141" s="26">
        <f t="shared" ref="G1141" si="409">ROUND(F1141*E1141,2)</f>
        <v>43.35</v>
      </c>
      <c r="H1141" s="364">
        <v>43.35</v>
      </c>
      <c r="I1141" s="45" t="e">
        <f>IF(A1141&lt;&gt;0,VLOOKUP(A1141,#REF!,2,FALSE),"")</f>
        <v>#REF!</v>
      </c>
      <c r="J1141" s="364"/>
      <c r="K1141" s="237"/>
    </row>
    <row r="1142" spans="1:11" ht="30">
      <c r="A1142" s="24">
        <v>88264</v>
      </c>
      <c r="B1142" s="78" t="s">
        <v>379</v>
      </c>
      <c r="C1142" s="25" t="s">
        <v>12</v>
      </c>
      <c r="D1142" s="25" t="s">
        <v>19</v>
      </c>
      <c r="E1142" s="26">
        <v>0.2</v>
      </c>
      <c r="F1142" s="26">
        <f t="shared" ref="F1142:F1143" si="410">H1142</f>
        <v>15.249000000000001</v>
      </c>
      <c r="G1142" s="26">
        <f t="shared" ref="G1142:G1143" si="411">ROUND(F1142*E1142,2)</f>
        <v>3.05</v>
      </c>
      <c r="H1142" s="375">
        <v>15.249000000000001</v>
      </c>
      <c r="K1142" s="237"/>
    </row>
    <row r="1143" spans="1:11" ht="30">
      <c r="A1143" s="24">
        <v>88316</v>
      </c>
      <c r="B1143" s="78" t="s">
        <v>377</v>
      </c>
      <c r="C1143" s="25" t="s">
        <v>12</v>
      </c>
      <c r="D1143" s="25" t="s">
        <v>19</v>
      </c>
      <c r="E1143" s="26">
        <v>0.2</v>
      </c>
      <c r="F1143" s="26">
        <f t="shared" si="410"/>
        <v>11.798000000000002</v>
      </c>
      <c r="G1143" s="26">
        <f t="shared" si="411"/>
        <v>2.36</v>
      </c>
      <c r="H1143" s="375">
        <v>11.798000000000002</v>
      </c>
      <c r="K1143" s="237"/>
    </row>
    <row r="1144" spans="1:11" ht="15" customHeight="1">
      <c r="A1144" s="986" t="s">
        <v>1894</v>
      </c>
      <c r="B1144" s="986"/>
      <c r="C1144" s="986"/>
      <c r="D1144" s="986"/>
      <c r="E1144" s="986"/>
      <c r="F1144" s="986"/>
      <c r="G1144" s="79">
        <f>ROUND(SUM(G1141:G1143),2)</f>
        <v>48.76</v>
      </c>
      <c r="K1144" s="237"/>
    </row>
    <row r="1145" spans="1:11" ht="21" customHeight="1">
      <c r="A1145" s="80"/>
      <c r="B1145" s="80"/>
      <c r="C1145" s="965"/>
      <c r="D1145" s="966"/>
      <c r="E1145" s="80"/>
      <c r="F1145" s="80"/>
      <c r="G1145" s="80"/>
      <c r="K1145" s="237"/>
    </row>
    <row r="1146" spans="1:11" ht="30" customHeight="1">
      <c r="A1146" s="920" t="s">
        <v>2243</v>
      </c>
      <c r="B1146" s="921"/>
      <c r="C1146" s="921"/>
      <c r="D1146" s="921"/>
      <c r="E1146" s="929"/>
      <c r="F1146" s="75" t="s">
        <v>1915</v>
      </c>
      <c r="G1146" s="88"/>
      <c r="K1146" s="237"/>
    </row>
    <row r="1147" spans="1:11" ht="28.5">
      <c r="A1147" s="984" t="s">
        <v>364</v>
      </c>
      <c r="B1147" s="985"/>
      <c r="C1147" s="77" t="s">
        <v>3</v>
      </c>
      <c r="D1147" s="77" t="s">
        <v>4</v>
      </c>
      <c r="E1147" s="77" t="s">
        <v>1826</v>
      </c>
      <c r="F1147" s="77" t="s">
        <v>367</v>
      </c>
      <c r="G1147" s="77" t="s">
        <v>368</v>
      </c>
      <c r="K1147" s="237"/>
    </row>
    <row r="1148" spans="1:11" s="45" customFormat="1" ht="30">
      <c r="A1148" s="24">
        <v>4026</v>
      </c>
      <c r="B1148" s="78" t="s">
        <v>1814</v>
      </c>
      <c r="C1148" s="25" t="s">
        <v>44</v>
      </c>
      <c r="D1148" s="25" t="s">
        <v>17</v>
      </c>
      <c r="E1148" s="26">
        <v>1</v>
      </c>
      <c r="F1148" s="26">
        <f t="shared" ref="F1148" si="412">H1148</f>
        <v>300.26249999999999</v>
      </c>
      <c r="G1148" s="26">
        <f t="shared" ref="G1148" si="413">ROUND(F1148*E1148,2)</f>
        <v>300.26</v>
      </c>
      <c r="H1148" s="364">
        <v>300.26249999999999</v>
      </c>
      <c r="I1148" s="45" t="e">
        <f>IF(A1148&lt;&gt;0,VLOOKUP(A1148,#REF!,2,FALSE),"")</f>
        <v>#REF!</v>
      </c>
      <c r="J1148" s="364"/>
      <c r="K1148" s="237"/>
    </row>
    <row r="1149" spans="1:11" ht="30">
      <c r="A1149" s="24">
        <v>88264</v>
      </c>
      <c r="B1149" s="78" t="s">
        <v>379</v>
      </c>
      <c r="C1149" s="25" t="s">
        <v>12</v>
      </c>
      <c r="D1149" s="25" t="s">
        <v>19</v>
      </c>
      <c r="E1149" s="26">
        <v>0.6</v>
      </c>
      <c r="F1149" s="26">
        <f t="shared" ref="F1149:F1150" si="414">H1149</f>
        <v>15.249000000000001</v>
      </c>
      <c r="G1149" s="26">
        <f t="shared" ref="G1149:G1150" si="415">ROUND(F1149*E1149,2)</f>
        <v>9.15</v>
      </c>
      <c r="H1149" s="375">
        <v>15.249000000000001</v>
      </c>
      <c r="K1149" s="237"/>
    </row>
    <row r="1150" spans="1:11" ht="30">
      <c r="A1150" s="24">
        <v>88316</v>
      </c>
      <c r="B1150" s="78" t="s">
        <v>377</v>
      </c>
      <c r="C1150" s="25" t="s">
        <v>12</v>
      </c>
      <c r="D1150" s="25" t="s">
        <v>19</v>
      </c>
      <c r="E1150" s="26">
        <v>0.6</v>
      </c>
      <c r="F1150" s="26">
        <f t="shared" si="414"/>
        <v>11.798000000000002</v>
      </c>
      <c r="G1150" s="26">
        <f t="shared" si="415"/>
        <v>7.08</v>
      </c>
      <c r="H1150" s="375">
        <v>11.798000000000002</v>
      </c>
      <c r="K1150" s="237"/>
    </row>
    <row r="1151" spans="1:11" ht="18.75" customHeight="1">
      <c r="A1151" s="986" t="s">
        <v>1894</v>
      </c>
      <c r="B1151" s="986"/>
      <c r="C1151" s="986"/>
      <c r="D1151" s="986"/>
      <c r="E1151" s="986"/>
      <c r="F1151" s="986"/>
      <c r="G1151" s="79">
        <f>ROUND(SUM(G1148:G1150),2)</f>
        <v>316.49</v>
      </c>
      <c r="K1151" s="237"/>
    </row>
    <row r="1152" spans="1:11" ht="27" customHeight="1">
      <c r="A1152" s="80"/>
      <c r="B1152" s="80"/>
      <c r="C1152" s="965"/>
      <c r="D1152" s="966"/>
      <c r="E1152" s="80"/>
      <c r="F1152" s="80"/>
      <c r="G1152" s="80"/>
      <c r="K1152" s="237"/>
    </row>
    <row r="1153" spans="1:11" ht="25.5" customHeight="1">
      <c r="A1153" s="920" t="s">
        <v>2245</v>
      </c>
      <c r="B1153" s="921"/>
      <c r="C1153" s="921"/>
      <c r="D1153" s="921"/>
      <c r="E1153" s="929"/>
      <c r="F1153" s="75" t="s">
        <v>1915</v>
      </c>
      <c r="G1153" s="88"/>
      <c r="K1153" s="237"/>
    </row>
    <row r="1154" spans="1:11" ht="28.5">
      <c r="A1154" s="984" t="s">
        <v>364</v>
      </c>
      <c r="B1154" s="985"/>
      <c r="C1154" s="77" t="s">
        <v>3</v>
      </c>
      <c r="D1154" s="77" t="s">
        <v>4</v>
      </c>
      <c r="E1154" s="77" t="s">
        <v>1826</v>
      </c>
      <c r="F1154" s="77" t="s">
        <v>367</v>
      </c>
      <c r="G1154" s="77" t="s">
        <v>368</v>
      </c>
      <c r="K1154" s="237"/>
    </row>
    <row r="1155" spans="1:11" s="45" customFormat="1" ht="30">
      <c r="A1155" s="24">
        <v>4039</v>
      </c>
      <c r="B1155" s="78" t="s">
        <v>1815</v>
      </c>
      <c r="C1155" s="25" t="s">
        <v>44</v>
      </c>
      <c r="D1155" s="25" t="s">
        <v>17</v>
      </c>
      <c r="E1155" s="26">
        <v>1</v>
      </c>
      <c r="F1155" s="26">
        <f t="shared" ref="F1155" si="416">H1155</f>
        <v>141.49950000000001</v>
      </c>
      <c r="G1155" s="26">
        <f t="shared" ref="G1155" si="417">ROUND(F1155*E1155,2)</f>
        <v>141.5</v>
      </c>
      <c r="H1155" s="364">
        <v>141.49950000000001</v>
      </c>
      <c r="I1155" s="45" t="e">
        <f>IF(A1155&lt;&gt;0,VLOOKUP(A1155,#REF!,2,FALSE),"")</f>
        <v>#REF!</v>
      </c>
      <c r="J1155" s="364"/>
      <c r="K1155" s="237"/>
    </row>
    <row r="1156" spans="1:11" ht="30">
      <c r="A1156" s="24">
        <v>88264</v>
      </c>
      <c r="B1156" s="78" t="s">
        <v>379</v>
      </c>
      <c r="C1156" s="25" t="s">
        <v>12</v>
      </c>
      <c r="D1156" s="25" t="s">
        <v>19</v>
      </c>
      <c r="E1156" s="26">
        <v>0.3</v>
      </c>
      <c r="F1156" s="26">
        <f t="shared" ref="F1156:F1157" si="418">H1156</f>
        <v>15.249000000000001</v>
      </c>
      <c r="G1156" s="26">
        <f t="shared" ref="G1156:G1157" si="419">ROUND(F1156*E1156,2)</f>
        <v>4.57</v>
      </c>
      <c r="H1156" s="375">
        <v>15.249000000000001</v>
      </c>
      <c r="K1156" s="237"/>
    </row>
    <row r="1157" spans="1:11" ht="30">
      <c r="A1157" s="24">
        <v>88316</v>
      </c>
      <c r="B1157" s="78" t="s">
        <v>377</v>
      </c>
      <c r="C1157" s="25" t="s">
        <v>12</v>
      </c>
      <c r="D1157" s="25" t="s">
        <v>19</v>
      </c>
      <c r="E1157" s="26">
        <v>0.3</v>
      </c>
      <c r="F1157" s="26">
        <f t="shared" si="418"/>
        <v>11.798000000000002</v>
      </c>
      <c r="G1157" s="26">
        <f t="shared" si="419"/>
        <v>3.54</v>
      </c>
      <c r="H1157" s="375">
        <v>11.798000000000002</v>
      </c>
      <c r="K1157" s="237"/>
    </row>
    <row r="1158" spans="1:11" ht="15" customHeight="1">
      <c r="A1158" s="986" t="s">
        <v>1894</v>
      </c>
      <c r="B1158" s="986"/>
      <c r="C1158" s="986"/>
      <c r="D1158" s="986"/>
      <c r="E1158" s="986"/>
      <c r="F1158" s="986"/>
      <c r="G1158" s="79">
        <f>ROUND(SUM(G1155:G1157),2)</f>
        <v>149.61000000000001</v>
      </c>
      <c r="K1158" s="237"/>
    </row>
    <row r="1159" spans="1:11" ht="22.5" customHeight="1">
      <c r="A1159" s="80"/>
      <c r="B1159" s="80"/>
      <c r="C1159" s="965"/>
      <c r="D1159" s="966"/>
      <c r="E1159" s="80"/>
      <c r="F1159" s="80"/>
      <c r="G1159" s="80"/>
      <c r="K1159" s="237"/>
    </row>
    <row r="1160" spans="1:11" ht="33.75" customHeight="1">
      <c r="A1160" s="920" t="s">
        <v>2247</v>
      </c>
      <c r="B1160" s="921"/>
      <c r="C1160" s="921"/>
      <c r="D1160" s="921"/>
      <c r="E1160" s="929"/>
      <c r="F1160" s="75" t="s">
        <v>44</v>
      </c>
      <c r="G1160" s="88"/>
      <c r="K1160" s="237"/>
    </row>
    <row r="1161" spans="1:11" ht="28.5">
      <c r="A1161" s="984" t="s">
        <v>364</v>
      </c>
      <c r="B1161" s="985"/>
      <c r="C1161" s="77" t="s">
        <v>3</v>
      </c>
      <c r="D1161" s="77" t="s">
        <v>4</v>
      </c>
      <c r="E1161" s="77" t="s">
        <v>1826</v>
      </c>
      <c r="F1161" s="77" t="s">
        <v>367</v>
      </c>
      <c r="G1161" s="77" t="s">
        <v>368</v>
      </c>
      <c r="K1161" s="237"/>
    </row>
    <row r="1162" spans="1:11" s="45" customFormat="1">
      <c r="A1162" s="84">
        <v>2001</v>
      </c>
      <c r="B1162" s="85" t="s">
        <v>1824</v>
      </c>
      <c r="C1162" s="86" t="s">
        <v>44</v>
      </c>
      <c r="D1162" s="86" t="s">
        <v>17</v>
      </c>
      <c r="E1162" s="81">
        <v>1</v>
      </c>
      <c r="F1162" s="26">
        <f t="shared" ref="F1162" si="420">H1162</f>
        <v>1.7850000000000001</v>
      </c>
      <c r="G1162" s="26">
        <f t="shared" ref="G1162" si="421">ROUND(F1162*E1162,2)</f>
        <v>1.79</v>
      </c>
      <c r="H1162" s="364">
        <v>1.7850000000000001</v>
      </c>
      <c r="I1162" s="45" t="e">
        <f>IF(A1162&lt;&gt;0,VLOOKUP(A1162,#REF!,2,FALSE),"")</f>
        <v>#REF!</v>
      </c>
      <c r="J1162" s="364"/>
      <c r="K1162" s="237"/>
    </row>
    <row r="1163" spans="1:11" ht="30">
      <c r="A1163" s="24">
        <v>88264</v>
      </c>
      <c r="B1163" s="78" t="s">
        <v>379</v>
      </c>
      <c r="C1163" s="25" t="s">
        <v>12</v>
      </c>
      <c r="D1163" s="25" t="s">
        <v>19</v>
      </c>
      <c r="E1163" s="26">
        <v>0.12</v>
      </c>
      <c r="F1163" s="26">
        <f t="shared" ref="F1163:F1164" si="422">H1163</f>
        <v>15.249000000000001</v>
      </c>
      <c r="G1163" s="26">
        <f t="shared" ref="G1163:G1164" si="423">ROUND(F1163*E1163,2)</f>
        <v>1.83</v>
      </c>
      <c r="H1163" s="375">
        <v>15.249000000000001</v>
      </c>
      <c r="K1163" s="237"/>
    </row>
    <row r="1164" spans="1:11" ht="30">
      <c r="A1164" s="24">
        <v>88316</v>
      </c>
      <c r="B1164" s="78" t="s">
        <v>377</v>
      </c>
      <c r="C1164" s="25" t="s">
        <v>12</v>
      </c>
      <c r="D1164" s="25" t="s">
        <v>19</v>
      </c>
      <c r="E1164" s="26">
        <v>0.12</v>
      </c>
      <c r="F1164" s="26">
        <f t="shared" si="422"/>
        <v>11.798000000000002</v>
      </c>
      <c r="G1164" s="26">
        <f t="shared" si="423"/>
        <v>1.42</v>
      </c>
      <c r="H1164" s="375">
        <v>11.798000000000002</v>
      </c>
      <c r="K1164" s="237"/>
    </row>
    <row r="1165" spans="1:11" ht="15" customHeight="1">
      <c r="A1165" s="986" t="s">
        <v>1894</v>
      </c>
      <c r="B1165" s="986"/>
      <c r="C1165" s="986"/>
      <c r="D1165" s="986"/>
      <c r="E1165" s="986"/>
      <c r="F1165" s="986"/>
      <c r="G1165" s="79">
        <f>ROUND(SUM(G1162:G1164),2)</f>
        <v>5.04</v>
      </c>
      <c r="K1165" s="237"/>
    </row>
    <row r="1166" spans="1:11" ht="21.75" customHeight="1">
      <c r="A1166" s="80"/>
      <c r="B1166" s="80"/>
      <c r="C1166" s="965"/>
      <c r="D1166" s="966"/>
      <c r="E1166" s="80"/>
      <c r="F1166" s="80"/>
      <c r="G1166" s="80"/>
      <c r="K1166" s="237"/>
    </row>
    <row r="1167" spans="1:11" ht="37.5" customHeight="1">
      <c r="A1167" s="920" t="s">
        <v>2270</v>
      </c>
      <c r="B1167" s="921"/>
      <c r="C1167" s="921"/>
      <c r="D1167" s="921"/>
      <c r="E1167" s="929"/>
      <c r="F1167" s="75" t="s">
        <v>44</v>
      </c>
      <c r="G1167" s="88"/>
      <c r="K1167" s="237"/>
    </row>
    <row r="1168" spans="1:11" ht="28.5">
      <c r="A1168" s="984" t="s">
        <v>364</v>
      </c>
      <c r="B1168" s="985"/>
      <c r="C1168" s="77" t="s">
        <v>3</v>
      </c>
      <c r="D1168" s="77" t="s">
        <v>4</v>
      </c>
      <c r="E1168" s="77" t="s">
        <v>1826</v>
      </c>
      <c r="F1168" s="77" t="s">
        <v>367</v>
      </c>
      <c r="G1168" s="77" t="s">
        <v>368</v>
      </c>
      <c r="K1168" s="237"/>
    </row>
    <row r="1169" spans="1:11" s="45" customFormat="1" ht="30">
      <c r="A1169" s="84">
        <v>2000</v>
      </c>
      <c r="B1169" s="85" t="s">
        <v>2248</v>
      </c>
      <c r="C1169" s="86" t="s">
        <v>44</v>
      </c>
      <c r="D1169" s="86" t="s">
        <v>17</v>
      </c>
      <c r="E1169" s="81">
        <v>1</v>
      </c>
      <c r="F1169" s="26">
        <f t="shared" ref="F1169:F1171" si="424">H1169</f>
        <v>2.2949999999999999</v>
      </c>
      <c r="G1169" s="26">
        <f t="shared" ref="G1169:G1171" si="425">ROUND(F1169*E1169,2)</f>
        <v>2.2999999999999998</v>
      </c>
      <c r="H1169" s="364">
        <v>2.2949999999999999</v>
      </c>
      <c r="I1169" s="45" t="e">
        <f>IF(A1169&lt;&gt;0,VLOOKUP(A1169,#REF!,2,FALSE),"")</f>
        <v>#REF!</v>
      </c>
      <c r="J1169" s="364"/>
      <c r="K1169" s="237"/>
    </row>
    <row r="1170" spans="1:11" ht="15" customHeight="1">
      <c r="A1170" s="24">
        <v>88264</v>
      </c>
      <c r="B1170" s="78" t="s">
        <v>379</v>
      </c>
      <c r="C1170" s="25" t="s">
        <v>12</v>
      </c>
      <c r="D1170" s="25" t="s">
        <v>19</v>
      </c>
      <c r="E1170" s="26">
        <v>0.12</v>
      </c>
      <c r="F1170" s="26">
        <f t="shared" si="424"/>
        <v>15.249000000000001</v>
      </c>
      <c r="G1170" s="26">
        <f t="shared" si="425"/>
        <v>1.83</v>
      </c>
      <c r="H1170" s="375">
        <v>15.249000000000001</v>
      </c>
      <c r="K1170" s="237"/>
    </row>
    <row r="1171" spans="1:11" ht="30">
      <c r="A1171" s="24">
        <v>88316</v>
      </c>
      <c r="B1171" s="78" t="s">
        <v>377</v>
      </c>
      <c r="C1171" s="25" t="s">
        <v>12</v>
      </c>
      <c r="D1171" s="25" t="s">
        <v>19</v>
      </c>
      <c r="E1171" s="26">
        <v>0.12</v>
      </c>
      <c r="F1171" s="26">
        <f t="shared" si="424"/>
        <v>11.798000000000002</v>
      </c>
      <c r="G1171" s="26">
        <f t="shared" si="425"/>
        <v>1.42</v>
      </c>
      <c r="H1171" s="375">
        <v>11.798000000000002</v>
      </c>
      <c r="K1171" s="237"/>
    </row>
    <row r="1172" spans="1:11">
      <c r="A1172" s="986" t="s">
        <v>1894</v>
      </c>
      <c r="B1172" s="986"/>
      <c r="C1172" s="986"/>
      <c r="D1172" s="986"/>
      <c r="E1172" s="986"/>
      <c r="F1172" s="986"/>
      <c r="G1172" s="79">
        <f>ROUND(SUM(G1169:G1171),2)</f>
        <v>5.55</v>
      </c>
      <c r="K1172" s="237"/>
    </row>
    <row r="1173" spans="1:11" ht="25.5" customHeight="1">
      <c r="A1173" s="80"/>
      <c r="B1173" s="80"/>
      <c r="C1173" s="965"/>
      <c r="D1173" s="966"/>
      <c r="E1173" s="80"/>
      <c r="F1173" s="80"/>
      <c r="G1173" s="80"/>
      <c r="K1173" s="237"/>
    </row>
    <row r="1174" spans="1:11" ht="24.75" customHeight="1">
      <c r="A1174" s="920" t="s">
        <v>2249</v>
      </c>
      <c r="B1174" s="921"/>
      <c r="C1174" s="921"/>
      <c r="D1174" s="921"/>
      <c r="E1174" s="929"/>
      <c r="F1174" s="75" t="s">
        <v>44</v>
      </c>
      <c r="G1174" s="88"/>
      <c r="K1174" s="237"/>
    </row>
    <row r="1175" spans="1:11" ht="28.5">
      <c r="A1175" s="984" t="s">
        <v>364</v>
      </c>
      <c r="B1175" s="985"/>
      <c r="C1175" s="77" t="s">
        <v>3</v>
      </c>
      <c r="D1175" s="77" t="s">
        <v>4</v>
      </c>
      <c r="E1175" s="77" t="s">
        <v>1826</v>
      </c>
      <c r="F1175" s="77" t="s">
        <v>367</v>
      </c>
      <c r="G1175" s="77" t="s">
        <v>368</v>
      </c>
      <c r="K1175" s="237"/>
    </row>
    <row r="1176" spans="1:11" s="45" customFormat="1" ht="30">
      <c r="A1176" s="24">
        <v>13317</v>
      </c>
      <c r="B1176" s="78" t="s">
        <v>2250</v>
      </c>
      <c r="C1176" s="25" t="s">
        <v>44</v>
      </c>
      <c r="D1176" s="25" t="s">
        <v>17</v>
      </c>
      <c r="E1176" s="26">
        <v>1</v>
      </c>
      <c r="F1176" s="26">
        <f t="shared" ref="F1176:F1178" si="426">H1176</f>
        <v>19.702999999999999</v>
      </c>
      <c r="G1176" s="26">
        <f t="shared" ref="G1176:G1178" si="427">ROUND(F1176*E1176,2)</f>
        <v>19.7</v>
      </c>
      <c r="H1176" s="364">
        <v>19.702999999999999</v>
      </c>
      <c r="I1176" s="45" t="e">
        <f>IF(A1176&lt;&gt;0,VLOOKUP(A1176,#REF!,2,FALSE),"")</f>
        <v>#REF!</v>
      </c>
      <c r="J1176" s="364"/>
      <c r="K1176" s="237"/>
    </row>
    <row r="1177" spans="1:11" ht="15" customHeight="1">
      <c r="A1177" s="24">
        <v>88264</v>
      </c>
      <c r="B1177" s="78" t="s">
        <v>379</v>
      </c>
      <c r="C1177" s="25" t="s">
        <v>12</v>
      </c>
      <c r="D1177" s="25" t="s">
        <v>19</v>
      </c>
      <c r="E1177" s="26">
        <v>0.15</v>
      </c>
      <c r="F1177" s="26">
        <f t="shared" si="426"/>
        <v>15.249000000000001</v>
      </c>
      <c r="G1177" s="26">
        <f t="shared" si="427"/>
        <v>2.29</v>
      </c>
      <c r="H1177" s="375">
        <v>15.249000000000001</v>
      </c>
      <c r="K1177" s="237"/>
    </row>
    <row r="1178" spans="1:11" ht="30">
      <c r="A1178" s="24">
        <v>88316</v>
      </c>
      <c r="B1178" s="78" t="s">
        <v>377</v>
      </c>
      <c r="C1178" s="25" t="s">
        <v>12</v>
      </c>
      <c r="D1178" s="25" t="s">
        <v>19</v>
      </c>
      <c r="E1178" s="26">
        <v>0.15</v>
      </c>
      <c r="F1178" s="26">
        <f t="shared" si="426"/>
        <v>11.798000000000002</v>
      </c>
      <c r="G1178" s="26">
        <f t="shared" si="427"/>
        <v>1.77</v>
      </c>
      <c r="H1178" s="375">
        <v>11.798000000000002</v>
      </c>
      <c r="K1178" s="237"/>
    </row>
    <row r="1179" spans="1:11">
      <c r="A1179" s="986" t="s">
        <v>1894</v>
      </c>
      <c r="B1179" s="986"/>
      <c r="C1179" s="986"/>
      <c r="D1179" s="986"/>
      <c r="E1179" s="986"/>
      <c r="F1179" s="986"/>
      <c r="G1179" s="79">
        <f>ROUND(SUM(G1176:G1178),2)</f>
        <v>23.76</v>
      </c>
      <c r="K1179" s="237"/>
    </row>
    <row r="1180" spans="1:11" ht="24.75" customHeight="1">
      <c r="A1180" s="80"/>
      <c r="B1180" s="80"/>
      <c r="C1180" s="965"/>
      <c r="D1180" s="966"/>
      <c r="E1180" s="80"/>
      <c r="F1180" s="80"/>
      <c r="G1180" s="80"/>
      <c r="K1180" s="237"/>
    </row>
    <row r="1181" spans="1:11" ht="21.75" customHeight="1">
      <c r="A1181" s="920" t="s">
        <v>2252</v>
      </c>
      <c r="B1181" s="921"/>
      <c r="C1181" s="921"/>
      <c r="D1181" s="921"/>
      <c r="E1181" s="929"/>
      <c r="F1181" s="75" t="s">
        <v>70</v>
      </c>
      <c r="G1181" s="88"/>
      <c r="K1181" s="237"/>
    </row>
    <row r="1182" spans="1:11" ht="28.5">
      <c r="A1182" s="984" t="s">
        <v>364</v>
      </c>
      <c r="B1182" s="985"/>
      <c r="C1182" s="77" t="s">
        <v>3</v>
      </c>
      <c r="D1182" s="77" t="s">
        <v>4</v>
      </c>
      <c r="E1182" s="77" t="s">
        <v>1826</v>
      </c>
      <c r="F1182" s="77" t="s">
        <v>367</v>
      </c>
      <c r="G1182" s="77" t="s">
        <v>368</v>
      </c>
      <c r="K1182" s="237"/>
    </row>
    <row r="1183" spans="1:11" ht="30">
      <c r="A1183" s="24">
        <v>370</v>
      </c>
      <c r="B1183" s="78" t="s">
        <v>396</v>
      </c>
      <c r="C1183" s="25" t="s">
        <v>12</v>
      </c>
      <c r="D1183" s="25" t="s">
        <v>35</v>
      </c>
      <c r="E1183" s="26">
        <v>1.7999999999999999E-2</v>
      </c>
      <c r="F1183" s="26">
        <f t="shared" ref="F1183" si="428">H1183</f>
        <v>42.5</v>
      </c>
      <c r="G1183" s="26">
        <f t="shared" ref="G1183" si="429">ROUND(F1183*E1183,2)</f>
        <v>0.77</v>
      </c>
      <c r="H1183" s="375">
        <v>42.5</v>
      </c>
      <c r="I1183" s="28" t="e">
        <f>IF(A1183&lt;&gt;0,VLOOKUP(A1183,#REF!,2,FALSE),"")</f>
        <v>#REF!</v>
      </c>
      <c r="K1183" s="237"/>
    </row>
    <row r="1184" spans="1:11">
      <c r="A1184" s="24">
        <v>1379</v>
      </c>
      <c r="B1184" s="78" t="s">
        <v>397</v>
      </c>
      <c r="C1184" s="25" t="s">
        <v>12</v>
      </c>
      <c r="D1184" s="25" t="s">
        <v>45</v>
      </c>
      <c r="E1184" s="26">
        <v>7.7960000000000003</v>
      </c>
      <c r="F1184" s="26">
        <f t="shared" ref="F1184:F1187" si="430">H1184</f>
        <v>0.60349999999999993</v>
      </c>
      <c r="G1184" s="26">
        <f t="shared" ref="G1184:G1187" si="431">ROUND(F1184*E1184,2)</f>
        <v>4.7</v>
      </c>
      <c r="H1184" s="375">
        <v>0.60349999999999993</v>
      </c>
      <c r="I1184" s="28" t="e">
        <f>IF(A1184&lt;&gt;0,VLOOKUP(A1184,#REF!,2,FALSE),"")</f>
        <v>#REF!</v>
      </c>
      <c r="K1184" s="237"/>
    </row>
    <row r="1185" spans="1:11" ht="30">
      <c r="A1185" s="24">
        <v>4718</v>
      </c>
      <c r="B1185" s="78" t="s">
        <v>536</v>
      </c>
      <c r="C1185" s="25" t="s">
        <v>12</v>
      </c>
      <c r="D1185" s="25" t="s">
        <v>35</v>
      </c>
      <c r="E1185" s="26">
        <v>2.3E-2</v>
      </c>
      <c r="F1185" s="26">
        <f t="shared" si="430"/>
        <v>78.625</v>
      </c>
      <c r="G1185" s="26">
        <f t="shared" si="431"/>
        <v>1.81</v>
      </c>
      <c r="H1185" s="375">
        <v>78.625</v>
      </c>
      <c r="I1185" s="28" t="e">
        <f>IF(A1185&lt;&gt;0,VLOOKUP(A1185,#REF!,2,FALSE),"")</f>
        <v>#REF!</v>
      </c>
      <c r="K1185" s="237"/>
    </row>
    <row r="1186" spans="1:11" ht="30">
      <c r="A1186" s="24">
        <v>88309</v>
      </c>
      <c r="B1186" s="78" t="s">
        <v>390</v>
      </c>
      <c r="C1186" s="25" t="s">
        <v>12</v>
      </c>
      <c r="D1186" s="25" t="s">
        <v>19</v>
      </c>
      <c r="E1186" s="26">
        <v>0.12</v>
      </c>
      <c r="F1186" s="26">
        <f t="shared" si="430"/>
        <v>15.121499999999999</v>
      </c>
      <c r="G1186" s="26">
        <f t="shared" si="431"/>
        <v>1.81</v>
      </c>
      <c r="H1186" s="375">
        <v>15.121499999999999</v>
      </c>
      <c r="I1186" s="28" t="e">
        <f>IF(A1186&lt;&gt;0,VLOOKUP(A1186,#REF!,2,FALSE),"")</f>
        <v>#REF!</v>
      </c>
      <c r="K1186" s="237"/>
    </row>
    <row r="1187" spans="1:11" ht="30">
      <c r="A1187" s="24">
        <v>88316</v>
      </c>
      <c r="B1187" s="78" t="s">
        <v>377</v>
      </c>
      <c r="C1187" s="25" t="s">
        <v>12</v>
      </c>
      <c r="D1187" s="25" t="s">
        <v>19</v>
      </c>
      <c r="E1187" s="26">
        <v>0.39</v>
      </c>
      <c r="F1187" s="26">
        <f t="shared" si="430"/>
        <v>11.798000000000002</v>
      </c>
      <c r="G1187" s="26">
        <f t="shared" si="431"/>
        <v>4.5999999999999996</v>
      </c>
      <c r="H1187" s="375">
        <v>11.798000000000002</v>
      </c>
      <c r="I1187" s="28" t="e">
        <f>IF(A1187&lt;&gt;0,VLOOKUP(A1187,#REF!,2,FALSE),"")</f>
        <v>#REF!</v>
      </c>
      <c r="K1187" s="237"/>
    </row>
    <row r="1188" spans="1:11" ht="15" customHeight="1">
      <c r="A1188" s="986" t="s">
        <v>1894</v>
      </c>
      <c r="B1188" s="986"/>
      <c r="C1188" s="986"/>
      <c r="D1188" s="986"/>
      <c r="E1188" s="986"/>
      <c r="F1188" s="986"/>
      <c r="G1188" s="79">
        <f>ROUND(SUM(G1183:G1187),2)</f>
        <v>13.69</v>
      </c>
      <c r="K1188" s="237"/>
    </row>
    <row r="1189" spans="1:11" ht="28.5" customHeight="1">
      <c r="A1189" s="80"/>
      <c r="B1189" s="80"/>
      <c r="C1189" s="965"/>
      <c r="D1189" s="966"/>
      <c r="E1189" s="80"/>
      <c r="F1189" s="80"/>
      <c r="G1189" s="80"/>
      <c r="K1189" s="237"/>
    </row>
    <row r="1190" spans="1:11" ht="33" customHeight="1">
      <c r="A1190" s="920" t="s">
        <v>2254</v>
      </c>
      <c r="B1190" s="921"/>
      <c r="C1190" s="921"/>
      <c r="D1190" s="921"/>
      <c r="E1190" s="929"/>
      <c r="F1190" s="75" t="s">
        <v>44</v>
      </c>
      <c r="G1190" s="88"/>
      <c r="K1190" s="237"/>
    </row>
    <row r="1191" spans="1:11" ht="28.5">
      <c r="A1191" s="984" t="s">
        <v>364</v>
      </c>
      <c r="B1191" s="985"/>
      <c r="C1191" s="77" t="s">
        <v>3</v>
      </c>
      <c r="D1191" s="77" t="s">
        <v>4</v>
      </c>
      <c r="E1191" s="77" t="s">
        <v>1826</v>
      </c>
      <c r="F1191" s="77" t="s">
        <v>367</v>
      </c>
      <c r="G1191" s="77" t="s">
        <v>368</v>
      </c>
      <c r="K1191" s="237"/>
    </row>
    <row r="1192" spans="1:11" s="45" customFormat="1" ht="45">
      <c r="A1192" s="24">
        <v>2234</v>
      </c>
      <c r="B1192" s="78" t="s">
        <v>571</v>
      </c>
      <c r="C1192" s="25" t="s">
        <v>44</v>
      </c>
      <c r="D1192" s="25" t="s">
        <v>17</v>
      </c>
      <c r="E1192" s="26">
        <v>1</v>
      </c>
      <c r="F1192" s="26">
        <f t="shared" ref="F1192" si="432">H1192</f>
        <v>11.135</v>
      </c>
      <c r="G1192" s="26">
        <f t="shared" ref="G1192" si="433">ROUND(F1192*E1192,2)</f>
        <v>11.14</v>
      </c>
      <c r="H1192" s="364">
        <v>11.135</v>
      </c>
      <c r="I1192" s="45" t="e">
        <f>IF(A1192&lt;&gt;0,VLOOKUP(A1192,#REF!,2,FALSE),"")</f>
        <v>#REF!</v>
      </c>
      <c r="J1192" s="364"/>
      <c r="K1192" s="237"/>
    </row>
    <row r="1193" spans="1:11" ht="30">
      <c r="A1193" s="24">
        <v>88264</v>
      </c>
      <c r="B1193" s="78" t="s">
        <v>379</v>
      </c>
      <c r="C1193" s="25" t="s">
        <v>12</v>
      </c>
      <c r="D1193" s="25" t="s">
        <v>19</v>
      </c>
      <c r="E1193" s="26">
        <v>0.3</v>
      </c>
      <c r="F1193" s="26">
        <f t="shared" ref="F1193:F1194" si="434">H1193</f>
        <v>15.249000000000001</v>
      </c>
      <c r="G1193" s="26">
        <f t="shared" ref="G1193:G1194" si="435">ROUND(F1193*E1193,2)</f>
        <v>4.57</v>
      </c>
      <c r="H1193" s="375">
        <v>15.249000000000001</v>
      </c>
      <c r="K1193" s="237"/>
    </row>
    <row r="1194" spans="1:11" ht="30">
      <c r="A1194" s="24">
        <v>88316</v>
      </c>
      <c r="B1194" s="78" t="s">
        <v>377</v>
      </c>
      <c r="C1194" s="25" t="s">
        <v>12</v>
      </c>
      <c r="D1194" s="25" t="s">
        <v>19</v>
      </c>
      <c r="E1194" s="26">
        <v>0.3</v>
      </c>
      <c r="F1194" s="26">
        <f t="shared" si="434"/>
        <v>11.798000000000002</v>
      </c>
      <c r="G1194" s="26">
        <f t="shared" si="435"/>
        <v>3.54</v>
      </c>
      <c r="H1194" s="375">
        <v>11.798000000000002</v>
      </c>
      <c r="K1194" s="237"/>
    </row>
    <row r="1195" spans="1:11" ht="15" customHeight="1">
      <c r="A1195" s="986" t="s">
        <v>1894</v>
      </c>
      <c r="B1195" s="986"/>
      <c r="C1195" s="986"/>
      <c r="D1195" s="986"/>
      <c r="E1195" s="986"/>
      <c r="F1195" s="986"/>
      <c r="G1195" s="79">
        <f>ROUND(SUM(G1192:G1194),2)</f>
        <v>19.25</v>
      </c>
      <c r="K1195" s="237"/>
    </row>
    <row r="1196" spans="1:11" ht="24" customHeight="1">
      <c r="A1196" s="80"/>
      <c r="B1196" s="80"/>
      <c r="C1196" s="965"/>
      <c r="D1196" s="966"/>
      <c r="E1196" s="80"/>
      <c r="F1196" s="80"/>
      <c r="G1196" s="80"/>
      <c r="K1196" s="237"/>
    </row>
    <row r="1197" spans="1:11" ht="22.5" customHeight="1">
      <c r="A1197" s="920" t="s">
        <v>2255</v>
      </c>
      <c r="B1197" s="921"/>
      <c r="C1197" s="921"/>
      <c r="D1197" s="921"/>
      <c r="E1197" s="929"/>
      <c r="F1197" s="75" t="s">
        <v>44</v>
      </c>
      <c r="G1197" s="88"/>
      <c r="K1197" s="237"/>
    </row>
    <row r="1198" spans="1:11" ht="28.5">
      <c r="A1198" s="984" t="s">
        <v>364</v>
      </c>
      <c r="B1198" s="985"/>
      <c r="C1198" s="77" t="s">
        <v>3</v>
      </c>
      <c r="D1198" s="77" t="s">
        <v>4</v>
      </c>
      <c r="E1198" s="77" t="s">
        <v>1826</v>
      </c>
      <c r="F1198" s="77" t="s">
        <v>367</v>
      </c>
      <c r="G1198" s="77" t="s">
        <v>368</v>
      </c>
      <c r="K1198" s="237"/>
    </row>
    <row r="1199" spans="1:11" s="45" customFormat="1" ht="30">
      <c r="A1199" s="24">
        <v>8955</v>
      </c>
      <c r="B1199" s="78" t="s">
        <v>1820</v>
      </c>
      <c r="C1199" s="25" t="s">
        <v>44</v>
      </c>
      <c r="D1199" s="25" t="s">
        <v>17</v>
      </c>
      <c r="E1199" s="26">
        <v>1</v>
      </c>
      <c r="F1199" s="26">
        <f t="shared" ref="F1199" si="436">H1199</f>
        <v>2.7795000000000001</v>
      </c>
      <c r="G1199" s="26">
        <f t="shared" ref="G1199" si="437">ROUND(F1199*E1199,2)</f>
        <v>2.78</v>
      </c>
      <c r="H1199" s="364">
        <v>2.7795000000000001</v>
      </c>
      <c r="I1199" s="45" t="e">
        <f>IF(A1199&lt;&gt;0,VLOOKUP(A1199,#REF!,2,FALSE),"")</f>
        <v>#REF!</v>
      </c>
      <c r="J1199" s="364"/>
      <c r="K1199" s="237"/>
    </row>
    <row r="1200" spans="1:11" ht="30">
      <c r="A1200" s="24">
        <v>88264</v>
      </c>
      <c r="B1200" s="78" t="s">
        <v>379</v>
      </c>
      <c r="C1200" s="25" t="s">
        <v>12</v>
      </c>
      <c r="D1200" s="25" t="s">
        <v>19</v>
      </c>
      <c r="E1200" s="26">
        <v>0.2</v>
      </c>
      <c r="F1200" s="26">
        <f t="shared" ref="F1200:F1201" si="438">H1200</f>
        <v>15.249000000000001</v>
      </c>
      <c r="G1200" s="26">
        <f t="shared" ref="G1200:G1201" si="439">ROUND(F1200*E1200,2)</f>
        <v>3.05</v>
      </c>
      <c r="H1200" s="375">
        <v>15.249000000000001</v>
      </c>
      <c r="K1200" s="237"/>
    </row>
    <row r="1201" spans="1:11" ht="30">
      <c r="A1201" s="24">
        <v>88316</v>
      </c>
      <c r="B1201" s="78" t="s">
        <v>377</v>
      </c>
      <c r="C1201" s="25" t="s">
        <v>12</v>
      </c>
      <c r="D1201" s="25" t="s">
        <v>19</v>
      </c>
      <c r="E1201" s="26">
        <v>0.2</v>
      </c>
      <c r="F1201" s="26">
        <f t="shared" si="438"/>
        <v>11.798000000000002</v>
      </c>
      <c r="G1201" s="26">
        <f t="shared" si="439"/>
        <v>2.36</v>
      </c>
      <c r="H1201" s="375">
        <v>11.798000000000002</v>
      </c>
      <c r="K1201" s="237"/>
    </row>
    <row r="1202" spans="1:11" ht="15" customHeight="1">
      <c r="A1202" s="986" t="s">
        <v>1894</v>
      </c>
      <c r="B1202" s="986"/>
      <c r="C1202" s="986"/>
      <c r="D1202" s="986"/>
      <c r="E1202" s="986"/>
      <c r="F1202" s="986"/>
      <c r="G1202" s="79">
        <f>ROUND(SUM(G1199:G1201),2)</f>
        <v>8.19</v>
      </c>
      <c r="K1202" s="237"/>
    </row>
    <row r="1203" spans="1:11" ht="29.25" customHeight="1">
      <c r="A1203" s="80"/>
      <c r="B1203" s="80"/>
      <c r="C1203" s="965"/>
      <c r="D1203" s="966"/>
      <c r="E1203" s="80"/>
      <c r="F1203" s="80"/>
      <c r="G1203" s="80"/>
      <c r="K1203" s="237"/>
    </row>
    <row r="1204" spans="1:11" ht="15" customHeight="1">
      <c r="A1204" s="920" t="s">
        <v>2256</v>
      </c>
      <c r="B1204" s="921"/>
      <c r="C1204" s="921"/>
      <c r="D1204" s="921"/>
      <c r="E1204" s="929"/>
      <c r="F1204" s="75" t="s">
        <v>44</v>
      </c>
      <c r="G1204" s="88"/>
      <c r="K1204" s="237"/>
    </row>
    <row r="1205" spans="1:11" ht="28.5">
      <c r="A1205" s="984" t="s">
        <v>364</v>
      </c>
      <c r="B1205" s="985"/>
      <c r="C1205" s="77" t="s">
        <v>3</v>
      </c>
      <c r="D1205" s="77" t="s">
        <v>4</v>
      </c>
      <c r="E1205" s="77" t="s">
        <v>1826</v>
      </c>
      <c r="F1205" s="77" t="s">
        <v>367</v>
      </c>
      <c r="G1205" s="77" t="s">
        <v>368</v>
      </c>
      <c r="K1205" s="237"/>
    </row>
    <row r="1206" spans="1:11" s="45" customFormat="1" ht="30">
      <c r="A1206" s="24">
        <v>3639</v>
      </c>
      <c r="B1206" s="78" t="s">
        <v>1821</v>
      </c>
      <c r="C1206" s="25" t="s">
        <v>44</v>
      </c>
      <c r="D1206" s="25" t="s">
        <v>17</v>
      </c>
      <c r="E1206" s="26">
        <v>1</v>
      </c>
      <c r="F1206" s="26">
        <f t="shared" ref="F1206:F1208" si="440">H1206</f>
        <v>4.165</v>
      </c>
      <c r="G1206" s="26">
        <f t="shared" ref="G1206:G1208" si="441">ROUND(F1206*E1206,2)</f>
        <v>4.17</v>
      </c>
      <c r="H1206" s="364">
        <v>4.165</v>
      </c>
      <c r="I1206" s="45" t="e">
        <f>IF(A1206&lt;&gt;0,VLOOKUP(A1206,#REF!,2,FALSE),"")</f>
        <v>#REF!</v>
      </c>
      <c r="J1206" s="364"/>
      <c r="K1206" s="237"/>
    </row>
    <row r="1207" spans="1:11" ht="15" customHeight="1">
      <c r="A1207" s="24">
        <v>88264</v>
      </c>
      <c r="B1207" s="78" t="s">
        <v>379</v>
      </c>
      <c r="C1207" s="25" t="s">
        <v>12</v>
      </c>
      <c r="D1207" s="25" t="s">
        <v>19</v>
      </c>
      <c r="E1207" s="26">
        <v>0.2</v>
      </c>
      <c r="F1207" s="26">
        <f t="shared" si="440"/>
        <v>15.249000000000001</v>
      </c>
      <c r="G1207" s="26">
        <f t="shared" si="441"/>
        <v>3.05</v>
      </c>
      <c r="H1207" s="375">
        <v>15.249000000000001</v>
      </c>
      <c r="K1207" s="237"/>
    </row>
    <row r="1208" spans="1:11" ht="30">
      <c r="A1208" s="24">
        <v>88316</v>
      </c>
      <c r="B1208" s="78" t="s">
        <v>377</v>
      </c>
      <c r="C1208" s="25" t="s">
        <v>12</v>
      </c>
      <c r="D1208" s="25" t="s">
        <v>19</v>
      </c>
      <c r="E1208" s="26">
        <v>0.2</v>
      </c>
      <c r="F1208" s="26">
        <f t="shared" si="440"/>
        <v>11.798000000000002</v>
      </c>
      <c r="G1208" s="26">
        <f t="shared" si="441"/>
        <v>2.36</v>
      </c>
      <c r="H1208" s="375">
        <v>11.798000000000002</v>
      </c>
      <c r="K1208" s="237"/>
    </row>
    <row r="1209" spans="1:11">
      <c r="A1209" s="986" t="s">
        <v>1894</v>
      </c>
      <c r="B1209" s="986"/>
      <c r="C1209" s="986"/>
      <c r="D1209" s="986"/>
      <c r="E1209" s="986"/>
      <c r="F1209" s="986"/>
      <c r="G1209" s="79">
        <f>ROUND(SUM(G1206:G1208),2)</f>
        <v>9.58</v>
      </c>
      <c r="K1209" s="237"/>
    </row>
    <row r="1210" spans="1:11" ht="22.5" customHeight="1">
      <c r="A1210" s="80"/>
      <c r="B1210" s="80"/>
      <c r="C1210" s="965"/>
      <c r="D1210" s="966"/>
      <c r="E1210" s="80"/>
      <c r="F1210" s="80"/>
      <c r="G1210" s="80"/>
      <c r="K1210" s="237"/>
    </row>
    <row r="1211" spans="1:11" ht="25.5" customHeight="1">
      <c r="A1211" s="920" t="s">
        <v>2257</v>
      </c>
      <c r="B1211" s="921"/>
      <c r="C1211" s="921"/>
      <c r="D1211" s="921"/>
      <c r="E1211" s="929"/>
      <c r="F1211" s="75" t="s">
        <v>44</v>
      </c>
      <c r="G1211" s="88"/>
      <c r="K1211" s="237"/>
    </row>
    <row r="1212" spans="1:11" ht="28.5">
      <c r="A1212" s="984" t="s">
        <v>364</v>
      </c>
      <c r="B1212" s="985"/>
      <c r="C1212" s="77" t="s">
        <v>3</v>
      </c>
      <c r="D1212" s="77" t="s">
        <v>4</v>
      </c>
      <c r="E1212" s="77" t="s">
        <v>1826</v>
      </c>
      <c r="F1212" s="77" t="s">
        <v>367</v>
      </c>
      <c r="G1212" s="77" t="s">
        <v>368</v>
      </c>
      <c r="K1212" s="237"/>
    </row>
    <row r="1213" spans="1:11" s="45" customFormat="1" ht="30">
      <c r="A1213" s="24">
        <v>13682</v>
      </c>
      <c r="B1213" s="78" t="s">
        <v>2258</v>
      </c>
      <c r="C1213" s="25" t="s">
        <v>44</v>
      </c>
      <c r="D1213" s="25" t="s">
        <v>17</v>
      </c>
      <c r="E1213" s="26">
        <v>1</v>
      </c>
      <c r="F1213" s="26">
        <f t="shared" ref="F1213:F1215" si="442">H1213</f>
        <v>6.2474999999999996</v>
      </c>
      <c r="G1213" s="26">
        <f t="shared" ref="G1213:G1215" si="443">ROUND(F1213*E1213,2)</f>
        <v>6.25</v>
      </c>
      <c r="H1213" s="364">
        <v>6.2474999999999996</v>
      </c>
      <c r="I1213" s="45" t="e">
        <f>IF(A1213&lt;&gt;0,VLOOKUP(A1213,#REF!,2,FALSE),"")</f>
        <v>#REF!</v>
      </c>
      <c r="J1213" s="364"/>
      <c r="K1213" s="237"/>
    </row>
    <row r="1214" spans="1:11" ht="15" customHeight="1">
      <c r="A1214" s="24">
        <v>88264</v>
      </c>
      <c r="B1214" s="78" t="s">
        <v>379</v>
      </c>
      <c r="C1214" s="25" t="s">
        <v>12</v>
      </c>
      <c r="D1214" s="25" t="s">
        <v>19</v>
      </c>
      <c r="E1214" s="26">
        <v>0.2</v>
      </c>
      <c r="F1214" s="26">
        <f t="shared" si="442"/>
        <v>15.249000000000001</v>
      </c>
      <c r="G1214" s="26">
        <f t="shared" si="443"/>
        <v>3.05</v>
      </c>
      <c r="H1214" s="375">
        <v>15.249000000000001</v>
      </c>
      <c r="K1214" s="237"/>
    </row>
    <row r="1215" spans="1:11" ht="30">
      <c r="A1215" s="24">
        <v>88316</v>
      </c>
      <c r="B1215" s="78" t="s">
        <v>377</v>
      </c>
      <c r="C1215" s="25" t="s">
        <v>12</v>
      </c>
      <c r="D1215" s="25" t="s">
        <v>19</v>
      </c>
      <c r="E1215" s="26">
        <v>0.2</v>
      </c>
      <c r="F1215" s="26">
        <f t="shared" si="442"/>
        <v>11.798000000000002</v>
      </c>
      <c r="G1215" s="26">
        <f t="shared" si="443"/>
        <v>2.36</v>
      </c>
      <c r="H1215" s="375">
        <v>11.798000000000002</v>
      </c>
      <c r="K1215" s="237"/>
    </row>
    <row r="1216" spans="1:11">
      <c r="A1216" s="986" t="s">
        <v>1894</v>
      </c>
      <c r="B1216" s="986"/>
      <c r="C1216" s="986"/>
      <c r="D1216" s="986"/>
      <c r="E1216" s="986"/>
      <c r="F1216" s="986"/>
      <c r="G1216" s="79">
        <f>ROUND(SUM(G1213:G1215),2)</f>
        <v>11.66</v>
      </c>
      <c r="K1216" s="237"/>
    </row>
    <row r="1217" spans="1:11" ht="21.75" customHeight="1">
      <c r="A1217" s="80"/>
      <c r="B1217" s="80"/>
      <c r="C1217" s="965"/>
      <c r="D1217" s="966"/>
      <c r="E1217" s="80"/>
      <c r="F1217" s="80"/>
      <c r="G1217" s="80"/>
      <c r="K1217" s="237"/>
    </row>
    <row r="1218" spans="1:11" ht="24.75" customHeight="1">
      <c r="A1218" s="920" t="s">
        <v>2259</v>
      </c>
      <c r="B1218" s="921"/>
      <c r="C1218" s="921"/>
      <c r="D1218" s="921"/>
      <c r="E1218" s="929"/>
      <c r="F1218" s="75" t="s">
        <v>44</v>
      </c>
      <c r="G1218" s="88"/>
      <c r="K1218" s="237"/>
    </row>
    <row r="1219" spans="1:11" ht="28.5">
      <c r="A1219" s="984" t="s">
        <v>364</v>
      </c>
      <c r="B1219" s="985"/>
      <c r="C1219" s="77" t="s">
        <v>3</v>
      </c>
      <c r="D1219" s="77" t="s">
        <v>4</v>
      </c>
      <c r="E1219" s="77" t="s">
        <v>1826</v>
      </c>
      <c r="F1219" s="77" t="s">
        <v>367</v>
      </c>
      <c r="G1219" s="77" t="s">
        <v>368</v>
      </c>
      <c r="K1219" s="237"/>
    </row>
    <row r="1220" spans="1:11" s="45" customFormat="1" ht="30">
      <c r="A1220" s="24">
        <v>3986</v>
      </c>
      <c r="B1220" s="78" t="s">
        <v>2260</v>
      </c>
      <c r="C1220" s="25" t="s">
        <v>44</v>
      </c>
      <c r="D1220" s="25" t="s">
        <v>17</v>
      </c>
      <c r="E1220" s="26">
        <v>1</v>
      </c>
      <c r="F1220" s="26">
        <f t="shared" ref="F1220:F1222" si="444">H1220</f>
        <v>8.16</v>
      </c>
      <c r="G1220" s="26">
        <f t="shared" ref="G1220:G1222" si="445">ROUND(F1220*E1220,2)</f>
        <v>8.16</v>
      </c>
      <c r="H1220" s="364">
        <v>8.16</v>
      </c>
      <c r="I1220" s="45" t="e">
        <f>IF(A1220&lt;&gt;0,VLOOKUP(A1220,#REF!,2,FALSE),"")</f>
        <v>#REF!</v>
      </c>
      <c r="J1220" s="364"/>
      <c r="K1220" s="237"/>
    </row>
    <row r="1221" spans="1:11" ht="15" customHeight="1">
      <c r="A1221" s="24">
        <v>88264</v>
      </c>
      <c r="B1221" s="78" t="s">
        <v>379</v>
      </c>
      <c r="C1221" s="25" t="s">
        <v>12</v>
      </c>
      <c r="D1221" s="25" t="s">
        <v>19</v>
      </c>
      <c r="E1221" s="26">
        <v>0.2</v>
      </c>
      <c r="F1221" s="26">
        <f t="shared" si="444"/>
        <v>15.249000000000001</v>
      </c>
      <c r="G1221" s="26">
        <f t="shared" si="445"/>
        <v>3.05</v>
      </c>
      <c r="H1221" s="375">
        <v>15.249000000000001</v>
      </c>
      <c r="K1221" s="237"/>
    </row>
    <row r="1222" spans="1:11" ht="30">
      <c r="A1222" s="24">
        <v>88316</v>
      </c>
      <c r="B1222" s="78" t="s">
        <v>377</v>
      </c>
      <c r="C1222" s="25" t="s">
        <v>12</v>
      </c>
      <c r="D1222" s="25" t="s">
        <v>19</v>
      </c>
      <c r="E1222" s="26">
        <v>0.2</v>
      </c>
      <c r="F1222" s="26">
        <f t="shared" si="444"/>
        <v>11.798000000000002</v>
      </c>
      <c r="G1222" s="26">
        <f t="shared" si="445"/>
        <v>2.36</v>
      </c>
      <c r="H1222" s="375">
        <v>11.798000000000002</v>
      </c>
      <c r="K1222" s="237"/>
    </row>
    <row r="1223" spans="1:11">
      <c r="A1223" s="986" t="s">
        <v>1894</v>
      </c>
      <c r="B1223" s="986"/>
      <c r="C1223" s="986"/>
      <c r="D1223" s="986"/>
      <c r="E1223" s="986"/>
      <c r="F1223" s="986"/>
      <c r="G1223" s="79">
        <f>ROUND(SUM(G1220:G1222),2)</f>
        <v>13.57</v>
      </c>
      <c r="K1223" s="237"/>
    </row>
    <row r="1224" spans="1:11" ht="23.25" customHeight="1">
      <c r="A1224" s="80"/>
      <c r="B1224" s="80"/>
      <c r="C1224" s="965"/>
      <c r="D1224" s="966"/>
      <c r="E1224" s="80"/>
      <c r="F1224" s="80"/>
      <c r="G1224" s="80"/>
      <c r="K1224" s="237"/>
    </row>
    <row r="1225" spans="1:11" ht="15" customHeight="1">
      <c r="A1225" s="920" t="s">
        <v>2261</v>
      </c>
      <c r="B1225" s="921"/>
      <c r="C1225" s="921"/>
      <c r="D1225" s="921"/>
      <c r="E1225" s="929"/>
      <c r="F1225" s="75" t="s">
        <v>44</v>
      </c>
      <c r="G1225" s="88"/>
      <c r="K1225" s="237"/>
    </row>
    <row r="1226" spans="1:11" ht="28.5">
      <c r="A1226" s="984" t="s">
        <v>364</v>
      </c>
      <c r="B1226" s="985"/>
      <c r="C1226" s="77" t="s">
        <v>3</v>
      </c>
      <c r="D1226" s="77" t="s">
        <v>4</v>
      </c>
      <c r="E1226" s="77" t="s">
        <v>1826</v>
      </c>
      <c r="F1226" s="77" t="s">
        <v>367</v>
      </c>
      <c r="G1226" s="77" t="s">
        <v>368</v>
      </c>
      <c r="K1226" s="237"/>
    </row>
    <row r="1227" spans="1:11" s="45" customFormat="1" ht="30">
      <c r="A1227" s="24">
        <v>3640</v>
      </c>
      <c r="B1227" s="78" t="s">
        <v>1822</v>
      </c>
      <c r="C1227" s="25" t="s">
        <v>44</v>
      </c>
      <c r="D1227" s="25" t="s">
        <v>17</v>
      </c>
      <c r="E1227" s="26">
        <v>1</v>
      </c>
      <c r="F1227" s="26">
        <f t="shared" ref="F1227:F1229" si="446">H1227</f>
        <v>6.63</v>
      </c>
      <c r="G1227" s="26">
        <f t="shared" ref="G1227:G1229" si="447">ROUND(F1227*E1227,2)</f>
        <v>6.63</v>
      </c>
      <c r="H1227" s="364">
        <v>6.63</v>
      </c>
      <c r="I1227" s="45" t="e">
        <f>IF(A1227&lt;&gt;0,VLOOKUP(A1227,#REF!,2,FALSE),"")</f>
        <v>#REF!</v>
      </c>
      <c r="J1227" s="364"/>
      <c r="K1227" s="237"/>
    </row>
    <row r="1228" spans="1:11" ht="15" customHeight="1">
      <c r="A1228" s="24">
        <v>88264</v>
      </c>
      <c r="B1228" s="78" t="s">
        <v>379</v>
      </c>
      <c r="C1228" s="25" t="s">
        <v>12</v>
      </c>
      <c r="D1228" s="25" t="s">
        <v>19</v>
      </c>
      <c r="E1228" s="26">
        <v>0.2</v>
      </c>
      <c r="F1228" s="26">
        <f t="shared" si="446"/>
        <v>15.249000000000001</v>
      </c>
      <c r="G1228" s="26">
        <f t="shared" si="447"/>
        <v>3.05</v>
      </c>
      <c r="H1228" s="375">
        <v>15.249000000000001</v>
      </c>
      <c r="K1228" s="237"/>
    </row>
    <row r="1229" spans="1:11" ht="30">
      <c r="A1229" s="24">
        <v>88316</v>
      </c>
      <c r="B1229" s="78" t="s">
        <v>377</v>
      </c>
      <c r="C1229" s="25" t="s">
        <v>12</v>
      </c>
      <c r="D1229" s="25" t="s">
        <v>19</v>
      </c>
      <c r="E1229" s="26">
        <v>0.2</v>
      </c>
      <c r="F1229" s="26">
        <f t="shared" si="446"/>
        <v>11.798000000000002</v>
      </c>
      <c r="G1229" s="26">
        <f t="shared" si="447"/>
        <v>2.36</v>
      </c>
      <c r="H1229" s="375">
        <v>11.798000000000002</v>
      </c>
      <c r="K1229" s="237"/>
    </row>
    <row r="1230" spans="1:11">
      <c r="A1230" s="986" t="s">
        <v>1894</v>
      </c>
      <c r="B1230" s="986"/>
      <c r="C1230" s="986"/>
      <c r="D1230" s="986"/>
      <c r="E1230" s="986"/>
      <c r="F1230" s="986"/>
      <c r="G1230" s="79">
        <f>ROUND(SUM(G1227:G1229),2)</f>
        <v>12.04</v>
      </c>
      <c r="K1230" s="237"/>
    </row>
    <row r="1231" spans="1:11" ht="24" customHeight="1">
      <c r="A1231" s="80"/>
      <c r="B1231" s="80"/>
      <c r="C1231" s="965"/>
      <c r="D1231" s="966"/>
      <c r="E1231" s="80"/>
      <c r="F1231" s="80"/>
      <c r="G1231" s="80"/>
      <c r="K1231" s="237"/>
    </row>
    <row r="1232" spans="1:11" ht="15" customHeight="1">
      <c r="A1232" s="920" t="s">
        <v>2264</v>
      </c>
      <c r="B1232" s="921"/>
      <c r="C1232" s="921"/>
      <c r="D1232" s="921"/>
      <c r="E1232" s="929"/>
      <c r="F1232" s="75" t="s">
        <v>44</v>
      </c>
      <c r="G1232" s="88"/>
      <c r="K1232" s="237"/>
    </row>
    <row r="1233" spans="1:11" ht="28.5">
      <c r="A1233" s="984" t="s">
        <v>364</v>
      </c>
      <c r="B1233" s="985"/>
      <c r="C1233" s="77" t="s">
        <v>3</v>
      </c>
      <c r="D1233" s="77" t="s">
        <v>4</v>
      </c>
      <c r="E1233" s="77" t="s">
        <v>1826</v>
      </c>
      <c r="F1233" s="77" t="s">
        <v>367</v>
      </c>
      <c r="G1233" s="77" t="s">
        <v>368</v>
      </c>
      <c r="K1233" s="237"/>
    </row>
    <row r="1234" spans="1:11" s="45" customFormat="1" ht="30">
      <c r="A1234" s="24">
        <v>3988</v>
      </c>
      <c r="B1234" s="78" t="s">
        <v>2263</v>
      </c>
      <c r="C1234" s="25" t="s">
        <v>44</v>
      </c>
      <c r="D1234" s="25" t="s">
        <v>17</v>
      </c>
      <c r="E1234" s="26">
        <v>1</v>
      </c>
      <c r="F1234" s="26">
        <f t="shared" ref="F1234:F1236" si="448">H1234</f>
        <v>6.9105000000000008</v>
      </c>
      <c r="G1234" s="26">
        <f t="shared" ref="G1234:G1236" si="449">ROUND(F1234*E1234,2)</f>
        <v>6.91</v>
      </c>
      <c r="H1234" s="364">
        <v>6.9105000000000008</v>
      </c>
      <c r="I1234" s="45" t="e">
        <f>IF(A1234&lt;&gt;0,VLOOKUP(A1234,#REF!,2,FALSE),"")</f>
        <v>#REF!</v>
      </c>
      <c r="J1234" s="364"/>
      <c r="K1234" s="237"/>
    </row>
    <row r="1235" spans="1:11" ht="15" customHeight="1">
      <c r="A1235" s="24">
        <v>88264</v>
      </c>
      <c r="B1235" s="78" t="s">
        <v>379</v>
      </c>
      <c r="C1235" s="25" t="s">
        <v>12</v>
      </c>
      <c r="D1235" s="25" t="s">
        <v>19</v>
      </c>
      <c r="E1235" s="26">
        <v>0.2</v>
      </c>
      <c r="F1235" s="26">
        <f t="shared" si="448"/>
        <v>15.249000000000001</v>
      </c>
      <c r="G1235" s="26">
        <f t="shared" si="449"/>
        <v>3.05</v>
      </c>
      <c r="H1235" s="375">
        <v>15.249000000000001</v>
      </c>
      <c r="K1235" s="237"/>
    </row>
    <row r="1236" spans="1:11" ht="30">
      <c r="A1236" s="24">
        <v>88316</v>
      </c>
      <c r="B1236" s="78" t="s">
        <v>377</v>
      </c>
      <c r="C1236" s="25" t="s">
        <v>12</v>
      </c>
      <c r="D1236" s="25" t="s">
        <v>19</v>
      </c>
      <c r="E1236" s="26">
        <v>0.2</v>
      </c>
      <c r="F1236" s="26">
        <f t="shared" si="448"/>
        <v>11.798000000000002</v>
      </c>
      <c r="G1236" s="26">
        <f t="shared" si="449"/>
        <v>2.36</v>
      </c>
      <c r="H1236" s="375">
        <v>11.798000000000002</v>
      </c>
      <c r="K1236" s="237"/>
    </row>
    <row r="1237" spans="1:11">
      <c r="A1237" s="986" t="s">
        <v>1894</v>
      </c>
      <c r="B1237" s="986"/>
      <c r="C1237" s="986"/>
      <c r="D1237" s="986"/>
      <c r="E1237" s="986"/>
      <c r="F1237" s="986"/>
      <c r="G1237" s="79">
        <f>ROUND(SUM(G1234:G1236),2)</f>
        <v>12.32</v>
      </c>
      <c r="K1237" s="237"/>
    </row>
    <row r="1238" spans="1:11" ht="30" customHeight="1">
      <c r="A1238" s="80"/>
      <c r="B1238" s="80"/>
      <c r="C1238" s="965"/>
      <c r="D1238" s="966"/>
      <c r="E1238" s="80"/>
      <c r="F1238" s="80"/>
      <c r="G1238" s="80"/>
      <c r="K1238" s="237"/>
    </row>
    <row r="1239" spans="1:11" ht="26.25" customHeight="1">
      <c r="A1239" s="920" t="s">
        <v>2265</v>
      </c>
      <c r="B1239" s="921"/>
      <c r="C1239" s="921"/>
      <c r="D1239" s="921"/>
      <c r="E1239" s="929"/>
      <c r="F1239" s="75" t="s">
        <v>1915</v>
      </c>
      <c r="G1239" s="88"/>
      <c r="K1239" s="237"/>
    </row>
    <row r="1240" spans="1:11" ht="28.5">
      <c r="A1240" s="984" t="s">
        <v>364</v>
      </c>
      <c r="B1240" s="985"/>
      <c r="C1240" s="77" t="s">
        <v>3</v>
      </c>
      <c r="D1240" s="77" t="s">
        <v>4</v>
      </c>
      <c r="E1240" s="77" t="s">
        <v>1826</v>
      </c>
      <c r="F1240" s="77" t="s">
        <v>367</v>
      </c>
      <c r="G1240" s="77" t="s">
        <v>368</v>
      </c>
      <c r="K1240" s="237"/>
    </row>
    <row r="1241" spans="1:11" ht="45">
      <c r="A1241" s="24">
        <v>39772</v>
      </c>
      <c r="B1241" s="78" t="s">
        <v>572</v>
      </c>
      <c r="C1241" s="25" t="s">
        <v>12</v>
      </c>
      <c r="D1241" s="25" t="s">
        <v>17</v>
      </c>
      <c r="E1241" s="26">
        <v>1</v>
      </c>
      <c r="F1241" s="26">
        <f t="shared" ref="F1241" si="450">H1241</f>
        <v>52.665999999999997</v>
      </c>
      <c r="G1241" s="26">
        <f t="shared" ref="G1241" si="451">ROUND(F1241*E1241,2)</f>
        <v>52.67</v>
      </c>
      <c r="H1241" s="375">
        <v>52.665999999999997</v>
      </c>
      <c r="I1241" s="28" t="e">
        <f>IF(A1241&lt;&gt;0,VLOOKUP(A1241,#REF!,2,FALSE),"")</f>
        <v>#REF!</v>
      </c>
      <c r="K1241" s="237"/>
    </row>
    <row r="1242" spans="1:11" ht="30">
      <c r="A1242" s="24">
        <v>88247</v>
      </c>
      <c r="B1242" s="78" t="s">
        <v>510</v>
      </c>
      <c r="C1242" s="25" t="s">
        <v>12</v>
      </c>
      <c r="D1242" s="25" t="s">
        <v>19</v>
      </c>
      <c r="E1242" s="26">
        <v>2</v>
      </c>
      <c r="F1242" s="26">
        <f t="shared" ref="F1242:F1243" si="452">H1242</f>
        <v>11.9085</v>
      </c>
      <c r="G1242" s="26">
        <f t="shared" ref="G1242:G1243" si="453">ROUND(F1242*E1242,2)</f>
        <v>23.82</v>
      </c>
      <c r="H1242" s="375">
        <v>11.9085</v>
      </c>
      <c r="I1242" s="28" t="e">
        <f>IF(A1242&lt;&gt;0,VLOOKUP(A1242,#REF!,2,FALSE),"")</f>
        <v>#REF!</v>
      </c>
      <c r="K1242" s="237"/>
    </row>
    <row r="1243" spans="1:11" ht="30">
      <c r="A1243" s="24">
        <v>88264</v>
      </c>
      <c r="B1243" s="78" t="s">
        <v>379</v>
      </c>
      <c r="C1243" s="25" t="s">
        <v>12</v>
      </c>
      <c r="D1243" s="25" t="s">
        <v>19</v>
      </c>
      <c r="E1243" s="26">
        <v>2</v>
      </c>
      <c r="F1243" s="26">
        <f t="shared" si="452"/>
        <v>15.249000000000001</v>
      </c>
      <c r="G1243" s="26">
        <f t="shared" si="453"/>
        <v>30.5</v>
      </c>
      <c r="H1243" s="375">
        <v>15.249000000000001</v>
      </c>
      <c r="I1243" s="28" t="e">
        <f>IF(A1243&lt;&gt;0,VLOOKUP(A1243,#REF!,2,FALSE),"")</f>
        <v>#REF!</v>
      </c>
      <c r="K1243" s="237"/>
    </row>
    <row r="1244" spans="1:11" ht="15" customHeight="1">
      <c r="A1244" s="986" t="s">
        <v>1894</v>
      </c>
      <c r="B1244" s="986"/>
      <c r="C1244" s="986"/>
      <c r="D1244" s="986"/>
      <c r="E1244" s="986"/>
      <c r="F1244" s="986"/>
      <c r="G1244" s="79">
        <f>ROUND(SUM(G1241:G1243),2)</f>
        <v>106.99</v>
      </c>
      <c r="K1244" s="237"/>
    </row>
    <row r="1245" spans="1:11" ht="27.75" customHeight="1">
      <c r="A1245" s="80"/>
      <c r="B1245" s="80"/>
      <c r="C1245" s="965"/>
      <c r="D1245" s="966"/>
      <c r="E1245" s="80"/>
      <c r="F1245" s="80"/>
      <c r="G1245" s="80"/>
      <c r="K1245" s="237"/>
    </row>
    <row r="1246" spans="1:11" ht="24.75" customHeight="1">
      <c r="A1246" s="920" t="s">
        <v>2269</v>
      </c>
      <c r="B1246" s="921"/>
      <c r="C1246" s="921"/>
      <c r="D1246" s="921"/>
      <c r="E1246" s="929"/>
      <c r="F1246" s="75" t="s">
        <v>44</v>
      </c>
      <c r="G1246" s="88"/>
      <c r="K1246" s="237"/>
    </row>
    <row r="1247" spans="1:11" ht="28.5">
      <c r="A1247" s="984" t="s">
        <v>364</v>
      </c>
      <c r="B1247" s="985"/>
      <c r="C1247" s="77" t="s">
        <v>3</v>
      </c>
      <c r="D1247" s="77" t="s">
        <v>4</v>
      </c>
      <c r="E1247" s="77" t="s">
        <v>1826</v>
      </c>
      <c r="F1247" s="77" t="s">
        <v>367</v>
      </c>
      <c r="G1247" s="77" t="s">
        <v>368</v>
      </c>
      <c r="K1247" s="237"/>
    </row>
    <row r="1248" spans="1:11" s="45" customFormat="1" ht="30">
      <c r="A1248" s="24">
        <v>13509</v>
      </c>
      <c r="B1248" s="78" t="s">
        <v>2268</v>
      </c>
      <c r="C1248" s="25" t="s">
        <v>44</v>
      </c>
      <c r="D1248" s="25" t="s">
        <v>17</v>
      </c>
      <c r="E1248" s="26">
        <v>1</v>
      </c>
      <c r="F1248" s="26">
        <f t="shared" ref="F1248" si="454">H1248</f>
        <v>2132.65</v>
      </c>
      <c r="G1248" s="26">
        <f t="shared" ref="G1248" si="455">ROUND(F1248*E1248,2)</f>
        <v>2132.65</v>
      </c>
      <c r="H1248" s="364">
        <v>2132.65</v>
      </c>
      <c r="I1248" s="45" t="e">
        <f>IF(A1248&lt;&gt;0,VLOOKUP(A1248,#REF!,2,FALSE),"")</f>
        <v>#REF!</v>
      </c>
      <c r="J1248" s="364"/>
      <c r="K1248" s="237"/>
    </row>
    <row r="1249" spans="1:11" ht="30">
      <c r="A1249" s="24">
        <v>88247</v>
      </c>
      <c r="B1249" s="78" t="s">
        <v>510</v>
      </c>
      <c r="C1249" s="25" t="s">
        <v>12</v>
      </c>
      <c r="D1249" s="25" t="s">
        <v>19</v>
      </c>
      <c r="E1249" s="26">
        <v>2</v>
      </c>
      <c r="F1249" s="26">
        <f t="shared" ref="F1249:F1250" si="456">H1249</f>
        <v>11.9085</v>
      </c>
      <c r="G1249" s="26">
        <f t="shared" ref="G1249:G1250" si="457">ROUND(F1249*E1249,2)</f>
        <v>23.82</v>
      </c>
      <c r="H1249" s="375">
        <v>11.9085</v>
      </c>
      <c r="I1249" s="28" t="e">
        <f>IF(A1249&lt;&gt;0,VLOOKUP(A1249,#REF!,2,FALSE),"")</f>
        <v>#REF!</v>
      </c>
      <c r="K1249" s="237"/>
    </row>
    <row r="1250" spans="1:11" ht="30">
      <c r="A1250" s="24">
        <v>88264</v>
      </c>
      <c r="B1250" s="78" t="s">
        <v>379</v>
      </c>
      <c r="C1250" s="25" t="s">
        <v>12</v>
      </c>
      <c r="D1250" s="25" t="s">
        <v>19</v>
      </c>
      <c r="E1250" s="26">
        <v>2</v>
      </c>
      <c r="F1250" s="26">
        <f t="shared" si="456"/>
        <v>15.249000000000001</v>
      </c>
      <c r="G1250" s="26">
        <f t="shared" si="457"/>
        <v>30.5</v>
      </c>
      <c r="H1250" s="375">
        <v>15.249000000000001</v>
      </c>
      <c r="I1250" s="28" t="e">
        <f>IF(A1250&lt;&gt;0,VLOOKUP(A1250,#REF!,2,FALSE),"")</f>
        <v>#REF!</v>
      </c>
      <c r="K1250" s="237"/>
    </row>
    <row r="1251" spans="1:11" ht="15" customHeight="1">
      <c r="A1251" s="986" t="s">
        <v>1894</v>
      </c>
      <c r="B1251" s="986"/>
      <c r="C1251" s="986"/>
      <c r="D1251" s="986"/>
      <c r="E1251" s="986"/>
      <c r="F1251" s="986"/>
      <c r="G1251" s="79">
        <f>ROUND(SUM(G1248:G1250),2)</f>
        <v>2186.9699999999998</v>
      </c>
      <c r="K1251" s="237"/>
    </row>
    <row r="1252" spans="1:11" ht="25.5" customHeight="1">
      <c r="A1252" s="80"/>
      <c r="B1252" s="80"/>
      <c r="C1252" s="965"/>
      <c r="D1252" s="966"/>
      <c r="E1252" s="80"/>
      <c r="F1252" s="80"/>
      <c r="G1252" s="80"/>
      <c r="K1252" s="237"/>
    </row>
    <row r="1253" spans="1:11" ht="15" customHeight="1">
      <c r="A1253" s="920" t="s">
        <v>2272</v>
      </c>
      <c r="B1253" s="921"/>
      <c r="C1253" s="921"/>
      <c r="D1253" s="921"/>
      <c r="E1253" s="929"/>
      <c r="F1253" s="75" t="s">
        <v>44</v>
      </c>
      <c r="G1253" s="88"/>
      <c r="K1253" s="237"/>
    </row>
    <row r="1254" spans="1:11" ht="28.5">
      <c r="A1254" s="984" t="s">
        <v>364</v>
      </c>
      <c r="B1254" s="985"/>
      <c r="C1254" s="77" t="s">
        <v>3</v>
      </c>
      <c r="D1254" s="77" t="s">
        <v>4</v>
      </c>
      <c r="E1254" s="77" t="s">
        <v>1826</v>
      </c>
      <c r="F1254" s="77" t="s">
        <v>367</v>
      </c>
      <c r="G1254" s="77" t="s">
        <v>368</v>
      </c>
      <c r="K1254" s="237"/>
    </row>
    <row r="1255" spans="1:11" s="45" customFormat="1" ht="30">
      <c r="A1255" s="24">
        <v>3637</v>
      </c>
      <c r="B1255" s="78" t="s">
        <v>1823</v>
      </c>
      <c r="C1255" s="25" t="s">
        <v>44</v>
      </c>
      <c r="D1255" s="25" t="s">
        <v>17</v>
      </c>
      <c r="E1255" s="26">
        <v>1</v>
      </c>
      <c r="F1255" s="26">
        <f t="shared" ref="F1255:F1257" si="458">H1255</f>
        <v>4.08</v>
      </c>
      <c r="G1255" s="26">
        <f t="shared" ref="G1255:G1257" si="459">ROUND(F1255*E1255,2)</f>
        <v>4.08</v>
      </c>
      <c r="H1255" s="364">
        <v>4.08</v>
      </c>
      <c r="I1255" s="45" t="e">
        <f>IF(A1255&lt;&gt;0,VLOOKUP(A1255,#REF!,2,FALSE),"")</f>
        <v>#REF!</v>
      </c>
      <c r="J1255" s="364"/>
      <c r="K1255" s="237"/>
    </row>
    <row r="1256" spans="1:11" ht="15" customHeight="1">
      <c r="A1256" s="24">
        <v>88264</v>
      </c>
      <c r="B1256" s="78" t="s">
        <v>379</v>
      </c>
      <c r="C1256" s="25" t="s">
        <v>12</v>
      </c>
      <c r="D1256" s="25" t="s">
        <v>19</v>
      </c>
      <c r="E1256" s="26">
        <v>0.2</v>
      </c>
      <c r="F1256" s="26">
        <f t="shared" si="458"/>
        <v>15.249000000000001</v>
      </c>
      <c r="G1256" s="26">
        <f t="shared" si="459"/>
        <v>3.05</v>
      </c>
      <c r="H1256" s="375">
        <v>15.249000000000001</v>
      </c>
      <c r="K1256" s="237"/>
    </row>
    <row r="1257" spans="1:11" ht="30">
      <c r="A1257" s="24">
        <v>88316</v>
      </c>
      <c r="B1257" s="78" t="s">
        <v>377</v>
      </c>
      <c r="C1257" s="25" t="s">
        <v>12</v>
      </c>
      <c r="D1257" s="25" t="s">
        <v>19</v>
      </c>
      <c r="E1257" s="26">
        <v>0.2</v>
      </c>
      <c r="F1257" s="26">
        <f t="shared" si="458"/>
        <v>11.798000000000002</v>
      </c>
      <c r="G1257" s="26">
        <f t="shared" si="459"/>
        <v>2.36</v>
      </c>
      <c r="H1257" s="375">
        <v>11.798000000000002</v>
      </c>
      <c r="K1257" s="237"/>
    </row>
    <row r="1258" spans="1:11">
      <c r="A1258" s="986" t="s">
        <v>1894</v>
      </c>
      <c r="B1258" s="986"/>
      <c r="C1258" s="986"/>
      <c r="D1258" s="986"/>
      <c r="E1258" s="986"/>
      <c r="F1258" s="986"/>
      <c r="G1258" s="79">
        <f>ROUND(SUM(G1255:G1257),2)</f>
        <v>9.49</v>
      </c>
      <c r="K1258" s="237"/>
    </row>
    <row r="1259" spans="1:11" ht="21.75" customHeight="1">
      <c r="A1259" s="80"/>
      <c r="B1259" s="80"/>
      <c r="C1259" s="965"/>
      <c r="D1259" s="966"/>
      <c r="E1259" s="80"/>
      <c r="F1259" s="80"/>
      <c r="G1259" s="80"/>
      <c r="K1259" s="237"/>
    </row>
    <row r="1260" spans="1:11" ht="36.75" customHeight="1">
      <c r="A1260" s="920" t="s">
        <v>2619</v>
      </c>
      <c r="B1260" s="921"/>
      <c r="C1260" s="921"/>
      <c r="D1260" s="921"/>
      <c r="E1260" s="929"/>
      <c r="F1260" s="75" t="s">
        <v>44</v>
      </c>
      <c r="G1260" s="88"/>
      <c r="K1260" s="237"/>
    </row>
    <row r="1261" spans="1:11" ht="28.5">
      <c r="A1261" s="984" t="s">
        <v>364</v>
      </c>
      <c r="B1261" s="985"/>
      <c r="C1261" s="77" t="s">
        <v>3</v>
      </c>
      <c r="D1261" s="77" t="s">
        <v>4</v>
      </c>
      <c r="E1261" s="77" t="s">
        <v>1826</v>
      </c>
      <c r="F1261" s="77" t="s">
        <v>367</v>
      </c>
      <c r="G1261" s="77" t="s">
        <v>368</v>
      </c>
      <c r="K1261" s="237"/>
    </row>
    <row r="1262" spans="1:11" s="45" customFormat="1" ht="30">
      <c r="A1262" s="24">
        <v>3632</v>
      </c>
      <c r="B1262" s="78" t="s">
        <v>2273</v>
      </c>
      <c r="C1262" s="25" t="s">
        <v>44</v>
      </c>
      <c r="D1262" s="25" t="s">
        <v>17</v>
      </c>
      <c r="E1262" s="26">
        <v>1</v>
      </c>
      <c r="F1262" s="26">
        <f t="shared" ref="F1262:F1264" si="460">H1262</f>
        <v>46.410000000000004</v>
      </c>
      <c r="G1262" s="26">
        <f t="shared" ref="G1262:G1264" si="461">ROUND(F1262*E1262,2)</f>
        <v>46.41</v>
      </c>
      <c r="H1262" s="364">
        <v>46.410000000000004</v>
      </c>
      <c r="I1262" s="45" t="e">
        <f>IF(A1262&lt;&gt;0,VLOOKUP(A1262,#REF!,2,FALSE),"")</f>
        <v>#REF!</v>
      </c>
      <c r="J1262" s="364"/>
      <c r="K1262" s="237"/>
    </row>
    <row r="1263" spans="1:11" ht="15" customHeight="1">
      <c r="A1263" s="24">
        <v>88264</v>
      </c>
      <c r="B1263" s="78" t="s">
        <v>379</v>
      </c>
      <c r="C1263" s="25" t="s">
        <v>12</v>
      </c>
      <c r="D1263" s="25" t="s">
        <v>19</v>
      </c>
      <c r="E1263" s="26">
        <v>0.4</v>
      </c>
      <c r="F1263" s="26">
        <f t="shared" si="460"/>
        <v>15.249000000000001</v>
      </c>
      <c r="G1263" s="26">
        <f t="shared" si="461"/>
        <v>6.1</v>
      </c>
      <c r="H1263" s="375">
        <v>15.249000000000001</v>
      </c>
      <c r="K1263" s="237"/>
    </row>
    <row r="1264" spans="1:11" ht="30">
      <c r="A1264" s="24">
        <v>88316</v>
      </c>
      <c r="B1264" s="78" t="s">
        <v>377</v>
      </c>
      <c r="C1264" s="25" t="s">
        <v>12</v>
      </c>
      <c r="D1264" s="25" t="s">
        <v>19</v>
      </c>
      <c r="E1264" s="26">
        <v>0.4</v>
      </c>
      <c r="F1264" s="26">
        <f t="shared" si="460"/>
        <v>11.798000000000002</v>
      </c>
      <c r="G1264" s="26">
        <f t="shared" si="461"/>
        <v>4.72</v>
      </c>
      <c r="H1264" s="375">
        <v>11.798000000000002</v>
      </c>
      <c r="K1264" s="237"/>
    </row>
    <row r="1265" spans="1:11">
      <c r="A1265" s="986" t="s">
        <v>1894</v>
      </c>
      <c r="B1265" s="986"/>
      <c r="C1265" s="986"/>
      <c r="D1265" s="986"/>
      <c r="E1265" s="986"/>
      <c r="F1265" s="986"/>
      <c r="G1265" s="79">
        <f>ROUND(SUM(G1262:G1264),2)</f>
        <v>57.23</v>
      </c>
      <c r="K1265" s="237"/>
    </row>
    <row r="1266" spans="1:11" ht="24.75" customHeight="1">
      <c r="A1266" s="80"/>
      <c r="B1266" s="80"/>
      <c r="C1266" s="965"/>
      <c r="D1266" s="966"/>
      <c r="E1266" s="80"/>
      <c r="F1266" s="80"/>
      <c r="G1266" s="80"/>
      <c r="K1266" s="237"/>
    </row>
    <row r="1267" spans="1:11" ht="15" customHeight="1">
      <c r="A1267" s="920" t="s">
        <v>2275</v>
      </c>
      <c r="B1267" s="921"/>
      <c r="C1267" s="921"/>
      <c r="D1267" s="921"/>
      <c r="E1267" s="929"/>
      <c r="F1267" s="75" t="s">
        <v>44</v>
      </c>
      <c r="G1267" s="88"/>
      <c r="K1267" s="237"/>
    </row>
    <row r="1268" spans="1:11" ht="28.5">
      <c r="A1268" s="984" t="s">
        <v>364</v>
      </c>
      <c r="B1268" s="985"/>
      <c r="C1268" s="77" t="s">
        <v>3</v>
      </c>
      <c r="D1268" s="77" t="s">
        <v>4</v>
      </c>
      <c r="E1268" s="77" t="s">
        <v>1826</v>
      </c>
      <c r="F1268" s="77" t="s">
        <v>367</v>
      </c>
      <c r="G1268" s="77" t="s">
        <v>368</v>
      </c>
      <c r="K1268" s="237"/>
    </row>
    <row r="1269" spans="1:11" s="45" customFormat="1" ht="30">
      <c r="A1269" s="24">
        <v>4011</v>
      </c>
      <c r="B1269" s="78" t="s">
        <v>2274</v>
      </c>
      <c r="C1269" s="25" t="s">
        <v>44</v>
      </c>
      <c r="D1269" s="25" t="s">
        <v>17</v>
      </c>
      <c r="E1269" s="26">
        <v>1</v>
      </c>
      <c r="F1269" s="26">
        <f t="shared" ref="F1269:F1271" si="462">H1269</f>
        <v>51.765000000000001</v>
      </c>
      <c r="G1269" s="26">
        <f t="shared" ref="G1269:G1271" si="463">ROUND(F1269*E1269,2)</f>
        <v>51.77</v>
      </c>
      <c r="H1269" s="364">
        <v>51.765000000000001</v>
      </c>
      <c r="I1269" s="45" t="e">
        <f>IF(A1269&lt;&gt;0,VLOOKUP(A1269,#REF!,2,FALSE),"")</f>
        <v>#REF!</v>
      </c>
      <c r="J1269" s="364"/>
      <c r="K1269" s="237"/>
    </row>
    <row r="1270" spans="1:11" ht="15" customHeight="1">
      <c r="A1270" s="24">
        <v>88264</v>
      </c>
      <c r="B1270" s="78" t="s">
        <v>379</v>
      </c>
      <c r="C1270" s="25" t="s">
        <v>12</v>
      </c>
      <c r="D1270" s="25" t="s">
        <v>19</v>
      </c>
      <c r="E1270" s="26">
        <v>0.2</v>
      </c>
      <c r="F1270" s="26">
        <f t="shared" si="462"/>
        <v>15.249000000000001</v>
      </c>
      <c r="G1270" s="26">
        <f t="shared" si="463"/>
        <v>3.05</v>
      </c>
      <c r="H1270" s="375">
        <v>15.249000000000001</v>
      </c>
      <c r="K1270" s="237"/>
    </row>
    <row r="1271" spans="1:11" ht="30">
      <c r="A1271" s="24">
        <v>88316</v>
      </c>
      <c r="B1271" s="78" t="s">
        <v>377</v>
      </c>
      <c r="C1271" s="25" t="s">
        <v>12</v>
      </c>
      <c r="D1271" s="25" t="s">
        <v>19</v>
      </c>
      <c r="E1271" s="26">
        <v>0.2</v>
      </c>
      <c r="F1271" s="26">
        <f t="shared" si="462"/>
        <v>11.798000000000002</v>
      </c>
      <c r="G1271" s="26">
        <f t="shared" si="463"/>
        <v>2.36</v>
      </c>
      <c r="H1271" s="375">
        <v>11.798000000000002</v>
      </c>
      <c r="K1271" s="237"/>
    </row>
    <row r="1272" spans="1:11">
      <c r="A1272" s="986" t="s">
        <v>1894</v>
      </c>
      <c r="B1272" s="986"/>
      <c r="C1272" s="986"/>
      <c r="D1272" s="986"/>
      <c r="E1272" s="986"/>
      <c r="F1272" s="986"/>
      <c r="G1272" s="79">
        <f>ROUND(SUM(G1269:G1271),2)</f>
        <v>57.18</v>
      </c>
      <c r="K1272" s="237"/>
    </row>
    <row r="1273" spans="1:11" ht="23.25" customHeight="1">
      <c r="A1273" s="80"/>
      <c r="B1273" s="80"/>
      <c r="C1273" s="965"/>
      <c r="D1273" s="966"/>
      <c r="E1273" s="80"/>
      <c r="F1273" s="80"/>
      <c r="G1273" s="80"/>
      <c r="K1273" s="237"/>
    </row>
    <row r="1274" spans="1:11" ht="15" customHeight="1">
      <c r="A1274" s="920" t="s">
        <v>2276</v>
      </c>
      <c r="B1274" s="921"/>
      <c r="C1274" s="921"/>
      <c r="D1274" s="921"/>
      <c r="E1274" s="929"/>
      <c r="F1274" s="75" t="s">
        <v>44</v>
      </c>
      <c r="G1274" s="88"/>
      <c r="K1274" s="237"/>
    </row>
    <row r="1275" spans="1:11" ht="28.5">
      <c r="A1275" s="984" t="s">
        <v>364</v>
      </c>
      <c r="B1275" s="985"/>
      <c r="C1275" s="77" t="s">
        <v>3</v>
      </c>
      <c r="D1275" s="77" t="s">
        <v>4</v>
      </c>
      <c r="E1275" s="77" t="s">
        <v>1826</v>
      </c>
      <c r="F1275" s="77" t="s">
        <v>367</v>
      </c>
      <c r="G1275" s="77" t="s">
        <v>368</v>
      </c>
      <c r="K1275" s="237"/>
    </row>
    <row r="1276" spans="1:11" s="45" customFormat="1" ht="30">
      <c r="A1276" s="24">
        <v>6913</v>
      </c>
      <c r="B1276" s="78" t="s">
        <v>1816</v>
      </c>
      <c r="C1276" s="25" t="s">
        <v>44</v>
      </c>
      <c r="D1276" s="25" t="s">
        <v>17</v>
      </c>
      <c r="E1276" s="26">
        <v>1</v>
      </c>
      <c r="F1276" s="26">
        <f t="shared" ref="F1276:F1278" si="464">H1276</f>
        <v>6.7149999999999999</v>
      </c>
      <c r="G1276" s="26">
        <f t="shared" ref="G1276:G1278" si="465">ROUND(F1276*E1276,2)</f>
        <v>6.72</v>
      </c>
      <c r="H1276" s="364">
        <v>6.7149999999999999</v>
      </c>
      <c r="I1276" s="45" t="e">
        <f>IF(A1276&lt;&gt;0,VLOOKUP(A1276,#REF!,2,FALSE),"")</f>
        <v>#REF!</v>
      </c>
      <c r="J1276" s="364"/>
      <c r="K1276" s="237"/>
    </row>
    <row r="1277" spans="1:11" ht="15" customHeight="1">
      <c r="A1277" s="24">
        <v>88264</v>
      </c>
      <c r="B1277" s="78" t="s">
        <v>379</v>
      </c>
      <c r="C1277" s="25" t="s">
        <v>12</v>
      </c>
      <c r="D1277" s="25" t="s">
        <v>19</v>
      </c>
      <c r="E1277" s="26">
        <v>0.2</v>
      </c>
      <c r="F1277" s="26">
        <f t="shared" si="464"/>
        <v>15.249000000000001</v>
      </c>
      <c r="G1277" s="26">
        <f t="shared" si="465"/>
        <v>3.05</v>
      </c>
      <c r="H1277" s="375">
        <v>15.249000000000001</v>
      </c>
      <c r="K1277" s="237"/>
    </row>
    <row r="1278" spans="1:11" ht="30">
      <c r="A1278" s="24">
        <v>88316</v>
      </c>
      <c r="B1278" s="78" t="s">
        <v>377</v>
      </c>
      <c r="C1278" s="25" t="s">
        <v>12</v>
      </c>
      <c r="D1278" s="25" t="s">
        <v>19</v>
      </c>
      <c r="E1278" s="26">
        <v>0.2</v>
      </c>
      <c r="F1278" s="26">
        <f t="shared" si="464"/>
        <v>11.798000000000002</v>
      </c>
      <c r="G1278" s="26">
        <f t="shared" si="465"/>
        <v>2.36</v>
      </c>
      <c r="H1278" s="375">
        <v>11.798000000000002</v>
      </c>
      <c r="K1278" s="237"/>
    </row>
    <row r="1279" spans="1:11" ht="20.25" customHeight="1">
      <c r="A1279" s="986" t="s">
        <v>1894</v>
      </c>
      <c r="B1279" s="986"/>
      <c r="C1279" s="986"/>
      <c r="D1279" s="986"/>
      <c r="E1279" s="986"/>
      <c r="F1279" s="986"/>
      <c r="G1279" s="79">
        <f>ROUND(SUM(G1276:G1278),2)</f>
        <v>12.13</v>
      </c>
      <c r="K1279" s="237"/>
    </row>
    <row r="1280" spans="1:11" ht="24" customHeight="1">
      <c r="A1280" s="80"/>
      <c r="B1280" s="80"/>
      <c r="C1280" s="965"/>
      <c r="D1280" s="966"/>
      <c r="E1280" s="80"/>
      <c r="F1280" s="80"/>
      <c r="G1280" s="80"/>
      <c r="K1280" s="237"/>
    </row>
    <row r="1281" spans="1:11" ht="15" customHeight="1">
      <c r="A1281" s="920" t="s">
        <v>2279</v>
      </c>
      <c r="B1281" s="921"/>
      <c r="C1281" s="921"/>
      <c r="D1281" s="921"/>
      <c r="E1281" s="929"/>
      <c r="F1281" s="75" t="s">
        <v>44</v>
      </c>
      <c r="G1281" s="88"/>
      <c r="K1281" s="237"/>
    </row>
    <row r="1282" spans="1:11" ht="28.5">
      <c r="A1282" s="984" t="s">
        <v>364</v>
      </c>
      <c r="B1282" s="985"/>
      <c r="C1282" s="77" t="s">
        <v>3</v>
      </c>
      <c r="D1282" s="77" t="s">
        <v>4</v>
      </c>
      <c r="E1282" s="77" t="s">
        <v>1826</v>
      </c>
      <c r="F1282" s="77" t="s">
        <v>367</v>
      </c>
      <c r="G1282" s="77" t="s">
        <v>368</v>
      </c>
      <c r="K1282" s="237"/>
    </row>
    <row r="1283" spans="1:11" s="45" customFormat="1" ht="30">
      <c r="A1283" s="24">
        <v>4109</v>
      </c>
      <c r="B1283" s="78" t="s">
        <v>2278</v>
      </c>
      <c r="C1283" s="25" t="s">
        <v>44</v>
      </c>
      <c r="D1283" s="25" t="s">
        <v>17</v>
      </c>
      <c r="E1283" s="26">
        <v>1</v>
      </c>
      <c r="F1283" s="26">
        <f t="shared" ref="F1283:F1285" si="466">H1283</f>
        <v>21.335000000000001</v>
      </c>
      <c r="G1283" s="26">
        <f t="shared" ref="G1283:G1285" si="467">ROUND(F1283*E1283,2)</f>
        <v>21.34</v>
      </c>
      <c r="H1283" s="364">
        <v>21.335000000000001</v>
      </c>
      <c r="I1283" s="45" t="e">
        <f>IF(A1283&lt;&gt;0,VLOOKUP(A1283,#REF!,2,FALSE),"")</f>
        <v>#REF!</v>
      </c>
      <c r="J1283" s="364"/>
      <c r="K1283" s="237"/>
    </row>
    <row r="1284" spans="1:11" ht="15" customHeight="1">
      <c r="A1284" s="24">
        <v>88264</v>
      </c>
      <c r="B1284" s="78" t="s">
        <v>379</v>
      </c>
      <c r="C1284" s="25" t="s">
        <v>12</v>
      </c>
      <c r="D1284" s="25" t="s">
        <v>19</v>
      </c>
      <c r="E1284" s="26">
        <v>0.2</v>
      </c>
      <c r="F1284" s="26">
        <f t="shared" si="466"/>
        <v>15.249000000000001</v>
      </c>
      <c r="G1284" s="26">
        <f t="shared" si="467"/>
        <v>3.05</v>
      </c>
      <c r="H1284" s="375">
        <v>15.249000000000001</v>
      </c>
      <c r="K1284" s="237"/>
    </row>
    <row r="1285" spans="1:11" ht="30">
      <c r="A1285" s="24">
        <v>88316</v>
      </c>
      <c r="B1285" s="78" t="s">
        <v>377</v>
      </c>
      <c r="C1285" s="25" t="s">
        <v>12</v>
      </c>
      <c r="D1285" s="25" t="s">
        <v>19</v>
      </c>
      <c r="E1285" s="26">
        <v>0.2</v>
      </c>
      <c r="F1285" s="26">
        <f t="shared" si="466"/>
        <v>11.798000000000002</v>
      </c>
      <c r="G1285" s="26">
        <f t="shared" si="467"/>
        <v>2.36</v>
      </c>
      <c r="H1285" s="375">
        <v>11.798000000000002</v>
      </c>
      <c r="K1285" s="237"/>
    </row>
    <row r="1286" spans="1:11">
      <c r="A1286" s="986" t="s">
        <v>1894</v>
      </c>
      <c r="B1286" s="986"/>
      <c r="C1286" s="986"/>
      <c r="D1286" s="986"/>
      <c r="E1286" s="986"/>
      <c r="F1286" s="986"/>
      <c r="G1286" s="79">
        <f>ROUND(SUM(G1283:G1285),2)</f>
        <v>26.75</v>
      </c>
      <c r="K1286" s="237"/>
    </row>
    <row r="1287" spans="1:11" ht="30.75" customHeight="1">
      <c r="A1287" s="80"/>
      <c r="B1287" s="80"/>
      <c r="C1287" s="965"/>
      <c r="D1287" s="966"/>
      <c r="E1287" s="80"/>
      <c r="F1287" s="80"/>
      <c r="G1287" s="80"/>
      <c r="K1287" s="237"/>
    </row>
    <row r="1288" spans="1:11" ht="15" customHeight="1">
      <c r="A1288" s="920" t="s">
        <v>2280</v>
      </c>
      <c r="B1288" s="921"/>
      <c r="C1288" s="921"/>
      <c r="D1288" s="921"/>
      <c r="E1288" s="929"/>
      <c r="F1288" s="75" t="s">
        <v>44</v>
      </c>
      <c r="G1288" s="88"/>
      <c r="K1288" s="237"/>
    </row>
    <row r="1289" spans="1:11" ht="28.5">
      <c r="A1289" s="984" t="s">
        <v>364</v>
      </c>
      <c r="B1289" s="985"/>
      <c r="C1289" s="77" t="s">
        <v>3</v>
      </c>
      <c r="D1289" s="77" t="s">
        <v>4</v>
      </c>
      <c r="E1289" s="77" t="s">
        <v>1826</v>
      </c>
      <c r="F1289" s="77" t="s">
        <v>367</v>
      </c>
      <c r="G1289" s="77" t="s">
        <v>368</v>
      </c>
      <c r="K1289" s="237"/>
    </row>
    <row r="1290" spans="1:11" s="45" customFormat="1" ht="30">
      <c r="A1290" s="24">
        <v>4102</v>
      </c>
      <c r="B1290" s="78" t="s">
        <v>2281</v>
      </c>
      <c r="C1290" s="25" t="s">
        <v>44</v>
      </c>
      <c r="D1290" s="25" t="s">
        <v>17</v>
      </c>
      <c r="E1290" s="26">
        <v>1</v>
      </c>
      <c r="F1290" s="26">
        <f t="shared" ref="F1290:F1292" si="468">H1290</f>
        <v>136</v>
      </c>
      <c r="G1290" s="26">
        <f t="shared" ref="G1290:G1292" si="469">ROUND(F1290*E1290,2)</f>
        <v>136</v>
      </c>
      <c r="H1290" s="364">
        <v>136</v>
      </c>
      <c r="I1290" s="45" t="e">
        <f>IF(A1290&lt;&gt;0,VLOOKUP(A1290,#REF!,2,FALSE),"")</f>
        <v>#REF!</v>
      </c>
      <c r="J1290" s="364"/>
      <c r="K1290" s="237"/>
    </row>
    <row r="1291" spans="1:11" ht="15" customHeight="1">
      <c r="A1291" s="24">
        <v>88264</v>
      </c>
      <c r="B1291" s="78" t="s">
        <v>379</v>
      </c>
      <c r="C1291" s="25" t="s">
        <v>12</v>
      </c>
      <c r="D1291" s="25" t="s">
        <v>19</v>
      </c>
      <c r="E1291" s="26">
        <v>0.2</v>
      </c>
      <c r="F1291" s="26">
        <f t="shared" si="468"/>
        <v>15.249000000000001</v>
      </c>
      <c r="G1291" s="26">
        <f t="shared" si="469"/>
        <v>3.05</v>
      </c>
      <c r="H1291" s="375">
        <v>15.249000000000001</v>
      </c>
      <c r="K1291" s="237"/>
    </row>
    <row r="1292" spans="1:11" ht="30">
      <c r="A1292" s="24">
        <v>88316</v>
      </c>
      <c r="B1292" s="78" t="s">
        <v>377</v>
      </c>
      <c r="C1292" s="25" t="s">
        <v>12</v>
      </c>
      <c r="D1292" s="25" t="s">
        <v>19</v>
      </c>
      <c r="E1292" s="26">
        <v>0.2</v>
      </c>
      <c r="F1292" s="26">
        <f t="shared" si="468"/>
        <v>11.798000000000002</v>
      </c>
      <c r="G1292" s="26">
        <f t="shared" si="469"/>
        <v>2.36</v>
      </c>
      <c r="H1292" s="375">
        <v>11.798000000000002</v>
      </c>
      <c r="K1292" s="237"/>
    </row>
    <row r="1293" spans="1:11">
      <c r="A1293" s="986" t="s">
        <v>1894</v>
      </c>
      <c r="B1293" s="986"/>
      <c r="C1293" s="986"/>
      <c r="D1293" s="986"/>
      <c r="E1293" s="986"/>
      <c r="F1293" s="986"/>
      <c r="G1293" s="79">
        <f>ROUND(SUM(G1290:G1292),2)</f>
        <v>141.41</v>
      </c>
      <c r="K1293" s="237"/>
    </row>
    <row r="1294" spans="1:11" ht="24.75" customHeight="1">
      <c r="A1294" s="80"/>
      <c r="B1294" s="80"/>
      <c r="C1294" s="965"/>
      <c r="D1294" s="966"/>
      <c r="E1294" s="80"/>
      <c r="F1294" s="80"/>
      <c r="G1294" s="80"/>
      <c r="K1294" s="237"/>
    </row>
    <row r="1295" spans="1:11" ht="15" customHeight="1">
      <c r="A1295" s="920" t="s">
        <v>2283</v>
      </c>
      <c r="B1295" s="921"/>
      <c r="C1295" s="921"/>
      <c r="D1295" s="921"/>
      <c r="E1295" s="929"/>
      <c r="F1295" s="75" t="s">
        <v>44</v>
      </c>
      <c r="G1295" s="88"/>
      <c r="K1295" s="237"/>
    </row>
    <row r="1296" spans="1:11" ht="28.5">
      <c r="A1296" s="984" t="s">
        <v>364</v>
      </c>
      <c r="B1296" s="985"/>
      <c r="C1296" s="77" t="s">
        <v>3</v>
      </c>
      <c r="D1296" s="77" t="s">
        <v>4</v>
      </c>
      <c r="E1296" s="77" t="s">
        <v>1826</v>
      </c>
      <c r="F1296" s="77" t="s">
        <v>367</v>
      </c>
      <c r="G1296" s="77" t="s">
        <v>368</v>
      </c>
      <c r="K1296" s="237"/>
    </row>
    <row r="1297" spans="1:11" s="45" customFormat="1" ht="30">
      <c r="A1297" s="24">
        <v>4095</v>
      </c>
      <c r="B1297" s="78" t="s">
        <v>2282</v>
      </c>
      <c r="C1297" s="25" t="s">
        <v>44</v>
      </c>
      <c r="D1297" s="25" t="s">
        <v>17</v>
      </c>
      <c r="E1297" s="26">
        <v>1</v>
      </c>
      <c r="F1297" s="26">
        <f t="shared" ref="F1297:F1299" si="470">H1297</f>
        <v>30.515000000000001</v>
      </c>
      <c r="G1297" s="26">
        <f t="shared" ref="G1297:G1299" si="471">ROUND(F1297*E1297,2)</f>
        <v>30.52</v>
      </c>
      <c r="H1297" s="364">
        <v>30.515000000000001</v>
      </c>
      <c r="I1297" s="45" t="e">
        <f>IF(A1297&lt;&gt;0,VLOOKUP(A1297,#REF!,2,FALSE),"")</f>
        <v>#REF!</v>
      </c>
      <c r="J1297" s="364"/>
      <c r="K1297" s="237"/>
    </row>
    <row r="1298" spans="1:11" ht="15" customHeight="1">
      <c r="A1298" s="24">
        <v>88264</v>
      </c>
      <c r="B1298" s="78" t="s">
        <v>379</v>
      </c>
      <c r="C1298" s="25" t="s">
        <v>12</v>
      </c>
      <c r="D1298" s="25" t="s">
        <v>19</v>
      </c>
      <c r="E1298" s="26">
        <v>0.2</v>
      </c>
      <c r="F1298" s="26">
        <f t="shared" si="470"/>
        <v>15.249000000000001</v>
      </c>
      <c r="G1298" s="26">
        <f t="shared" si="471"/>
        <v>3.05</v>
      </c>
      <c r="H1298" s="375">
        <v>15.249000000000001</v>
      </c>
      <c r="K1298" s="237"/>
    </row>
    <row r="1299" spans="1:11" ht="30">
      <c r="A1299" s="24">
        <v>88316</v>
      </c>
      <c r="B1299" s="78" t="s">
        <v>377</v>
      </c>
      <c r="C1299" s="25" t="s">
        <v>12</v>
      </c>
      <c r="D1299" s="25" t="s">
        <v>19</v>
      </c>
      <c r="E1299" s="26">
        <v>0.2</v>
      </c>
      <c r="F1299" s="26">
        <f t="shared" si="470"/>
        <v>11.798000000000002</v>
      </c>
      <c r="G1299" s="26">
        <f t="shared" si="471"/>
        <v>2.36</v>
      </c>
      <c r="H1299" s="375">
        <v>11.798000000000002</v>
      </c>
      <c r="K1299" s="237"/>
    </row>
    <row r="1300" spans="1:11">
      <c r="A1300" s="986" t="s">
        <v>1894</v>
      </c>
      <c r="B1300" s="986"/>
      <c r="C1300" s="986"/>
      <c r="D1300" s="986"/>
      <c r="E1300" s="986"/>
      <c r="F1300" s="986"/>
      <c r="G1300" s="79">
        <f>ROUND(SUM(G1297:G1299),2)</f>
        <v>35.93</v>
      </c>
      <c r="K1300" s="237"/>
    </row>
    <row r="1301" spans="1:11" ht="25.5" customHeight="1">
      <c r="A1301" s="80"/>
      <c r="B1301" s="80"/>
      <c r="C1301" s="965"/>
      <c r="D1301" s="966"/>
      <c r="E1301" s="80"/>
      <c r="F1301" s="80"/>
      <c r="G1301" s="80"/>
      <c r="K1301" s="237"/>
    </row>
    <row r="1302" spans="1:11" ht="15" customHeight="1">
      <c r="A1302" s="920" t="s">
        <v>2988</v>
      </c>
      <c r="B1302" s="921"/>
      <c r="C1302" s="921"/>
      <c r="D1302" s="921"/>
      <c r="E1302" s="929"/>
      <c r="F1302" s="75" t="s">
        <v>44</v>
      </c>
      <c r="G1302" s="95">
        <v>723</v>
      </c>
      <c r="K1302" s="237"/>
    </row>
    <row r="1303" spans="1:11" ht="28.5">
      <c r="A1303" s="984" t="s">
        <v>364</v>
      </c>
      <c r="B1303" s="985"/>
      <c r="C1303" s="77" t="s">
        <v>3</v>
      </c>
      <c r="D1303" s="77" t="s">
        <v>4</v>
      </c>
      <c r="E1303" s="77" t="s">
        <v>1826</v>
      </c>
      <c r="F1303" s="77" t="s">
        <v>367</v>
      </c>
      <c r="G1303" s="77" t="s">
        <v>368</v>
      </c>
      <c r="K1303" s="237"/>
    </row>
    <row r="1304" spans="1:11" s="45" customFormat="1">
      <c r="A1304" s="84">
        <v>2003</v>
      </c>
      <c r="B1304" s="85" t="s">
        <v>1825</v>
      </c>
      <c r="C1304" s="86" t="s">
        <v>44</v>
      </c>
      <c r="D1304" s="86" t="s">
        <v>17</v>
      </c>
      <c r="E1304" s="81">
        <v>1</v>
      </c>
      <c r="F1304" s="26">
        <f t="shared" ref="F1304:F1306" si="472">H1304</f>
        <v>1.7850000000000001</v>
      </c>
      <c r="G1304" s="26">
        <f t="shared" ref="G1304:G1306" si="473">ROUND(F1304*E1304,2)</f>
        <v>1.79</v>
      </c>
      <c r="H1304" s="364">
        <v>1.7850000000000001</v>
      </c>
      <c r="I1304" s="45" t="e">
        <f>IF(A1304&lt;&gt;0,VLOOKUP(A1304,#REF!,2,FALSE),"")</f>
        <v>#REF!</v>
      </c>
      <c r="J1304" s="364"/>
      <c r="K1304" s="237"/>
    </row>
    <row r="1305" spans="1:11" ht="15" customHeight="1">
      <c r="A1305" s="24">
        <v>88264</v>
      </c>
      <c r="B1305" s="78" t="s">
        <v>379</v>
      </c>
      <c r="C1305" s="25" t="s">
        <v>12</v>
      </c>
      <c r="D1305" s="25" t="s">
        <v>19</v>
      </c>
      <c r="E1305" s="26">
        <v>0.06</v>
      </c>
      <c r="F1305" s="26">
        <f t="shared" si="472"/>
        <v>15.249000000000001</v>
      </c>
      <c r="G1305" s="26">
        <f t="shared" si="473"/>
        <v>0.91</v>
      </c>
      <c r="H1305" s="375">
        <v>15.249000000000001</v>
      </c>
      <c r="K1305" s="237"/>
    </row>
    <row r="1306" spans="1:11" ht="30">
      <c r="A1306" s="24">
        <v>88316</v>
      </c>
      <c r="B1306" s="78" t="s">
        <v>377</v>
      </c>
      <c r="C1306" s="25" t="s">
        <v>12</v>
      </c>
      <c r="D1306" s="25" t="s">
        <v>19</v>
      </c>
      <c r="E1306" s="26">
        <v>0.06</v>
      </c>
      <c r="F1306" s="26">
        <f t="shared" si="472"/>
        <v>11.798000000000002</v>
      </c>
      <c r="G1306" s="26">
        <f t="shared" si="473"/>
        <v>0.71</v>
      </c>
      <c r="H1306" s="375">
        <v>11.798000000000002</v>
      </c>
      <c r="K1306" s="237"/>
    </row>
    <row r="1307" spans="1:11">
      <c r="A1307" s="986" t="s">
        <v>1894</v>
      </c>
      <c r="B1307" s="986"/>
      <c r="C1307" s="986"/>
      <c r="D1307" s="986"/>
      <c r="E1307" s="986"/>
      <c r="F1307" s="986"/>
      <c r="G1307" s="79">
        <f>ROUND(SUM(G1304:G1306),2)</f>
        <v>3.41</v>
      </c>
      <c r="K1307" s="237"/>
    </row>
    <row r="1308" spans="1:11" ht="24.75" customHeight="1">
      <c r="A1308" s="80"/>
      <c r="B1308" s="80"/>
      <c r="C1308" s="965"/>
      <c r="D1308" s="966"/>
      <c r="E1308" s="80"/>
      <c r="F1308" s="80"/>
      <c r="G1308" s="80"/>
      <c r="K1308" s="237"/>
    </row>
    <row r="1309" spans="1:11" ht="27" customHeight="1">
      <c r="A1309" s="920" t="s">
        <v>2284</v>
      </c>
      <c r="B1309" s="921"/>
      <c r="C1309" s="921"/>
      <c r="D1309" s="921"/>
      <c r="E1309" s="929"/>
      <c r="F1309" s="75" t="s">
        <v>70</v>
      </c>
      <c r="G1309" s="88"/>
      <c r="K1309" s="237"/>
    </row>
    <row r="1310" spans="1:11" ht="28.5">
      <c r="A1310" s="984" t="s">
        <v>364</v>
      </c>
      <c r="B1310" s="985"/>
      <c r="C1310" s="77" t="s">
        <v>3</v>
      </c>
      <c r="D1310" s="77" t="s">
        <v>4</v>
      </c>
      <c r="E1310" s="77" t="s">
        <v>1826</v>
      </c>
      <c r="F1310" s="77" t="s">
        <v>367</v>
      </c>
      <c r="G1310" s="77" t="s">
        <v>368</v>
      </c>
      <c r="K1310" s="237"/>
    </row>
    <row r="1311" spans="1:11" ht="30">
      <c r="A1311" s="24">
        <v>39811</v>
      </c>
      <c r="B1311" s="78" t="s">
        <v>573</v>
      </c>
      <c r="C1311" s="25" t="s">
        <v>12</v>
      </c>
      <c r="D1311" s="25" t="s">
        <v>17</v>
      </c>
      <c r="E1311" s="26">
        <v>1</v>
      </c>
      <c r="F1311" s="26">
        <f t="shared" ref="F1311" si="474">H1311</f>
        <v>24.964500000000001</v>
      </c>
      <c r="G1311" s="26">
        <f t="shared" ref="G1311" si="475">ROUND(F1311*E1311,2)</f>
        <v>24.96</v>
      </c>
      <c r="H1311" s="375">
        <v>24.964500000000001</v>
      </c>
      <c r="I1311" s="28" t="e">
        <f>IF(A1311&lt;&gt;0,VLOOKUP(A1311,#REF!,2,FALSE),"")</f>
        <v>#REF!</v>
      </c>
      <c r="K1311" s="237"/>
    </row>
    <row r="1312" spans="1:11" ht="30">
      <c r="A1312" s="24">
        <v>88264</v>
      </c>
      <c r="B1312" s="78" t="s">
        <v>379</v>
      </c>
      <c r="C1312" s="25" t="s">
        <v>12</v>
      </c>
      <c r="D1312" s="25" t="s">
        <v>19</v>
      </c>
      <c r="E1312" s="26">
        <v>0.7</v>
      </c>
      <c r="F1312" s="26">
        <f t="shared" ref="F1312:F1313" si="476">H1312</f>
        <v>15.249000000000001</v>
      </c>
      <c r="G1312" s="26">
        <f t="shared" ref="G1312:G1313" si="477">ROUND(F1312*E1312,2)</f>
        <v>10.67</v>
      </c>
      <c r="H1312" s="375">
        <v>15.249000000000001</v>
      </c>
      <c r="I1312" s="28" t="e">
        <f>IF(A1312&lt;&gt;0,VLOOKUP(A1312,#REF!,2,FALSE),"")</f>
        <v>#REF!</v>
      </c>
      <c r="K1312" s="237"/>
    </row>
    <row r="1313" spans="1:11" ht="30">
      <c r="A1313" s="24">
        <v>88247</v>
      </c>
      <c r="B1313" s="78" t="s">
        <v>510</v>
      </c>
      <c r="C1313" s="25" t="s">
        <v>12</v>
      </c>
      <c r="D1313" s="25" t="s">
        <v>19</v>
      </c>
      <c r="E1313" s="26">
        <v>0.7</v>
      </c>
      <c r="F1313" s="26">
        <f t="shared" si="476"/>
        <v>11.9085</v>
      </c>
      <c r="G1313" s="26">
        <f t="shared" si="477"/>
        <v>8.34</v>
      </c>
      <c r="H1313" s="375">
        <v>11.9085</v>
      </c>
      <c r="I1313" s="28" t="e">
        <f>IF(A1313&lt;&gt;0,VLOOKUP(A1313,#REF!,2,FALSE),"")</f>
        <v>#REF!</v>
      </c>
      <c r="K1313" s="237"/>
    </row>
    <row r="1314" spans="1:11" ht="26.25" customHeight="1">
      <c r="A1314" s="1017" t="s">
        <v>1894</v>
      </c>
      <c r="B1314" s="1017"/>
      <c r="C1314" s="1017"/>
      <c r="D1314" s="1017"/>
      <c r="E1314" s="1017"/>
      <c r="F1314" s="1017"/>
      <c r="G1314" s="96">
        <f>ROUND(SUM(G1311:G1313),2)</f>
        <v>43.97</v>
      </c>
      <c r="K1314" s="237"/>
    </row>
    <row r="1315" spans="1:11" ht="20.25" customHeight="1">
      <c r="A1315" s="80"/>
      <c r="B1315" s="80"/>
      <c r="C1315" s="965"/>
      <c r="D1315" s="966"/>
      <c r="E1315" s="80"/>
      <c r="F1315" s="80"/>
      <c r="G1315" s="80"/>
      <c r="K1315" s="237"/>
    </row>
    <row r="1316" spans="1:11">
      <c r="A1316" s="80"/>
      <c r="B1316" s="80"/>
      <c r="C1316" s="965"/>
      <c r="D1316" s="966"/>
      <c r="E1316" s="80"/>
      <c r="F1316" s="80"/>
      <c r="G1316" s="80"/>
      <c r="K1316" s="237"/>
    </row>
    <row r="1317" spans="1:11" ht="23.25" customHeight="1">
      <c r="A1317" s="920" t="s">
        <v>2665</v>
      </c>
      <c r="B1317" s="921"/>
      <c r="C1317" s="921"/>
      <c r="D1317" s="921"/>
      <c r="E1317" s="929"/>
      <c r="F1317" s="75" t="s">
        <v>1915</v>
      </c>
      <c r="G1317" s="88"/>
      <c r="K1317" s="237"/>
    </row>
    <row r="1318" spans="1:11" ht="28.5">
      <c r="A1318" s="984" t="s">
        <v>364</v>
      </c>
      <c r="B1318" s="985"/>
      <c r="C1318" s="77" t="s">
        <v>3</v>
      </c>
      <c r="D1318" s="77" t="s">
        <v>4</v>
      </c>
      <c r="E1318" s="77" t="s">
        <v>1826</v>
      </c>
      <c r="F1318" s="77" t="s">
        <v>367</v>
      </c>
      <c r="G1318" s="77" t="s">
        <v>368</v>
      </c>
      <c r="K1318" s="237"/>
    </row>
    <row r="1319" spans="1:11" s="45" customFormat="1" ht="45">
      <c r="A1319" s="24">
        <v>11609</v>
      </c>
      <c r="B1319" s="78" t="s">
        <v>2299</v>
      </c>
      <c r="C1319" s="25" t="s">
        <v>44</v>
      </c>
      <c r="D1319" s="25" t="s">
        <v>17</v>
      </c>
      <c r="E1319" s="26">
        <v>1</v>
      </c>
      <c r="F1319" s="26">
        <f t="shared" ref="F1319:F1320" si="478">H1319</f>
        <v>552.5</v>
      </c>
      <c r="G1319" s="26">
        <f t="shared" ref="G1319:G1320" si="479">ROUND(F1319*E1319,2)</f>
        <v>552.5</v>
      </c>
      <c r="H1319" s="364">
        <v>552.5</v>
      </c>
      <c r="I1319" s="45" t="e">
        <f>IF(A1319&lt;&gt;0,VLOOKUP(A1319,#REF!,2,FALSE),"")</f>
        <v>#REF!</v>
      </c>
      <c r="J1319" s="364"/>
      <c r="K1319" s="237"/>
    </row>
    <row r="1320" spans="1:11" ht="30">
      <c r="A1320" s="24">
        <v>88264</v>
      </c>
      <c r="B1320" s="78" t="s">
        <v>379</v>
      </c>
      <c r="C1320" s="25" t="s">
        <v>12</v>
      </c>
      <c r="D1320" s="25" t="s">
        <v>19</v>
      </c>
      <c r="E1320" s="26">
        <v>1</v>
      </c>
      <c r="F1320" s="26">
        <f t="shared" si="478"/>
        <v>15.249000000000001</v>
      </c>
      <c r="G1320" s="26">
        <f t="shared" si="479"/>
        <v>15.25</v>
      </c>
      <c r="H1320" s="375">
        <v>15.249000000000001</v>
      </c>
      <c r="I1320" s="28" t="e">
        <f>IF(A1320&lt;&gt;0,VLOOKUP(A1320,#REF!,2,FALSE),"")</f>
        <v>#REF!</v>
      </c>
      <c r="K1320" s="237"/>
    </row>
    <row r="1321" spans="1:11" ht="28.5" customHeight="1">
      <c r="A1321" s="1017" t="s">
        <v>1894</v>
      </c>
      <c r="B1321" s="1017"/>
      <c r="C1321" s="1017"/>
      <c r="D1321" s="1017"/>
      <c r="E1321" s="1017"/>
      <c r="F1321" s="1017"/>
      <c r="G1321" s="96">
        <f>ROUND(SUM(G1319:G1320),2)</f>
        <v>567.75</v>
      </c>
      <c r="K1321" s="237"/>
    </row>
    <row r="1322" spans="1:11" ht="30" customHeight="1">
      <c r="A1322" s="80"/>
      <c r="B1322" s="80"/>
      <c r="C1322" s="965"/>
      <c r="D1322" s="966"/>
      <c r="E1322" s="80"/>
      <c r="F1322" s="80"/>
      <c r="G1322" s="80"/>
      <c r="K1322" s="237"/>
    </row>
    <row r="1323" spans="1:11" ht="15" customHeight="1">
      <c r="A1323" s="920" t="s">
        <v>2494</v>
      </c>
      <c r="B1323" s="921"/>
      <c r="C1323" s="921"/>
      <c r="D1323" s="921"/>
      <c r="E1323" s="929"/>
      <c r="F1323" s="75" t="s">
        <v>1915</v>
      </c>
      <c r="G1323" s="344" t="s">
        <v>2300</v>
      </c>
      <c r="K1323" s="237"/>
    </row>
    <row r="1324" spans="1:11" ht="28.5">
      <c r="A1324" s="984" t="s">
        <v>364</v>
      </c>
      <c r="B1324" s="985"/>
      <c r="C1324" s="77" t="s">
        <v>3</v>
      </c>
      <c r="D1324" s="77" t="s">
        <v>4</v>
      </c>
      <c r="E1324" s="77" t="s">
        <v>1826</v>
      </c>
      <c r="F1324" s="77" t="s">
        <v>367</v>
      </c>
      <c r="G1324" s="77" t="s">
        <v>368</v>
      </c>
      <c r="K1324" s="237"/>
    </row>
    <row r="1325" spans="1:11" ht="30">
      <c r="A1325" s="24" t="s">
        <v>1920</v>
      </c>
      <c r="B1325" s="78" t="s">
        <v>2493</v>
      </c>
      <c r="C1325" s="25" t="s">
        <v>2015</v>
      </c>
      <c r="D1325" s="25" t="s">
        <v>17</v>
      </c>
      <c r="E1325" s="26">
        <v>1</v>
      </c>
      <c r="F1325" s="26">
        <f t="shared" ref="F1325:F1327" si="480">H1325</f>
        <v>2271.5697500000001</v>
      </c>
      <c r="G1325" s="26">
        <f t="shared" ref="G1325:G1327" si="481">ROUND(F1325*E1325,2)</f>
        <v>2271.5700000000002</v>
      </c>
      <c r="H1325" s="375">
        <v>2271.5697500000001</v>
      </c>
      <c r="K1325" s="237"/>
    </row>
    <row r="1326" spans="1:11" ht="30">
      <c r="A1326" s="24">
        <v>88264</v>
      </c>
      <c r="B1326" s="78" t="s">
        <v>379</v>
      </c>
      <c r="C1326" s="25" t="s">
        <v>12</v>
      </c>
      <c r="D1326" s="25" t="s">
        <v>19</v>
      </c>
      <c r="E1326" s="26">
        <v>1</v>
      </c>
      <c r="F1326" s="26">
        <f t="shared" si="480"/>
        <v>15.249000000000001</v>
      </c>
      <c r="G1326" s="26">
        <f t="shared" si="481"/>
        <v>15.25</v>
      </c>
      <c r="H1326" s="375">
        <v>15.249000000000001</v>
      </c>
      <c r="I1326" s="28" t="e">
        <f>IF(A1326&lt;&gt;0,VLOOKUP(A1326,#REF!,2,FALSE),"")</f>
        <v>#REF!</v>
      </c>
      <c r="K1326" s="237"/>
    </row>
    <row r="1327" spans="1:11" ht="15" customHeight="1">
      <c r="A1327" s="24">
        <v>88247</v>
      </c>
      <c r="B1327" s="78" t="s">
        <v>510</v>
      </c>
      <c r="C1327" s="25" t="s">
        <v>12</v>
      </c>
      <c r="D1327" s="25" t="s">
        <v>19</v>
      </c>
      <c r="E1327" s="26">
        <v>1</v>
      </c>
      <c r="F1327" s="26">
        <f t="shared" si="480"/>
        <v>11.9085</v>
      </c>
      <c r="G1327" s="26">
        <f t="shared" si="481"/>
        <v>11.91</v>
      </c>
      <c r="H1327" s="375">
        <v>11.9085</v>
      </c>
      <c r="I1327" s="28" t="e">
        <f>IF(A1327&lt;&gt;0,VLOOKUP(A1327,#REF!,2,FALSE),"")</f>
        <v>#REF!</v>
      </c>
      <c r="K1327" s="237"/>
    </row>
    <row r="1328" spans="1:11">
      <c r="A1328" s="1017" t="s">
        <v>1894</v>
      </c>
      <c r="B1328" s="1017"/>
      <c r="C1328" s="1017"/>
      <c r="D1328" s="1017"/>
      <c r="E1328" s="1017"/>
      <c r="F1328" s="1017"/>
      <c r="G1328" s="96">
        <f>ROUND(SUM(G1325:G1327),2)</f>
        <v>2298.73</v>
      </c>
      <c r="K1328" s="237"/>
    </row>
    <row r="1329" spans="1:11" ht="23.25" customHeight="1">
      <c r="A1329" s="80"/>
      <c r="B1329" s="80"/>
      <c r="C1329" s="965"/>
      <c r="D1329" s="966"/>
      <c r="E1329" s="80"/>
      <c r="F1329" s="80"/>
      <c r="G1329" s="80"/>
      <c r="K1329" s="237"/>
    </row>
    <row r="1330" spans="1:11" ht="15" customHeight="1">
      <c r="A1330" s="920" t="s">
        <v>2302</v>
      </c>
      <c r="B1330" s="921"/>
      <c r="C1330" s="921"/>
      <c r="D1330" s="921"/>
      <c r="E1330" s="921"/>
      <c r="F1330" s="75" t="s">
        <v>1915</v>
      </c>
      <c r="G1330" s="88"/>
      <c r="K1330" s="237"/>
    </row>
    <row r="1331" spans="1:11" ht="28.5">
      <c r="A1331" s="984" t="s">
        <v>364</v>
      </c>
      <c r="B1331" s="985"/>
      <c r="C1331" s="77" t="s">
        <v>3</v>
      </c>
      <c r="D1331" s="77" t="s">
        <v>4</v>
      </c>
      <c r="E1331" s="77" t="s">
        <v>1826</v>
      </c>
      <c r="F1331" s="77" t="s">
        <v>367</v>
      </c>
      <c r="G1331" s="77" t="s">
        <v>368</v>
      </c>
      <c r="K1331" s="237"/>
    </row>
    <row r="1332" spans="1:11" s="45" customFormat="1" ht="30">
      <c r="A1332" s="24">
        <v>2022</v>
      </c>
      <c r="B1332" s="78" t="s">
        <v>2301</v>
      </c>
      <c r="C1332" s="25" t="s">
        <v>44</v>
      </c>
      <c r="D1332" s="25" t="s">
        <v>17</v>
      </c>
      <c r="E1332" s="26">
        <v>1</v>
      </c>
      <c r="F1332" s="26">
        <f t="shared" ref="F1332" si="482">H1332</f>
        <v>470.05</v>
      </c>
      <c r="G1332" s="26">
        <f t="shared" ref="G1332" si="483">ROUND(F1332*E1332,2)</f>
        <v>470.05</v>
      </c>
      <c r="H1332" s="364">
        <v>470.05</v>
      </c>
      <c r="I1332" s="45" t="e">
        <f>IF(A1332&lt;&gt;0,VLOOKUP(A1332,#REF!,2,FALSE),"")</f>
        <v>#REF!</v>
      </c>
      <c r="J1332" s="364"/>
      <c r="K1332" s="237"/>
    </row>
    <row r="1333" spans="1:11" ht="30">
      <c r="A1333" s="24">
        <v>88264</v>
      </c>
      <c r="B1333" s="78" t="s">
        <v>379</v>
      </c>
      <c r="C1333" s="25" t="s">
        <v>12</v>
      </c>
      <c r="D1333" s="25" t="s">
        <v>19</v>
      </c>
      <c r="E1333" s="26">
        <v>1.65</v>
      </c>
      <c r="F1333" s="26">
        <f t="shared" ref="F1333:F1334" si="484">H1333</f>
        <v>15.249000000000001</v>
      </c>
      <c r="G1333" s="26">
        <f t="shared" ref="G1333:G1334" si="485">ROUND(F1333*E1333,2)</f>
        <v>25.16</v>
      </c>
      <c r="H1333" s="375">
        <v>15.249000000000001</v>
      </c>
      <c r="I1333" s="28" t="e">
        <f>IF(A1333&lt;&gt;0,VLOOKUP(A1333,#REF!,2,FALSE),"")</f>
        <v>#REF!</v>
      </c>
      <c r="K1333" s="237"/>
    </row>
    <row r="1334" spans="1:11" ht="30">
      <c r="A1334" s="24">
        <v>88247</v>
      </c>
      <c r="B1334" s="78" t="s">
        <v>510</v>
      </c>
      <c r="C1334" s="25" t="s">
        <v>12</v>
      </c>
      <c r="D1334" s="25" t="s">
        <v>19</v>
      </c>
      <c r="E1334" s="26">
        <v>1.8560000000000001</v>
      </c>
      <c r="F1334" s="26">
        <f t="shared" si="484"/>
        <v>11.9085</v>
      </c>
      <c r="G1334" s="26">
        <f t="shared" si="485"/>
        <v>22.1</v>
      </c>
      <c r="H1334" s="375">
        <v>11.9085</v>
      </c>
      <c r="I1334" s="28" t="e">
        <f>IF(A1334&lt;&gt;0,VLOOKUP(A1334,#REF!,2,FALSE),"")</f>
        <v>#REF!</v>
      </c>
      <c r="K1334" s="237"/>
    </row>
    <row r="1335" spans="1:11" ht="15" customHeight="1">
      <c r="A1335" s="1017" t="s">
        <v>1894</v>
      </c>
      <c r="B1335" s="1017"/>
      <c r="C1335" s="1017"/>
      <c r="D1335" s="1017"/>
      <c r="E1335" s="1017"/>
      <c r="F1335" s="1017"/>
      <c r="G1335" s="96">
        <f>ROUND(SUM(G1332:G1334),2)</f>
        <v>517.30999999999995</v>
      </c>
      <c r="K1335" s="237"/>
    </row>
    <row r="1336" spans="1:11" ht="22.5" customHeight="1">
      <c r="A1336" s="80"/>
      <c r="B1336" s="80"/>
      <c r="C1336" s="965"/>
      <c r="D1336" s="966"/>
      <c r="E1336" s="80"/>
      <c r="F1336" s="80"/>
      <c r="G1336" s="80"/>
      <c r="K1336" s="237"/>
    </row>
    <row r="1337" spans="1:11" ht="24.75" customHeight="1">
      <c r="A1337" s="920" t="s">
        <v>2304</v>
      </c>
      <c r="B1337" s="921"/>
      <c r="C1337" s="921"/>
      <c r="D1337" s="921"/>
      <c r="E1337" s="929"/>
      <c r="F1337" s="75" t="s">
        <v>1915</v>
      </c>
      <c r="G1337" s="88"/>
      <c r="K1337" s="237"/>
    </row>
    <row r="1338" spans="1:11" ht="28.5">
      <c r="A1338" s="984" t="s">
        <v>364</v>
      </c>
      <c r="B1338" s="985"/>
      <c r="C1338" s="77" t="s">
        <v>3</v>
      </c>
      <c r="D1338" s="77" t="s">
        <v>4</v>
      </c>
      <c r="E1338" s="77" t="s">
        <v>1826</v>
      </c>
      <c r="F1338" s="77" t="s">
        <v>367</v>
      </c>
      <c r="G1338" s="77" t="s">
        <v>368</v>
      </c>
      <c r="K1338" s="237"/>
    </row>
    <row r="1339" spans="1:11" s="45" customFormat="1">
      <c r="A1339" s="24">
        <v>11943</v>
      </c>
      <c r="B1339" s="78" t="s">
        <v>574</v>
      </c>
      <c r="C1339" s="25" t="s">
        <v>44</v>
      </c>
      <c r="D1339" s="25" t="s">
        <v>17</v>
      </c>
      <c r="E1339" s="26">
        <v>1</v>
      </c>
      <c r="F1339" s="26">
        <f t="shared" ref="F1339" si="486">H1339</f>
        <v>42.414999999999999</v>
      </c>
      <c r="G1339" s="26">
        <f t="shared" ref="G1339" si="487">ROUND(F1339*E1339,2)</f>
        <v>42.42</v>
      </c>
      <c r="H1339" s="364">
        <v>42.414999999999999</v>
      </c>
      <c r="I1339" s="45" t="e">
        <f>IF(A1339&lt;&gt;0,VLOOKUP(A1339,#REF!,2,FALSE),"")</f>
        <v>#REF!</v>
      </c>
      <c r="J1339" s="364"/>
      <c r="K1339" s="237"/>
    </row>
    <row r="1340" spans="1:11" ht="30">
      <c r="A1340" s="24">
        <v>88264</v>
      </c>
      <c r="B1340" s="78" t="s">
        <v>379</v>
      </c>
      <c r="C1340" s="25" t="s">
        <v>12</v>
      </c>
      <c r="D1340" s="25" t="s">
        <v>19</v>
      </c>
      <c r="E1340" s="26">
        <v>1.8560000000000001</v>
      </c>
      <c r="F1340" s="26">
        <f t="shared" ref="F1340:F1341" si="488">H1340</f>
        <v>15.249000000000001</v>
      </c>
      <c r="G1340" s="26">
        <f t="shared" ref="G1340:G1341" si="489">ROUND(F1340*E1340,2)</f>
        <v>28.3</v>
      </c>
      <c r="H1340" s="375">
        <v>15.249000000000001</v>
      </c>
      <c r="I1340" s="28" t="e">
        <f>IF(A1340&lt;&gt;0,VLOOKUP(A1340,#REF!,2,FALSE),"")</f>
        <v>#REF!</v>
      </c>
      <c r="K1340" s="237"/>
    </row>
    <row r="1341" spans="1:11" ht="30">
      <c r="A1341" s="24">
        <v>88247</v>
      </c>
      <c r="B1341" s="78" t="s">
        <v>510</v>
      </c>
      <c r="C1341" s="25" t="s">
        <v>12</v>
      </c>
      <c r="D1341" s="25" t="s">
        <v>19</v>
      </c>
      <c r="E1341" s="26">
        <v>1.8560000000000001</v>
      </c>
      <c r="F1341" s="26">
        <f t="shared" si="488"/>
        <v>11.9085</v>
      </c>
      <c r="G1341" s="26">
        <f t="shared" si="489"/>
        <v>22.1</v>
      </c>
      <c r="H1341" s="375">
        <v>11.9085</v>
      </c>
      <c r="I1341" s="28" t="e">
        <f>IF(A1341&lt;&gt;0,VLOOKUP(A1341,#REF!,2,FALSE),"")</f>
        <v>#REF!</v>
      </c>
      <c r="K1341" s="237"/>
    </row>
    <row r="1342" spans="1:11" ht="15" customHeight="1">
      <c r="A1342" s="1017" t="s">
        <v>1894</v>
      </c>
      <c r="B1342" s="1017"/>
      <c r="C1342" s="1017"/>
      <c r="D1342" s="1017"/>
      <c r="E1342" s="1017"/>
      <c r="F1342" s="1017"/>
      <c r="G1342" s="96">
        <f>ROUND(SUM(G1339:G1341),2)</f>
        <v>92.82</v>
      </c>
      <c r="K1342" s="237"/>
    </row>
    <row r="1343" spans="1:11" ht="28.5" customHeight="1">
      <c r="A1343" s="80"/>
      <c r="B1343" s="80"/>
      <c r="C1343" s="965"/>
      <c r="D1343" s="966"/>
      <c r="E1343" s="80"/>
      <c r="F1343" s="80"/>
      <c r="G1343" s="80"/>
      <c r="K1343" s="237"/>
    </row>
    <row r="1344" spans="1:11" ht="15" customHeight="1">
      <c r="A1344" s="920" t="s">
        <v>2306</v>
      </c>
      <c r="B1344" s="921"/>
      <c r="C1344" s="921"/>
      <c r="D1344" s="921"/>
      <c r="E1344" s="921"/>
      <c r="F1344" s="75" t="s">
        <v>44</v>
      </c>
      <c r="G1344" s="88"/>
      <c r="K1344" s="237"/>
    </row>
    <row r="1345" spans="1:11" s="45" customFormat="1" ht="45">
      <c r="A1345" s="24">
        <v>8016</v>
      </c>
      <c r="B1345" s="78" t="s">
        <v>575</v>
      </c>
      <c r="C1345" s="25" t="s">
        <v>44</v>
      </c>
      <c r="D1345" s="25" t="s">
        <v>17</v>
      </c>
      <c r="E1345" s="26">
        <v>1</v>
      </c>
      <c r="F1345" s="26">
        <f t="shared" ref="F1345" si="490">H1345</f>
        <v>1886.7449999999999</v>
      </c>
      <c r="G1345" s="26">
        <f t="shared" ref="G1345" si="491">ROUND(F1345*E1345,2)</f>
        <v>1886.75</v>
      </c>
      <c r="H1345" s="364">
        <v>1886.7449999999999</v>
      </c>
      <c r="I1345" s="45" t="e">
        <f>IF(A1345&lt;&gt;0,VLOOKUP(A1345,#REF!,2,FALSE),"")</f>
        <v>#REF!</v>
      </c>
      <c r="J1345" s="364"/>
      <c r="K1345" s="237"/>
    </row>
    <row r="1346" spans="1:11" ht="16.5" customHeight="1">
      <c r="A1346" s="1017" t="s">
        <v>1894</v>
      </c>
      <c r="B1346" s="1017"/>
      <c r="C1346" s="1017"/>
      <c r="D1346" s="1017"/>
      <c r="E1346" s="1017"/>
      <c r="F1346" s="1017"/>
      <c r="G1346" s="96">
        <f>ROUND(SUM(G1345),2)</f>
        <v>1886.75</v>
      </c>
      <c r="H1346" s="375">
        <v>0</v>
      </c>
      <c r="K1346" s="237"/>
    </row>
    <row r="1347" spans="1:11" ht="33" customHeight="1">
      <c r="A1347" s="80"/>
      <c r="B1347" s="80"/>
      <c r="C1347" s="965"/>
      <c r="D1347" s="966"/>
      <c r="E1347" s="80"/>
      <c r="F1347" s="80"/>
      <c r="G1347" s="80"/>
      <c r="H1347" s="375">
        <v>0</v>
      </c>
      <c r="K1347" s="237"/>
    </row>
    <row r="1348" spans="1:11" ht="39" customHeight="1">
      <c r="A1348" s="920" t="s">
        <v>2422</v>
      </c>
      <c r="B1348" s="921"/>
      <c r="C1348" s="921"/>
      <c r="D1348" s="921"/>
      <c r="E1348" s="921"/>
      <c r="F1348" s="75" t="s">
        <v>1915</v>
      </c>
      <c r="G1348" s="88"/>
      <c r="K1348" s="237"/>
    </row>
    <row r="1349" spans="1:11" ht="60">
      <c r="A1349" s="25"/>
      <c r="B1349" s="78" t="s">
        <v>243</v>
      </c>
      <c r="C1349" s="25" t="s">
        <v>2015</v>
      </c>
      <c r="D1349" s="25" t="s">
        <v>17</v>
      </c>
      <c r="E1349" s="26">
        <v>1</v>
      </c>
      <c r="F1349" s="26">
        <f t="shared" ref="F1349" si="492">H1349</f>
        <v>140118.14800000002</v>
      </c>
      <c r="G1349" s="26">
        <f t="shared" ref="G1349" si="493">ROUND(F1349*E1349,2)</f>
        <v>140118.15</v>
      </c>
      <c r="H1349" s="375">
        <v>140118.14800000002</v>
      </c>
      <c r="K1349" s="237"/>
    </row>
    <row r="1350" spans="1:11">
      <c r="A1350" s="1017" t="s">
        <v>1894</v>
      </c>
      <c r="B1350" s="1017"/>
      <c r="C1350" s="1017"/>
      <c r="D1350" s="1017"/>
      <c r="E1350" s="1017"/>
      <c r="F1350" s="1017"/>
      <c r="G1350" s="96">
        <f>ROUND(SUM(G1349),2)</f>
        <v>140118.15</v>
      </c>
      <c r="K1350" s="237"/>
    </row>
    <row r="1351" spans="1:11" ht="24" customHeight="1">
      <c r="A1351" s="80"/>
      <c r="B1351" s="80"/>
      <c r="C1351" s="965"/>
      <c r="D1351" s="966"/>
      <c r="E1351" s="80"/>
      <c r="F1351" s="80"/>
      <c r="G1351" s="80"/>
      <c r="K1351" s="237"/>
    </row>
    <row r="1352" spans="1:11" ht="15" customHeight="1">
      <c r="A1352" s="920" t="s">
        <v>2309</v>
      </c>
      <c r="B1352" s="921"/>
      <c r="C1352" s="921"/>
      <c r="D1352" s="921"/>
      <c r="E1352" s="929"/>
      <c r="F1352" s="75" t="s">
        <v>70</v>
      </c>
      <c r="G1352" s="88"/>
      <c r="K1352" s="237"/>
    </row>
    <row r="1353" spans="1:11" ht="28.5">
      <c r="A1353" s="984" t="s">
        <v>364</v>
      </c>
      <c r="B1353" s="985"/>
      <c r="C1353" s="77" t="s">
        <v>3</v>
      </c>
      <c r="D1353" s="77" t="s">
        <v>4</v>
      </c>
      <c r="E1353" s="77" t="s">
        <v>1826</v>
      </c>
      <c r="F1353" s="77" t="s">
        <v>367</v>
      </c>
      <c r="G1353" s="77" t="s">
        <v>368</v>
      </c>
      <c r="K1353" s="237"/>
    </row>
    <row r="1354" spans="1:11" s="28" customFormat="1">
      <c r="A1354" s="25" t="s">
        <v>576</v>
      </c>
      <c r="B1354" s="78" t="s">
        <v>577</v>
      </c>
      <c r="C1354" s="25" t="s">
        <v>70</v>
      </c>
      <c r="D1354" s="25" t="s">
        <v>52</v>
      </c>
      <c r="E1354" s="26">
        <v>1.05</v>
      </c>
      <c r="F1354" s="81">
        <v>10.4</v>
      </c>
      <c r="G1354" s="81">
        <v>10.92</v>
      </c>
      <c r="H1354" s="374">
        <v>8.84</v>
      </c>
      <c r="J1354" s="374"/>
      <c r="K1354" s="237"/>
    </row>
    <row r="1355" spans="1:11" ht="30">
      <c r="A1355" s="24">
        <v>88264</v>
      </c>
      <c r="B1355" s="78" t="s">
        <v>379</v>
      </c>
      <c r="C1355" s="25" t="s">
        <v>12</v>
      </c>
      <c r="D1355" s="25" t="s">
        <v>19</v>
      </c>
      <c r="E1355" s="26">
        <v>0.3</v>
      </c>
      <c r="F1355" s="26">
        <f t="shared" ref="F1355:F1356" si="494">H1355</f>
        <v>15.249000000000001</v>
      </c>
      <c r="G1355" s="26">
        <f t="shared" ref="G1355:G1356" si="495">ROUND(F1355*E1355,2)</f>
        <v>4.57</v>
      </c>
      <c r="H1355" s="375">
        <v>15.249000000000001</v>
      </c>
      <c r="I1355" s="28" t="e">
        <f>IF(A1355&lt;&gt;0,VLOOKUP(A1355,#REF!,2,FALSE),"")</f>
        <v>#REF!</v>
      </c>
      <c r="K1355" s="237"/>
    </row>
    <row r="1356" spans="1:11" ht="30">
      <c r="A1356" s="24">
        <v>88247</v>
      </c>
      <c r="B1356" s="78" t="s">
        <v>510</v>
      </c>
      <c r="C1356" s="25" t="s">
        <v>12</v>
      </c>
      <c r="D1356" s="25" t="s">
        <v>19</v>
      </c>
      <c r="E1356" s="26">
        <v>0.3</v>
      </c>
      <c r="F1356" s="26">
        <f t="shared" si="494"/>
        <v>11.9085</v>
      </c>
      <c r="G1356" s="26">
        <f t="shared" si="495"/>
        <v>3.57</v>
      </c>
      <c r="H1356" s="375">
        <v>11.9085</v>
      </c>
      <c r="I1356" s="28" t="e">
        <f>IF(A1356&lt;&gt;0,VLOOKUP(A1356,#REF!,2,FALSE),"")</f>
        <v>#REF!</v>
      </c>
      <c r="K1356" s="237"/>
    </row>
    <row r="1357" spans="1:11" ht="15" customHeight="1">
      <c r="A1357" s="1017" t="s">
        <v>1894</v>
      </c>
      <c r="B1357" s="1017"/>
      <c r="C1357" s="1017"/>
      <c r="D1357" s="1017"/>
      <c r="E1357" s="1017"/>
      <c r="F1357" s="1017"/>
      <c r="G1357" s="96">
        <f>ROUND(SUM(G1354:G1356),2)</f>
        <v>19.059999999999999</v>
      </c>
      <c r="K1357" s="237"/>
    </row>
    <row r="1358" spans="1:11" ht="21" customHeight="1">
      <c r="A1358" s="80"/>
      <c r="B1358" s="80"/>
      <c r="C1358" s="965"/>
      <c r="D1358" s="966"/>
      <c r="E1358" s="80"/>
      <c r="F1358" s="80"/>
      <c r="G1358" s="80"/>
      <c r="K1358" s="237"/>
    </row>
    <row r="1359" spans="1:11" ht="15" customHeight="1">
      <c r="A1359" s="920" t="s">
        <v>2310</v>
      </c>
      <c r="B1359" s="921"/>
      <c r="C1359" s="921"/>
      <c r="D1359" s="921"/>
      <c r="E1359" s="929"/>
      <c r="F1359" s="75" t="s">
        <v>70</v>
      </c>
      <c r="G1359" s="88"/>
      <c r="K1359" s="237"/>
    </row>
    <row r="1360" spans="1:11" ht="28.5">
      <c r="A1360" s="984" t="s">
        <v>364</v>
      </c>
      <c r="B1360" s="985"/>
      <c r="C1360" s="77" t="s">
        <v>3</v>
      </c>
      <c r="D1360" s="77" t="s">
        <v>4</v>
      </c>
      <c r="E1360" s="77" t="s">
        <v>1826</v>
      </c>
      <c r="F1360" s="77" t="s">
        <v>367</v>
      </c>
      <c r="G1360" s="77" t="s">
        <v>368</v>
      </c>
      <c r="K1360" s="237"/>
    </row>
    <row r="1361" spans="1:11" s="28" customFormat="1">
      <c r="A1361" s="25" t="s">
        <v>578</v>
      </c>
      <c r="B1361" s="78" t="s">
        <v>579</v>
      </c>
      <c r="C1361" s="25" t="s">
        <v>70</v>
      </c>
      <c r="D1361" s="25" t="s">
        <v>52</v>
      </c>
      <c r="E1361" s="26">
        <v>1</v>
      </c>
      <c r="F1361" s="81">
        <v>12.55</v>
      </c>
      <c r="G1361" s="81">
        <v>12.55</v>
      </c>
      <c r="H1361" s="374">
        <v>10.6675</v>
      </c>
      <c r="J1361" s="374"/>
      <c r="K1361" s="237"/>
    </row>
    <row r="1362" spans="1:11" ht="30">
      <c r="A1362" s="24">
        <v>88264</v>
      </c>
      <c r="B1362" s="78" t="s">
        <v>379</v>
      </c>
      <c r="C1362" s="25" t="s">
        <v>12</v>
      </c>
      <c r="D1362" s="25" t="s">
        <v>19</v>
      </c>
      <c r="E1362" s="26">
        <v>0.4</v>
      </c>
      <c r="F1362" s="26">
        <f t="shared" ref="F1362:F1363" si="496">H1362</f>
        <v>15.249000000000001</v>
      </c>
      <c r="G1362" s="26">
        <f t="shared" ref="G1362:G1363" si="497">ROUND(F1362*E1362,2)</f>
        <v>6.1</v>
      </c>
      <c r="H1362" s="375">
        <v>15.249000000000001</v>
      </c>
      <c r="I1362" s="28" t="e">
        <f>IF(A1362&lt;&gt;0,VLOOKUP(A1362,#REF!,2,FALSE),"")</f>
        <v>#REF!</v>
      </c>
      <c r="K1362" s="237"/>
    </row>
    <row r="1363" spans="1:11" ht="30">
      <c r="A1363" s="24">
        <v>88247</v>
      </c>
      <c r="B1363" s="78" t="s">
        <v>510</v>
      </c>
      <c r="C1363" s="25" t="s">
        <v>12</v>
      </c>
      <c r="D1363" s="25" t="s">
        <v>19</v>
      </c>
      <c r="E1363" s="26">
        <v>0.4</v>
      </c>
      <c r="F1363" s="26">
        <f t="shared" si="496"/>
        <v>11.9085</v>
      </c>
      <c r="G1363" s="26">
        <f t="shared" si="497"/>
        <v>4.76</v>
      </c>
      <c r="H1363" s="375">
        <v>11.9085</v>
      </c>
      <c r="I1363" s="28" t="e">
        <f>IF(A1363&lt;&gt;0,VLOOKUP(A1363,#REF!,2,FALSE),"")</f>
        <v>#REF!</v>
      </c>
      <c r="K1363" s="237"/>
    </row>
    <row r="1364" spans="1:11" ht="15" customHeight="1">
      <c r="A1364" s="1017" t="s">
        <v>1894</v>
      </c>
      <c r="B1364" s="1017"/>
      <c r="C1364" s="1017"/>
      <c r="D1364" s="1017"/>
      <c r="E1364" s="1017"/>
      <c r="F1364" s="1017"/>
      <c r="G1364" s="96">
        <f>ROUND(SUM(G1361:G1363),2)</f>
        <v>23.41</v>
      </c>
      <c r="K1364" s="237"/>
    </row>
    <row r="1365" spans="1:11" ht="27" customHeight="1">
      <c r="A1365" s="80"/>
      <c r="B1365" s="80"/>
      <c r="C1365" s="965"/>
      <c r="D1365" s="966"/>
      <c r="E1365" s="80"/>
      <c r="F1365" s="80"/>
      <c r="G1365" s="80"/>
      <c r="K1365" s="237"/>
    </row>
    <row r="1366" spans="1:11" ht="15" customHeight="1">
      <c r="A1366" s="920" t="s">
        <v>2314</v>
      </c>
      <c r="B1366" s="921"/>
      <c r="C1366" s="921"/>
      <c r="D1366" s="921"/>
      <c r="E1366" s="929"/>
      <c r="F1366" s="75" t="s">
        <v>44</v>
      </c>
      <c r="G1366" s="88"/>
      <c r="K1366" s="237"/>
    </row>
    <row r="1367" spans="1:11" ht="28.5">
      <c r="A1367" s="984" t="s">
        <v>364</v>
      </c>
      <c r="B1367" s="985"/>
      <c r="C1367" s="77" t="s">
        <v>3</v>
      </c>
      <c r="D1367" s="77" t="s">
        <v>4</v>
      </c>
      <c r="E1367" s="77" t="s">
        <v>1826</v>
      </c>
      <c r="F1367" s="77" t="s">
        <v>367</v>
      </c>
      <c r="G1367" s="77" t="s">
        <v>368</v>
      </c>
      <c r="K1367" s="237"/>
    </row>
    <row r="1368" spans="1:11" s="45" customFormat="1" ht="30">
      <c r="A1368" s="24">
        <v>9768</v>
      </c>
      <c r="B1368" s="78" t="s">
        <v>2313</v>
      </c>
      <c r="C1368" s="25" t="s">
        <v>44</v>
      </c>
      <c r="D1368" s="25" t="s">
        <v>17</v>
      </c>
      <c r="E1368" s="26">
        <v>1</v>
      </c>
      <c r="F1368" s="26">
        <f t="shared" ref="F1368:F1370" si="498">H1368</f>
        <v>19.252499999999998</v>
      </c>
      <c r="G1368" s="26">
        <f t="shared" ref="G1368:G1370" si="499">ROUND(F1368*E1368,2)</f>
        <v>19.25</v>
      </c>
      <c r="H1368" s="364">
        <v>19.252499999999998</v>
      </c>
      <c r="I1368" s="45" t="e">
        <f>IF(A1368&lt;&gt;0,VLOOKUP(A1368,#REF!,2,FALSE),"")</f>
        <v>#REF!</v>
      </c>
      <c r="J1368" s="364"/>
      <c r="K1368" s="237"/>
    </row>
    <row r="1369" spans="1:11" ht="30">
      <c r="A1369" s="24">
        <v>88264</v>
      </c>
      <c r="B1369" s="78" t="s">
        <v>379</v>
      </c>
      <c r="C1369" s="25" t="s">
        <v>12</v>
      </c>
      <c r="D1369" s="25" t="s">
        <v>19</v>
      </c>
      <c r="E1369" s="26">
        <v>0.2</v>
      </c>
      <c r="F1369" s="26">
        <f t="shared" si="498"/>
        <v>15.249000000000001</v>
      </c>
      <c r="G1369" s="26">
        <f t="shared" si="499"/>
        <v>3.05</v>
      </c>
      <c r="H1369" s="375">
        <v>15.249000000000001</v>
      </c>
      <c r="K1369" s="237"/>
    </row>
    <row r="1370" spans="1:11" ht="15" customHeight="1">
      <c r="A1370" s="24">
        <v>88316</v>
      </c>
      <c r="B1370" s="78" t="s">
        <v>377</v>
      </c>
      <c r="C1370" s="25" t="s">
        <v>12</v>
      </c>
      <c r="D1370" s="25" t="s">
        <v>19</v>
      </c>
      <c r="E1370" s="26">
        <v>0.2</v>
      </c>
      <c r="F1370" s="26">
        <f t="shared" si="498"/>
        <v>11.798000000000002</v>
      </c>
      <c r="G1370" s="26">
        <f t="shared" si="499"/>
        <v>2.36</v>
      </c>
      <c r="H1370" s="375">
        <v>11.798000000000002</v>
      </c>
      <c r="K1370" s="237"/>
    </row>
    <row r="1371" spans="1:11">
      <c r="A1371" s="986" t="s">
        <v>1894</v>
      </c>
      <c r="B1371" s="986"/>
      <c r="C1371" s="986"/>
      <c r="D1371" s="986"/>
      <c r="E1371" s="986"/>
      <c r="F1371" s="986"/>
      <c r="G1371" s="79">
        <f>ROUND(SUM(G1368:G1370),2)</f>
        <v>24.66</v>
      </c>
      <c r="K1371" s="237"/>
    </row>
    <row r="1372" spans="1:11" ht="25.5" customHeight="1">
      <c r="A1372" s="80"/>
      <c r="B1372" s="80"/>
      <c r="C1372" s="965"/>
      <c r="D1372" s="966"/>
      <c r="E1372" s="80"/>
      <c r="F1372" s="80"/>
      <c r="G1372" s="80"/>
      <c r="K1372" s="237"/>
    </row>
    <row r="1373" spans="1:11" ht="15" customHeight="1">
      <c r="A1373" s="920" t="s">
        <v>2618</v>
      </c>
      <c r="B1373" s="921"/>
      <c r="C1373" s="921"/>
      <c r="D1373" s="921"/>
      <c r="E1373" s="929"/>
      <c r="F1373" s="75" t="s">
        <v>44</v>
      </c>
      <c r="G1373" s="88"/>
      <c r="K1373" s="237"/>
    </row>
    <row r="1374" spans="1:11" ht="28.5">
      <c r="A1374" s="984" t="s">
        <v>364</v>
      </c>
      <c r="B1374" s="985"/>
      <c r="C1374" s="77" t="s">
        <v>3</v>
      </c>
      <c r="D1374" s="77" t="s">
        <v>4</v>
      </c>
      <c r="E1374" s="77" t="s">
        <v>1826</v>
      </c>
      <c r="F1374" s="77" t="s">
        <v>367</v>
      </c>
      <c r="G1374" s="77" t="s">
        <v>368</v>
      </c>
      <c r="K1374" s="237"/>
    </row>
    <row r="1375" spans="1:11" s="45" customFormat="1" ht="30">
      <c r="A1375" s="24">
        <v>6913</v>
      </c>
      <c r="B1375" s="78" t="s">
        <v>2315</v>
      </c>
      <c r="C1375" s="25" t="s">
        <v>44</v>
      </c>
      <c r="D1375" s="25" t="s">
        <v>17</v>
      </c>
      <c r="E1375" s="26">
        <v>1</v>
      </c>
      <c r="F1375" s="26">
        <f t="shared" ref="F1375:F1377" si="500">H1375</f>
        <v>6.7149999999999999</v>
      </c>
      <c r="G1375" s="26">
        <f t="shared" ref="G1375:G1377" si="501">ROUND(F1375*E1375,2)</f>
        <v>6.72</v>
      </c>
      <c r="H1375" s="364">
        <v>6.7149999999999999</v>
      </c>
      <c r="I1375" s="45" t="e">
        <f>IF(A1375&lt;&gt;0,VLOOKUP(A1375,#REF!,2,FALSE),"")</f>
        <v>#REF!</v>
      </c>
      <c r="J1375" s="364"/>
      <c r="K1375" s="237"/>
    </row>
    <row r="1376" spans="1:11" ht="15" customHeight="1">
      <c r="A1376" s="24">
        <v>88264</v>
      </c>
      <c r="B1376" s="78" t="s">
        <v>379</v>
      </c>
      <c r="C1376" s="25" t="s">
        <v>12</v>
      </c>
      <c r="D1376" s="25" t="s">
        <v>19</v>
      </c>
      <c r="E1376" s="26">
        <v>0.2</v>
      </c>
      <c r="F1376" s="26">
        <f t="shared" si="500"/>
        <v>15.249000000000001</v>
      </c>
      <c r="G1376" s="26">
        <f t="shared" si="501"/>
        <v>3.05</v>
      </c>
      <c r="H1376" s="375">
        <v>15.249000000000001</v>
      </c>
      <c r="K1376" s="237"/>
    </row>
    <row r="1377" spans="1:11" ht="30">
      <c r="A1377" s="24">
        <v>88316</v>
      </c>
      <c r="B1377" s="78" t="s">
        <v>377</v>
      </c>
      <c r="C1377" s="25" t="s">
        <v>12</v>
      </c>
      <c r="D1377" s="25" t="s">
        <v>19</v>
      </c>
      <c r="E1377" s="26">
        <v>0.2</v>
      </c>
      <c r="F1377" s="26">
        <f t="shared" si="500"/>
        <v>11.798000000000002</v>
      </c>
      <c r="G1377" s="26">
        <f t="shared" si="501"/>
        <v>2.36</v>
      </c>
      <c r="H1377" s="375">
        <v>11.798000000000002</v>
      </c>
      <c r="K1377" s="237"/>
    </row>
    <row r="1378" spans="1:11">
      <c r="A1378" s="986" t="s">
        <v>1894</v>
      </c>
      <c r="B1378" s="986"/>
      <c r="C1378" s="986"/>
      <c r="D1378" s="986"/>
      <c r="E1378" s="986"/>
      <c r="F1378" s="986"/>
      <c r="G1378" s="79">
        <f>ROUND(SUM(G1375:G1377),2)</f>
        <v>12.13</v>
      </c>
      <c r="K1378" s="237"/>
    </row>
    <row r="1379" spans="1:11" ht="24" customHeight="1">
      <c r="A1379" s="80"/>
      <c r="B1379" s="80"/>
      <c r="C1379" s="965"/>
      <c r="D1379" s="966"/>
      <c r="E1379" s="80"/>
      <c r="F1379" s="80"/>
      <c r="G1379" s="80"/>
      <c r="K1379" s="237"/>
    </row>
    <row r="1380" spans="1:11" ht="15" customHeight="1">
      <c r="A1380" s="920" t="s">
        <v>2316</v>
      </c>
      <c r="B1380" s="921"/>
      <c r="C1380" s="921"/>
      <c r="D1380" s="921"/>
      <c r="E1380" s="929"/>
      <c r="F1380" s="75" t="s">
        <v>44</v>
      </c>
      <c r="G1380" s="88"/>
      <c r="K1380" s="237"/>
    </row>
    <row r="1381" spans="1:11" ht="28.5">
      <c r="A1381" s="984" t="s">
        <v>364</v>
      </c>
      <c r="B1381" s="985"/>
      <c r="C1381" s="77" t="s">
        <v>3</v>
      </c>
      <c r="D1381" s="77" t="s">
        <v>4</v>
      </c>
      <c r="E1381" s="77" t="s">
        <v>1826</v>
      </c>
      <c r="F1381" s="77" t="s">
        <v>367</v>
      </c>
      <c r="G1381" s="77" t="s">
        <v>368</v>
      </c>
      <c r="K1381" s="237"/>
    </row>
    <row r="1382" spans="1:11" s="45" customFormat="1" ht="30">
      <c r="A1382" s="24">
        <v>11130</v>
      </c>
      <c r="B1382" s="78" t="s">
        <v>580</v>
      </c>
      <c r="C1382" s="25" t="s">
        <v>44</v>
      </c>
      <c r="D1382" s="25" t="s">
        <v>17</v>
      </c>
      <c r="E1382" s="26">
        <v>1</v>
      </c>
      <c r="F1382" s="26">
        <f t="shared" ref="F1382" si="502">H1382</f>
        <v>48.79</v>
      </c>
      <c r="G1382" s="26">
        <f t="shared" ref="G1382" si="503">ROUND(F1382*E1382,2)</f>
        <v>48.79</v>
      </c>
      <c r="H1382" s="364">
        <v>48.79</v>
      </c>
      <c r="I1382" s="45" t="e">
        <f>IF(A1382&lt;&gt;0,VLOOKUP(A1382,#REF!,2,FALSE),"")</f>
        <v>#REF!</v>
      </c>
      <c r="J1382" s="364"/>
      <c r="K1382" s="237"/>
    </row>
    <row r="1383" spans="1:11" ht="30">
      <c r="A1383" s="24">
        <v>88264</v>
      </c>
      <c r="B1383" s="78" t="s">
        <v>379</v>
      </c>
      <c r="C1383" s="25" t="s">
        <v>12</v>
      </c>
      <c r="D1383" s="25" t="s">
        <v>19</v>
      </c>
      <c r="E1383" s="26">
        <v>1.1000000000000001</v>
      </c>
      <c r="F1383" s="26">
        <f t="shared" ref="F1383:F1384" si="504">H1383</f>
        <v>15.249000000000001</v>
      </c>
      <c r="G1383" s="26">
        <f t="shared" ref="G1383:G1384" si="505">ROUND(F1383*E1383,2)</f>
        <v>16.77</v>
      </c>
      <c r="H1383" s="375">
        <v>15.249000000000001</v>
      </c>
      <c r="K1383" s="237"/>
    </row>
    <row r="1384" spans="1:11" ht="30">
      <c r="A1384" s="24">
        <v>88316</v>
      </c>
      <c r="B1384" s="78" t="s">
        <v>377</v>
      </c>
      <c r="C1384" s="25" t="s">
        <v>12</v>
      </c>
      <c r="D1384" s="25" t="s">
        <v>19</v>
      </c>
      <c r="E1384" s="26">
        <v>1.1000000000000001</v>
      </c>
      <c r="F1384" s="26">
        <f t="shared" si="504"/>
        <v>11.798000000000002</v>
      </c>
      <c r="G1384" s="26">
        <f t="shared" si="505"/>
        <v>12.98</v>
      </c>
      <c r="H1384" s="375">
        <v>11.798000000000002</v>
      </c>
      <c r="K1384" s="237"/>
    </row>
    <row r="1385" spans="1:11" ht="15" customHeight="1">
      <c r="A1385" s="986" t="s">
        <v>1894</v>
      </c>
      <c r="B1385" s="986"/>
      <c r="C1385" s="986"/>
      <c r="D1385" s="986"/>
      <c r="E1385" s="986"/>
      <c r="F1385" s="986"/>
      <c r="G1385" s="79">
        <f>ROUND(SUM(G1382:G1384),2)</f>
        <v>78.540000000000006</v>
      </c>
      <c r="K1385" s="237"/>
    </row>
    <row r="1386" spans="1:11" ht="22.5" customHeight="1">
      <c r="A1386" s="80"/>
      <c r="B1386" s="80"/>
      <c r="C1386" s="965"/>
      <c r="D1386" s="966"/>
      <c r="E1386" s="80"/>
      <c r="F1386" s="80"/>
      <c r="G1386" s="80"/>
      <c r="K1386" s="237"/>
    </row>
    <row r="1387" spans="1:11" ht="47.25" customHeight="1">
      <c r="A1387" s="920" t="s">
        <v>2317</v>
      </c>
      <c r="B1387" s="921"/>
      <c r="C1387" s="921"/>
      <c r="D1387" s="921"/>
      <c r="E1387" s="921"/>
      <c r="F1387" s="75" t="s">
        <v>1915</v>
      </c>
      <c r="G1387" s="88"/>
      <c r="K1387" s="237"/>
    </row>
    <row r="1388" spans="1:11" ht="28.5">
      <c r="A1388" s="984" t="s">
        <v>364</v>
      </c>
      <c r="B1388" s="985"/>
      <c r="C1388" s="77" t="s">
        <v>3</v>
      </c>
      <c r="D1388" s="77" t="s">
        <v>4</v>
      </c>
      <c r="E1388" s="77" t="s">
        <v>1826</v>
      </c>
      <c r="F1388" s="77" t="s">
        <v>367</v>
      </c>
      <c r="G1388" s="77" t="s">
        <v>368</v>
      </c>
      <c r="K1388" s="237"/>
    </row>
    <row r="1389" spans="1:11" s="45" customFormat="1" ht="60">
      <c r="A1389" s="24">
        <v>7180</v>
      </c>
      <c r="B1389" s="78" t="s">
        <v>2408</v>
      </c>
      <c r="C1389" s="25" t="s">
        <v>44</v>
      </c>
      <c r="D1389" s="25" t="s">
        <v>17</v>
      </c>
      <c r="E1389" s="26">
        <v>1</v>
      </c>
      <c r="F1389" s="26">
        <f t="shared" ref="F1389" si="506">H1389</f>
        <v>462.71449999999999</v>
      </c>
      <c r="G1389" s="26">
        <f t="shared" ref="G1389" si="507">ROUND(F1389*E1389,2)</f>
        <v>462.71</v>
      </c>
      <c r="H1389" s="364">
        <v>462.71449999999999</v>
      </c>
      <c r="I1389" s="45" t="e">
        <f>IF(A1389&lt;&gt;0,VLOOKUP(A1389,#REF!,2,FALSE),"")</f>
        <v>#REF!</v>
      </c>
      <c r="J1389" s="364"/>
      <c r="K1389" s="237"/>
    </row>
    <row r="1390" spans="1:11" s="45" customFormat="1" ht="30">
      <c r="A1390" s="24">
        <v>13285</v>
      </c>
      <c r="B1390" s="78" t="s">
        <v>2409</v>
      </c>
      <c r="C1390" s="25" t="s">
        <v>44</v>
      </c>
      <c r="D1390" s="25" t="s">
        <v>17</v>
      </c>
      <c r="E1390" s="26">
        <v>1</v>
      </c>
      <c r="F1390" s="26">
        <f t="shared" ref="F1390" si="508">H1390</f>
        <v>81.591499999999996</v>
      </c>
      <c r="G1390" s="26">
        <f t="shared" ref="G1390" si="509">ROUND(F1390*E1390,2)</f>
        <v>81.59</v>
      </c>
      <c r="H1390" s="364">
        <v>81.591499999999996</v>
      </c>
      <c r="I1390" s="45" t="e">
        <f>IF(A1390&lt;&gt;0,VLOOKUP(A1390,#REF!,2,FALSE),"")</f>
        <v>#REF!</v>
      </c>
      <c r="J1390" s="364"/>
      <c r="K1390" s="237"/>
    </row>
    <row r="1391" spans="1:11" ht="30">
      <c r="A1391" s="24">
        <v>88264</v>
      </c>
      <c r="B1391" s="78" t="s">
        <v>379</v>
      </c>
      <c r="C1391" s="25" t="s">
        <v>12</v>
      </c>
      <c r="D1391" s="25" t="s">
        <v>19</v>
      </c>
      <c r="E1391" s="26">
        <v>1.5</v>
      </c>
      <c r="F1391" s="26">
        <f t="shared" ref="F1391:F1392" si="510">H1391</f>
        <v>15.249000000000001</v>
      </c>
      <c r="G1391" s="26">
        <f t="shared" ref="G1391:G1392" si="511">ROUND(F1391*E1391,2)</f>
        <v>22.87</v>
      </c>
      <c r="H1391" s="375">
        <v>15.249000000000001</v>
      </c>
      <c r="K1391" s="237"/>
    </row>
    <row r="1392" spans="1:11" ht="30">
      <c r="A1392" s="24">
        <v>88247</v>
      </c>
      <c r="B1392" s="78" t="s">
        <v>510</v>
      </c>
      <c r="C1392" s="25" t="s">
        <v>12</v>
      </c>
      <c r="D1392" s="25" t="s">
        <v>19</v>
      </c>
      <c r="E1392" s="26">
        <v>1.5</v>
      </c>
      <c r="F1392" s="26">
        <f t="shared" si="510"/>
        <v>11.9085</v>
      </c>
      <c r="G1392" s="26">
        <f t="shared" si="511"/>
        <v>17.86</v>
      </c>
      <c r="H1392" s="375">
        <v>11.9085</v>
      </c>
      <c r="K1392" s="237"/>
    </row>
    <row r="1393" spans="1:11" ht="15" customHeight="1">
      <c r="A1393" s="986" t="s">
        <v>1894</v>
      </c>
      <c r="B1393" s="986"/>
      <c r="C1393" s="986"/>
      <c r="D1393" s="986"/>
      <c r="E1393" s="986"/>
      <c r="F1393" s="986"/>
      <c r="G1393" s="79">
        <f>ROUND(SUM(G1389:G1392),2)</f>
        <v>585.03</v>
      </c>
      <c r="K1393" s="237"/>
    </row>
    <row r="1394" spans="1:11" ht="28.5" customHeight="1">
      <c r="A1394" s="80"/>
      <c r="B1394" s="80"/>
      <c r="C1394" s="965"/>
      <c r="D1394" s="966"/>
      <c r="E1394" s="80"/>
      <c r="F1394" s="80"/>
      <c r="G1394" s="80"/>
      <c r="K1394" s="237"/>
    </row>
    <row r="1395" spans="1:11" ht="33.75" customHeight="1">
      <c r="A1395" s="920" t="s">
        <v>2318</v>
      </c>
      <c r="B1395" s="921"/>
      <c r="C1395" s="921"/>
      <c r="D1395" s="921"/>
      <c r="E1395" s="921"/>
      <c r="F1395" s="75" t="s">
        <v>44</v>
      </c>
      <c r="G1395" s="88"/>
      <c r="K1395" s="237"/>
    </row>
    <row r="1396" spans="1:11" ht="28.5">
      <c r="A1396" s="984" t="s">
        <v>364</v>
      </c>
      <c r="B1396" s="985"/>
      <c r="C1396" s="77" t="s">
        <v>3</v>
      </c>
      <c r="D1396" s="77" t="s">
        <v>4</v>
      </c>
      <c r="E1396" s="77" t="s">
        <v>1826</v>
      </c>
      <c r="F1396" s="77" t="s">
        <v>367</v>
      </c>
      <c r="G1396" s="77" t="s">
        <v>368</v>
      </c>
      <c r="K1396" s="237"/>
    </row>
    <row r="1397" spans="1:11" s="45" customFormat="1" ht="30">
      <c r="A1397" s="24">
        <v>3032</v>
      </c>
      <c r="B1397" s="78" t="s">
        <v>581</v>
      </c>
      <c r="C1397" s="25" t="s">
        <v>44</v>
      </c>
      <c r="D1397" s="25" t="s">
        <v>17</v>
      </c>
      <c r="E1397" s="26">
        <v>1</v>
      </c>
      <c r="F1397" s="26">
        <f t="shared" ref="F1397" si="512">H1397</f>
        <v>379.95</v>
      </c>
      <c r="G1397" s="26">
        <f t="shared" ref="G1397" si="513">ROUND(F1397*E1397,2)</f>
        <v>379.95</v>
      </c>
      <c r="H1397" s="364">
        <v>379.95</v>
      </c>
      <c r="I1397" s="45" t="e">
        <f>IF(A1397&lt;&gt;0,VLOOKUP(A1397,#REF!,2,FALSE),"")</f>
        <v>#REF!</v>
      </c>
      <c r="J1397" s="364"/>
      <c r="K1397" s="237"/>
    </row>
    <row r="1398" spans="1:11" ht="30">
      <c r="A1398" s="24">
        <v>88264</v>
      </c>
      <c r="B1398" s="78" t="s">
        <v>379</v>
      </c>
      <c r="C1398" s="25" t="s">
        <v>12</v>
      </c>
      <c r="D1398" s="25" t="s">
        <v>19</v>
      </c>
      <c r="E1398" s="26">
        <v>2</v>
      </c>
      <c r="F1398" s="26">
        <f t="shared" ref="F1398" si="514">H1398</f>
        <v>15.249000000000001</v>
      </c>
      <c r="G1398" s="26">
        <f t="shared" ref="G1398" si="515">ROUND(F1398*E1398,2)</f>
        <v>30.5</v>
      </c>
      <c r="H1398" s="375">
        <v>15.249000000000001</v>
      </c>
      <c r="K1398" s="237"/>
    </row>
    <row r="1399" spans="1:11" ht="15" customHeight="1">
      <c r="A1399" s="986" t="s">
        <v>1894</v>
      </c>
      <c r="B1399" s="986"/>
      <c r="C1399" s="986"/>
      <c r="D1399" s="986"/>
      <c r="E1399" s="986"/>
      <c r="F1399" s="986"/>
      <c r="G1399" s="79">
        <f>ROUND(SUM(G1397:G1398),2)</f>
        <v>410.45</v>
      </c>
      <c r="K1399" s="237"/>
    </row>
    <row r="1400" spans="1:11" ht="24.75" customHeight="1">
      <c r="A1400" s="80"/>
      <c r="B1400" s="80"/>
      <c r="C1400" s="965"/>
      <c r="D1400" s="966"/>
      <c r="E1400" s="80"/>
      <c r="F1400" s="80"/>
      <c r="G1400" s="80"/>
      <c r="K1400" s="237"/>
    </row>
    <row r="1401" spans="1:11" ht="21.75" customHeight="1">
      <c r="A1401" s="920" t="s">
        <v>2319</v>
      </c>
      <c r="B1401" s="921"/>
      <c r="C1401" s="921"/>
      <c r="D1401" s="921"/>
      <c r="E1401" s="929"/>
      <c r="F1401" s="75" t="s">
        <v>1915</v>
      </c>
      <c r="G1401" s="88"/>
      <c r="K1401" s="237"/>
    </row>
    <row r="1402" spans="1:11" ht="28.5">
      <c r="A1402" s="984" t="s">
        <v>364</v>
      </c>
      <c r="B1402" s="985"/>
      <c r="C1402" s="77" t="s">
        <v>3</v>
      </c>
      <c r="D1402" s="77" t="s">
        <v>4</v>
      </c>
      <c r="E1402" s="77" t="s">
        <v>1826</v>
      </c>
      <c r="F1402" s="77" t="s">
        <v>367</v>
      </c>
      <c r="G1402" s="77" t="s">
        <v>368</v>
      </c>
      <c r="K1402" s="237"/>
    </row>
    <row r="1403" spans="1:11" s="45" customFormat="1">
      <c r="A1403" s="24">
        <v>8697</v>
      </c>
      <c r="B1403" s="78" t="s">
        <v>2667</v>
      </c>
      <c r="C1403" s="25" t="s">
        <v>44</v>
      </c>
      <c r="D1403" s="25" t="s">
        <v>17</v>
      </c>
      <c r="E1403" s="26">
        <v>3</v>
      </c>
      <c r="F1403" s="26">
        <f t="shared" ref="F1403" si="516">H1403</f>
        <v>93.5</v>
      </c>
      <c r="G1403" s="26">
        <f t="shared" ref="G1403" si="517">ROUND(F1403*E1403,2)</f>
        <v>280.5</v>
      </c>
      <c r="H1403" s="364">
        <v>93.5</v>
      </c>
      <c r="I1403" s="45" t="e">
        <f>IF(A1403&lt;&gt;0,VLOOKUP(A1403,#REF!,2,FALSE),"")</f>
        <v>#REF!</v>
      </c>
      <c r="J1403" s="364"/>
      <c r="K1403" s="237"/>
    </row>
    <row r="1404" spans="1:11" ht="30">
      <c r="A1404" s="24">
        <v>88264</v>
      </c>
      <c r="B1404" s="78" t="s">
        <v>379</v>
      </c>
      <c r="C1404" s="25" t="s">
        <v>12</v>
      </c>
      <c r="D1404" s="25" t="s">
        <v>19</v>
      </c>
      <c r="E1404" s="26">
        <v>2.371</v>
      </c>
      <c r="F1404" s="26">
        <f t="shared" ref="F1404:F1405" si="518">H1404</f>
        <v>15.249000000000001</v>
      </c>
      <c r="G1404" s="26">
        <f t="shared" ref="G1404:G1405" si="519">ROUND(F1404*E1404,2)</f>
        <v>36.159999999999997</v>
      </c>
      <c r="H1404" s="375">
        <v>15.249000000000001</v>
      </c>
      <c r="K1404" s="237"/>
    </row>
    <row r="1405" spans="1:11" ht="30">
      <c r="A1405" s="24">
        <v>88247</v>
      </c>
      <c r="B1405" s="78" t="s">
        <v>510</v>
      </c>
      <c r="C1405" s="25" t="s">
        <v>12</v>
      </c>
      <c r="D1405" s="25" t="s">
        <v>19</v>
      </c>
      <c r="E1405" s="26">
        <v>2.371</v>
      </c>
      <c r="F1405" s="26">
        <f t="shared" si="518"/>
        <v>11.9085</v>
      </c>
      <c r="G1405" s="26">
        <f t="shared" si="519"/>
        <v>28.24</v>
      </c>
      <c r="H1405" s="375">
        <v>11.9085</v>
      </c>
      <c r="K1405" s="237"/>
    </row>
    <row r="1406" spans="1:11" ht="15" customHeight="1">
      <c r="A1406" s="986" t="s">
        <v>1894</v>
      </c>
      <c r="B1406" s="986"/>
      <c r="C1406" s="986"/>
      <c r="D1406" s="986"/>
      <c r="E1406" s="986"/>
      <c r="F1406" s="986"/>
      <c r="G1406" s="79">
        <f>ROUND(SUM(G1403:G1405),2)</f>
        <v>344.9</v>
      </c>
      <c r="K1406" s="237"/>
    </row>
    <row r="1407" spans="1:11" ht="23.25" customHeight="1">
      <c r="A1407" s="80"/>
      <c r="B1407" s="80"/>
      <c r="C1407" s="965"/>
      <c r="D1407" s="966"/>
      <c r="E1407" s="80"/>
      <c r="F1407" s="80"/>
      <c r="G1407" s="80"/>
      <c r="K1407" s="237"/>
    </row>
    <row r="1408" spans="1:11" ht="20.25" customHeight="1">
      <c r="A1408" s="920" t="s">
        <v>2324</v>
      </c>
      <c r="B1408" s="921"/>
      <c r="C1408" s="921"/>
      <c r="D1408" s="921"/>
      <c r="E1408" s="929"/>
      <c r="F1408" s="75" t="s">
        <v>1915</v>
      </c>
      <c r="G1408" s="88"/>
      <c r="K1408" s="237"/>
    </row>
    <row r="1409" spans="1:11" ht="28.5">
      <c r="A1409" s="984" t="s">
        <v>364</v>
      </c>
      <c r="B1409" s="985"/>
      <c r="C1409" s="77" t="s">
        <v>3</v>
      </c>
      <c r="D1409" s="77" t="s">
        <v>4</v>
      </c>
      <c r="E1409" s="77" t="s">
        <v>1826</v>
      </c>
      <c r="F1409" s="77" t="s">
        <v>367</v>
      </c>
      <c r="G1409" s="77" t="s">
        <v>368</v>
      </c>
      <c r="K1409" s="237"/>
    </row>
    <row r="1410" spans="1:11" s="45" customFormat="1" ht="30">
      <c r="A1410" s="24">
        <v>11933</v>
      </c>
      <c r="B1410" s="78" t="s">
        <v>2321</v>
      </c>
      <c r="C1410" s="25" t="s">
        <v>44</v>
      </c>
      <c r="D1410" s="25" t="s">
        <v>17</v>
      </c>
      <c r="E1410" s="26">
        <v>1</v>
      </c>
      <c r="F1410" s="26">
        <f t="shared" ref="F1410" si="520">H1410</f>
        <v>85.841499999999996</v>
      </c>
      <c r="G1410" s="26">
        <f t="shared" ref="G1410" si="521">ROUND(F1410*E1410,2)</f>
        <v>85.84</v>
      </c>
      <c r="H1410" s="364">
        <v>85.841499999999996</v>
      </c>
      <c r="I1410" s="45" t="e">
        <f>IF(A1410&lt;&gt;0,VLOOKUP(A1410,#REF!,2,FALSE),"")</f>
        <v>#REF!</v>
      </c>
      <c r="J1410" s="364"/>
      <c r="K1410" s="237"/>
    </row>
    <row r="1411" spans="1:11" ht="30">
      <c r="A1411" s="24">
        <v>88264</v>
      </c>
      <c r="B1411" s="78" t="s">
        <v>379</v>
      </c>
      <c r="C1411" s="25" t="s">
        <v>12</v>
      </c>
      <c r="D1411" s="25" t="s">
        <v>19</v>
      </c>
      <c r="E1411" s="26">
        <v>0.75</v>
      </c>
      <c r="F1411" s="26">
        <f t="shared" ref="F1411:F1412" si="522">H1411</f>
        <v>15.249000000000001</v>
      </c>
      <c r="G1411" s="26">
        <f t="shared" ref="G1411:G1412" si="523">ROUND(F1411*E1411,2)</f>
        <v>11.44</v>
      </c>
      <c r="H1411" s="375">
        <v>15.249000000000001</v>
      </c>
      <c r="I1411" s="28" t="e">
        <f>IF(A1411&lt;&gt;0,VLOOKUP(A1411,#REF!,2,FALSE),"")</f>
        <v>#REF!</v>
      </c>
      <c r="K1411" s="237"/>
    </row>
    <row r="1412" spans="1:11" ht="30">
      <c r="A1412" s="24">
        <v>88316</v>
      </c>
      <c r="B1412" s="78" t="s">
        <v>377</v>
      </c>
      <c r="C1412" s="25" t="s">
        <v>12</v>
      </c>
      <c r="D1412" s="25" t="s">
        <v>19</v>
      </c>
      <c r="E1412" s="26">
        <v>0.25</v>
      </c>
      <c r="F1412" s="26">
        <f t="shared" si="522"/>
        <v>11.798000000000002</v>
      </c>
      <c r="G1412" s="26">
        <f t="shared" si="523"/>
        <v>2.95</v>
      </c>
      <c r="H1412" s="375">
        <v>11.798000000000002</v>
      </c>
      <c r="I1412" s="28" t="e">
        <f>IF(A1412&lt;&gt;0,VLOOKUP(A1412,#REF!,2,FALSE),"")</f>
        <v>#REF!</v>
      </c>
      <c r="K1412" s="237"/>
    </row>
    <row r="1413" spans="1:11" ht="15" customHeight="1">
      <c r="A1413" s="986" t="s">
        <v>1894</v>
      </c>
      <c r="B1413" s="986"/>
      <c r="C1413" s="986"/>
      <c r="D1413" s="986"/>
      <c r="E1413" s="986"/>
      <c r="F1413" s="986"/>
      <c r="G1413" s="79">
        <f>ROUND(SUM(G1410:G1412),2)</f>
        <v>100.23</v>
      </c>
      <c r="K1413" s="237"/>
    </row>
    <row r="1414" spans="1:11" ht="25.5" customHeight="1">
      <c r="A1414" s="80"/>
      <c r="B1414" s="80"/>
      <c r="C1414" s="965"/>
      <c r="D1414" s="966"/>
      <c r="E1414" s="80"/>
      <c r="F1414" s="80"/>
      <c r="G1414" s="80"/>
      <c r="K1414" s="237"/>
    </row>
    <row r="1415" spans="1:11" ht="20.25" customHeight="1">
      <c r="A1415" s="920" t="s">
        <v>2325</v>
      </c>
      <c r="B1415" s="921"/>
      <c r="C1415" s="921"/>
      <c r="D1415" s="921"/>
      <c r="E1415" s="929"/>
      <c r="F1415" s="75" t="s">
        <v>1915</v>
      </c>
      <c r="G1415" s="88"/>
      <c r="K1415" s="237"/>
    </row>
    <row r="1416" spans="1:11" ht="28.5">
      <c r="A1416" s="984" t="s">
        <v>364</v>
      </c>
      <c r="B1416" s="985"/>
      <c r="C1416" s="77" t="s">
        <v>3</v>
      </c>
      <c r="D1416" s="77" t="s">
        <v>4</v>
      </c>
      <c r="E1416" s="77" t="s">
        <v>1826</v>
      </c>
      <c r="F1416" s="77" t="s">
        <v>367</v>
      </c>
      <c r="G1416" s="77" t="s">
        <v>368</v>
      </c>
      <c r="K1416" s="237"/>
    </row>
    <row r="1417" spans="1:11" ht="47.25" customHeight="1">
      <c r="A1417" s="24">
        <v>12359</v>
      </c>
      <c r="B1417" s="78" t="e">
        <f>I1417</f>
        <v>#REF!</v>
      </c>
      <c r="C1417" s="25" t="s">
        <v>12</v>
      </c>
      <c r="D1417" s="25" t="s">
        <v>17</v>
      </c>
      <c r="E1417" s="26">
        <v>1</v>
      </c>
      <c r="F1417" s="26">
        <f t="shared" ref="F1417" si="524">H1417</f>
        <v>99.228999999999999</v>
      </c>
      <c r="G1417" s="26">
        <f t="shared" ref="G1417" si="525">ROUND(F1417*E1417,2)</f>
        <v>99.23</v>
      </c>
      <c r="H1417" s="375">
        <v>99.228999999999999</v>
      </c>
      <c r="I1417" s="28" t="e">
        <f>IF(A1417&lt;&gt;0,VLOOKUP(A1417,#REF!,2,FALSE),"")</f>
        <v>#REF!</v>
      </c>
      <c r="K1417" s="237"/>
    </row>
    <row r="1418" spans="1:11" ht="30">
      <c r="A1418" s="24">
        <v>88264</v>
      </c>
      <c r="B1418" s="78" t="s">
        <v>379</v>
      </c>
      <c r="C1418" s="25" t="s">
        <v>12</v>
      </c>
      <c r="D1418" s="25" t="s">
        <v>19</v>
      </c>
      <c r="E1418" s="26">
        <v>0.75</v>
      </c>
      <c r="F1418" s="26">
        <f t="shared" ref="F1418:F1419" si="526">H1418</f>
        <v>15.249000000000001</v>
      </c>
      <c r="G1418" s="26">
        <f t="shared" ref="G1418:G1419" si="527">ROUND(F1418*E1418,2)</f>
        <v>11.44</v>
      </c>
      <c r="H1418" s="375">
        <v>15.249000000000001</v>
      </c>
      <c r="I1418" s="28" t="e">
        <f>IF(A1418&lt;&gt;0,VLOOKUP(A1418,#REF!,2,FALSE),"")</f>
        <v>#REF!</v>
      </c>
      <c r="K1418" s="237"/>
    </row>
    <row r="1419" spans="1:11" ht="30">
      <c r="A1419" s="24">
        <v>88316</v>
      </c>
      <c r="B1419" s="78" t="s">
        <v>377</v>
      </c>
      <c r="C1419" s="25" t="s">
        <v>12</v>
      </c>
      <c r="D1419" s="25" t="s">
        <v>19</v>
      </c>
      <c r="E1419" s="26">
        <v>0.25</v>
      </c>
      <c r="F1419" s="26">
        <f t="shared" si="526"/>
        <v>11.798000000000002</v>
      </c>
      <c r="G1419" s="26">
        <f t="shared" si="527"/>
        <v>2.95</v>
      </c>
      <c r="H1419" s="375">
        <v>11.798000000000002</v>
      </c>
      <c r="I1419" s="28" t="e">
        <f>IF(A1419&lt;&gt;0,VLOOKUP(A1419,#REF!,2,FALSE),"")</f>
        <v>#REF!</v>
      </c>
      <c r="K1419" s="237"/>
    </row>
    <row r="1420" spans="1:11" ht="15" customHeight="1">
      <c r="A1420" s="986" t="s">
        <v>1894</v>
      </c>
      <c r="B1420" s="986"/>
      <c r="C1420" s="986"/>
      <c r="D1420" s="986"/>
      <c r="E1420" s="986"/>
      <c r="F1420" s="986"/>
      <c r="G1420" s="79">
        <f>ROUND(SUM(G1417:G1419),2)</f>
        <v>113.62</v>
      </c>
      <c r="K1420" s="237"/>
    </row>
    <row r="1421" spans="1:11" ht="26.25" customHeight="1">
      <c r="A1421" s="80"/>
      <c r="B1421" s="80"/>
      <c r="C1421" s="965"/>
      <c r="D1421" s="966"/>
      <c r="E1421" s="80"/>
      <c r="F1421" s="80"/>
      <c r="G1421" s="80"/>
      <c r="K1421" s="237"/>
    </row>
    <row r="1422" spans="1:11" ht="32.25" customHeight="1">
      <c r="A1422" s="920" t="s">
        <v>2326</v>
      </c>
      <c r="B1422" s="921"/>
      <c r="C1422" s="921"/>
      <c r="D1422" s="921"/>
      <c r="E1422" s="929"/>
      <c r="F1422" s="75" t="s">
        <v>1915</v>
      </c>
      <c r="G1422" s="88"/>
      <c r="K1422" s="237"/>
    </row>
    <row r="1423" spans="1:11" ht="28.5">
      <c r="A1423" s="984" t="s">
        <v>364</v>
      </c>
      <c r="B1423" s="985"/>
      <c r="C1423" s="77" t="s">
        <v>3</v>
      </c>
      <c r="D1423" s="77" t="s">
        <v>4</v>
      </c>
      <c r="E1423" s="77" t="s">
        <v>1826</v>
      </c>
      <c r="F1423" s="77" t="s">
        <v>367</v>
      </c>
      <c r="G1423" s="77" t="s">
        <v>368</v>
      </c>
      <c r="K1423" s="237"/>
    </row>
    <row r="1424" spans="1:11" ht="45">
      <c r="A1424" s="24">
        <v>1627</v>
      </c>
      <c r="B1424" s="78" t="s">
        <v>582</v>
      </c>
      <c r="C1424" s="25" t="s">
        <v>12</v>
      </c>
      <c r="D1424" s="25" t="s">
        <v>17</v>
      </c>
      <c r="E1424" s="26">
        <v>1</v>
      </c>
      <c r="F1424" s="26">
        <f t="shared" ref="F1424" si="528">H1424</f>
        <v>481.28700000000003</v>
      </c>
      <c r="G1424" s="26">
        <f t="shared" ref="G1424" si="529">ROUND(F1424*E1424,2)</f>
        <v>481.29</v>
      </c>
      <c r="H1424" s="375">
        <v>481.28700000000003</v>
      </c>
      <c r="I1424" s="28" t="e">
        <f>IF(A1424&lt;&gt;0,VLOOKUP(A1424,#REF!,2,FALSE),"")</f>
        <v>#REF!</v>
      </c>
      <c r="K1424" s="237"/>
    </row>
    <row r="1425" spans="1:11" ht="30">
      <c r="A1425" s="24">
        <v>88247</v>
      </c>
      <c r="B1425" s="78" t="s">
        <v>510</v>
      </c>
      <c r="C1425" s="25" t="s">
        <v>12</v>
      </c>
      <c r="D1425" s="25" t="s">
        <v>19</v>
      </c>
      <c r="E1425" s="26">
        <v>3.8</v>
      </c>
      <c r="F1425" s="26">
        <f t="shared" ref="F1425:F1427" si="530">H1425</f>
        <v>11.9085</v>
      </c>
      <c r="G1425" s="26">
        <f t="shared" ref="G1425:G1427" si="531">ROUND(F1425*E1425,2)</f>
        <v>45.25</v>
      </c>
      <c r="H1425" s="375">
        <v>11.9085</v>
      </c>
      <c r="I1425" s="28" t="e">
        <f>IF(A1425&lt;&gt;0,VLOOKUP(A1425,#REF!,2,FALSE),"")</f>
        <v>#REF!</v>
      </c>
      <c r="K1425" s="237"/>
    </row>
    <row r="1426" spans="1:11" ht="30">
      <c r="A1426" s="24">
        <v>88264</v>
      </c>
      <c r="B1426" s="78" t="s">
        <v>379</v>
      </c>
      <c r="C1426" s="25" t="s">
        <v>12</v>
      </c>
      <c r="D1426" s="25" t="s">
        <v>19</v>
      </c>
      <c r="E1426" s="26">
        <v>3.8</v>
      </c>
      <c r="F1426" s="26">
        <f t="shared" si="530"/>
        <v>15.249000000000001</v>
      </c>
      <c r="G1426" s="26">
        <f t="shared" si="531"/>
        <v>57.95</v>
      </c>
      <c r="H1426" s="375">
        <v>15.249000000000001</v>
      </c>
      <c r="I1426" s="28" t="e">
        <f>IF(A1426&lt;&gt;0,VLOOKUP(A1426,#REF!,2,FALSE),"")</f>
        <v>#REF!</v>
      </c>
      <c r="K1426" s="237"/>
    </row>
    <row r="1427" spans="1:11" ht="30">
      <c r="A1427" s="24">
        <v>88266</v>
      </c>
      <c r="B1427" s="78" t="s">
        <v>570</v>
      </c>
      <c r="C1427" s="25" t="s">
        <v>12</v>
      </c>
      <c r="D1427" s="25" t="s">
        <v>19</v>
      </c>
      <c r="E1427" s="26">
        <v>0.5</v>
      </c>
      <c r="F1427" s="26">
        <f t="shared" si="530"/>
        <v>25.6785</v>
      </c>
      <c r="G1427" s="26">
        <f t="shared" si="531"/>
        <v>12.84</v>
      </c>
      <c r="H1427" s="375">
        <v>25.6785</v>
      </c>
      <c r="I1427" s="28" t="e">
        <f>IF(A1427&lt;&gt;0,VLOOKUP(A1427,#REF!,2,FALSE),"")</f>
        <v>#REF!</v>
      </c>
      <c r="K1427" s="237"/>
    </row>
    <row r="1428" spans="1:11" ht="15" customHeight="1">
      <c r="A1428" s="986" t="s">
        <v>1894</v>
      </c>
      <c r="B1428" s="986"/>
      <c r="C1428" s="986"/>
      <c r="D1428" s="986"/>
      <c r="E1428" s="986"/>
      <c r="F1428" s="986"/>
      <c r="G1428" s="79">
        <f>ROUND(SUM(G1424:G1427),2)</f>
        <v>597.33000000000004</v>
      </c>
      <c r="K1428" s="237"/>
    </row>
    <row r="1429" spans="1:11" ht="23.25" customHeight="1">
      <c r="A1429" s="80"/>
      <c r="B1429" s="80"/>
      <c r="C1429" s="965"/>
      <c r="D1429" s="966"/>
      <c r="E1429" s="80"/>
      <c r="F1429" s="80"/>
      <c r="G1429" s="80"/>
      <c r="K1429" s="237"/>
    </row>
    <row r="1430" spans="1:11" ht="15" customHeight="1">
      <c r="A1430" s="920" t="s">
        <v>2328</v>
      </c>
      <c r="B1430" s="921"/>
      <c r="C1430" s="921"/>
      <c r="D1430" s="921"/>
      <c r="E1430" s="929"/>
      <c r="F1430" s="75" t="s">
        <v>1915</v>
      </c>
      <c r="G1430" s="88"/>
      <c r="K1430" s="237"/>
    </row>
    <row r="1431" spans="1:11" ht="28.5">
      <c r="A1431" s="984" t="s">
        <v>364</v>
      </c>
      <c r="B1431" s="985"/>
      <c r="C1431" s="77" t="s">
        <v>3</v>
      </c>
      <c r="D1431" s="77" t="s">
        <v>4</v>
      </c>
      <c r="E1431" s="77" t="s">
        <v>1826</v>
      </c>
      <c r="F1431" s="77" t="s">
        <v>367</v>
      </c>
      <c r="G1431" s="77" t="s">
        <v>368</v>
      </c>
      <c r="K1431" s="237"/>
    </row>
    <row r="1432" spans="1:11" ht="30.75" customHeight="1">
      <c r="A1432" s="24">
        <v>12081</v>
      </c>
      <c r="B1432" s="78" t="s">
        <v>583</v>
      </c>
      <c r="C1432" s="25" t="s">
        <v>12</v>
      </c>
      <c r="D1432" s="25" t="s">
        <v>17</v>
      </c>
      <c r="E1432" s="26">
        <v>1</v>
      </c>
      <c r="F1432" s="26">
        <f t="shared" ref="F1432" si="532">H1432</f>
        <v>165.75</v>
      </c>
      <c r="G1432" s="26">
        <f t="shared" ref="G1432" si="533">ROUND(F1432*E1432,2)</f>
        <v>165.75</v>
      </c>
      <c r="H1432" s="375">
        <v>165.75</v>
      </c>
      <c r="I1432" s="28" t="e">
        <f>IF(A1432&lt;&gt;0,VLOOKUP(A1432,#REF!,2,FALSE),"")</f>
        <v>#REF!</v>
      </c>
      <c r="K1432" s="237"/>
    </row>
    <row r="1433" spans="1:11" ht="30">
      <c r="A1433" s="24">
        <v>88264</v>
      </c>
      <c r="B1433" s="78" t="s">
        <v>379</v>
      </c>
      <c r="C1433" s="25" t="s">
        <v>12</v>
      </c>
      <c r="D1433" s="25" t="s">
        <v>19</v>
      </c>
      <c r="E1433" s="26">
        <v>0.61899999999999999</v>
      </c>
      <c r="F1433" s="26">
        <f t="shared" ref="F1433:F1434" si="534">H1433</f>
        <v>15.249000000000001</v>
      </c>
      <c r="G1433" s="26">
        <f t="shared" ref="G1433:G1434" si="535">ROUND(F1433*E1433,2)</f>
        <v>9.44</v>
      </c>
      <c r="H1433" s="375">
        <v>15.249000000000001</v>
      </c>
      <c r="I1433" s="28" t="e">
        <f>IF(A1433&lt;&gt;0,VLOOKUP(A1433,#REF!,2,FALSE),"")</f>
        <v>#REF!</v>
      </c>
      <c r="K1433" s="237"/>
    </row>
    <row r="1434" spans="1:11" ht="30">
      <c r="A1434" s="24">
        <v>88247</v>
      </c>
      <c r="B1434" s="78" t="s">
        <v>510</v>
      </c>
      <c r="C1434" s="25" t="s">
        <v>12</v>
      </c>
      <c r="D1434" s="25" t="s">
        <v>19</v>
      </c>
      <c r="E1434" s="26">
        <v>0.61899999999999999</v>
      </c>
      <c r="F1434" s="26">
        <f t="shared" si="534"/>
        <v>11.9085</v>
      </c>
      <c r="G1434" s="26">
        <f t="shared" si="535"/>
        <v>7.37</v>
      </c>
      <c r="H1434" s="375">
        <v>11.9085</v>
      </c>
      <c r="I1434" s="28" t="e">
        <f>IF(A1434&lt;&gt;0,VLOOKUP(A1434,#REF!,2,FALSE),"")</f>
        <v>#REF!</v>
      </c>
      <c r="K1434" s="237"/>
    </row>
    <row r="1435" spans="1:11" ht="15" customHeight="1">
      <c r="A1435" s="986" t="s">
        <v>1894</v>
      </c>
      <c r="B1435" s="986"/>
      <c r="C1435" s="986"/>
      <c r="D1435" s="986"/>
      <c r="E1435" s="986"/>
      <c r="F1435" s="986"/>
      <c r="G1435" s="79">
        <f>ROUND(SUM(G1432:G1434),2)</f>
        <v>182.56</v>
      </c>
      <c r="K1435" s="237"/>
    </row>
    <row r="1436" spans="1:11" ht="31.5" customHeight="1">
      <c r="A1436" s="80"/>
      <c r="B1436" s="80"/>
      <c r="C1436" s="965"/>
      <c r="D1436" s="966"/>
      <c r="E1436" s="80"/>
      <c r="F1436" s="80"/>
      <c r="G1436" s="80"/>
      <c r="K1436" s="237"/>
    </row>
    <row r="1437" spans="1:11" ht="15" customHeight="1">
      <c r="A1437" s="920" t="s">
        <v>2320</v>
      </c>
      <c r="B1437" s="921"/>
      <c r="C1437" s="921"/>
      <c r="D1437" s="921"/>
      <c r="E1437" s="929"/>
      <c r="F1437" s="75" t="s">
        <v>44</v>
      </c>
      <c r="G1437" s="88"/>
      <c r="K1437" s="237"/>
    </row>
    <row r="1438" spans="1:11" ht="28.5">
      <c r="A1438" s="984" t="s">
        <v>364</v>
      </c>
      <c r="B1438" s="985"/>
      <c r="C1438" s="77" t="s">
        <v>3</v>
      </c>
      <c r="D1438" s="77" t="s">
        <v>4</v>
      </c>
      <c r="E1438" s="77" t="s">
        <v>1826</v>
      </c>
      <c r="F1438" s="77" t="s">
        <v>367</v>
      </c>
      <c r="G1438" s="77" t="s">
        <v>368</v>
      </c>
      <c r="K1438" s="237"/>
    </row>
    <row r="1439" spans="1:11" s="45" customFormat="1">
      <c r="A1439" s="84">
        <v>3016</v>
      </c>
      <c r="B1439" s="85" t="s">
        <v>281</v>
      </c>
      <c r="C1439" s="86" t="s">
        <v>44</v>
      </c>
      <c r="D1439" s="86" t="s">
        <v>17</v>
      </c>
      <c r="E1439" s="81">
        <v>1</v>
      </c>
      <c r="F1439" s="26">
        <f t="shared" ref="F1439" si="536">H1439</f>
        <v>58.565000000000005</v>
      </c>
      <c r="G1439" s="26">
        <f t="shared" ref="G1439" si="537">ROUND(F1439*E1439,2)</f>
        <v>58.57</v>
      </c>
      <c r="H1439" s="364">
        <v>58.565000000000005</v>
      </c>
      <c r="I1439" s="45" t="e">
        <f>IF(A1439&lt;&gt;0,VLOOKUP(A1439,#REF!,2,FALSE),"")</f>
        <v>#REF!</v>
      </c>
      <c r="J1439" s="364"/>
      <c r="K1439" s="237"/>
    </row>
    <row r="1440" spans="1:11" ht="30">
      <c r="A1440" s="84">
        <v>88264</v>
      </c>
      <c r="B1440" s="85" t="s">
        <v>379</v>
      </c>
      <c r="C1440" s="86" t="s">
        <v>12</v>
      </c>
      <c r="D1440" s="86" t="s">
        <v>19</v>
      </c>
      <c r="E1440" s="81">
        <v>0.75</v>
      </c>
      <c r="F1440" s="26">
        <f t="shared" ref="F1440:F1441" si="538">H1440</f>
        <v>15.249000000000001</v>
      </c>
      <c r="G1440" s="26">
        <f t="shared" ref="G1440:G1441" si="539">ROUND(F1440*E1440,2)</f>
        <v>11.44</v>
      </c>
      <c r="H1440" s="375">
        <v>15.249000000000001</v>
      </c>
      <c r="I1440" s="28" t="e">
        <f>IF(A1440&lt;&gt;0,VLOOKUP(A1440,#REF!,2,FALSE),"")</f>
        <v>#REF!</v>
      </c>
      <c r="K1440" s="237"/>
    </row>
    <row r="1441" spans="1:11" ht="30">
      <c r="A1441" s="84">
        <v>88316</v>
      </c>
      <c r="B1441" s="85" t="s">
        <v>377</v>
      </c>
      <c r="C1441" s="86" t="s">
        <v>12</v>
      </c>
      <c r="D1441" s="86" t="s">
        <v>19</v>
      </c>
      <c r="E1441" s="81">
        <v>0.25</v>
      </c>
      <c r="F1441" s="26">
        <f t="shared" si="538"/>
        <v>11.798000000000002</v>
      </c>
      <c r="G1441" s="26">
        <f t="shared" si="539"/>
        <v>2.95</v>
      </c>
      <c r="H1441" s="375">
        <v>11.798000000000002</v>
      </c>
      <c r="I1441" s="28" t="e">
        <f>IF(A1441&lt;&gt;0,VLOOKUP(A1441,#REF!,2,FALSE),"")</f>
        <v>#REF!</v>
      </c>
      <c r="K1441" s="237"/>
    </row>
    <row r="1442" spans="1:11" ht="15" customHeight="1">
      <c r="A1442" s="986" t="s">
        <v>1894</v>
      </c>
      <c r="B1442" s="986"/>
      <c r="C1442" s="986"/>
      <c r="D1442" s="986"/>
      <c r="E1442" s="986"/>
      <c r="F1442" s="986"/>
      <c r="G1442" s="79">
        <f>ROUND(SUM(G1439:G1441),2)</f>
        <v>72.959999999999994</v>
      </c>
      <c r="K1442" s="237"/>
    </row>
    <row r="1443" spans="1:11" ht="25.5" customHeight="1">
      <c r="A1443" s="80"/>
      <c r="B1443" s="80"/>
      <c r="C1443" s="965"/>
      <c r="D1443" s="966"/>
      <c r="E1443" s="80"/>
      <c r="F1443" s="80"/>
      <c r="G1443" s="80"/>
      <c r="K1443" s="237"/>
    </row>
    <row r="1444" spans="1:11" ht="15" customHeight="1">
      <c r="A1444" s="920" t="s">
        <v>2329</v>
      </c>
      <c r="B1444" s="921"/>
      <c r="C1444" s="921"/>
      <c r="D1444" s="921"/>
      <c r="E1444" s="929"/>
      <c r="F1444" s="75" t="s">
        <v>44</v>
      </c>
      <c r="G1444" s="88"/>
      <c r="K1444" s="237"/>
    </row>
    <row r="1445" spans="1:11" ht="28.5">
      <c r="A1445" s="984" t="s">
        <v>364</v>
      </c>
      <c r="B1445" s="985"/>
      <c r="C1445" s="77" t="s">
        <v>3</v>
      </c>
      <c r="D1445" s="77" t="s">
        <v>4</v>
      </c>
      <c r="E1445" s="77" t="s">
        <v>1826</v>
      </c>
      <c r="F1445" s="77" t="s">
        <v>367</v>
      </c>
      <c r="G1445" s="77" t="s">
        <v>368</v>
      </c>
      <c r="K1445" s="237"/>
    </row>
    <row r="1446" spans="1:11" s="45" customFormat="1">
      <c r="A1446" s="24">
        <v>3000</v>
      </c>
      <c r="B1446" s="78" t="s">
        <v>282</v>
      </c>
      <c r="C1446" s="25" t="s">
        <v>44</v>
      </c>
      <c r="D1446" s="25" t="s">
        <v>17</v>
      </c>
      <c r="E1446" s="26">
        <v>1</v>
      </c>
      <c r="F1446" s="26">
        <f t="shared" ref="F1446" si="540">H1446</f>
        <v>37.467999999999996</v>
      </c>
      <c r="G1446" s="26">
        <f t="shared" ref="G1446" si="541">ROUND(F1446*E1446,2)</f>
        <v>37.47</v>
      </c>
      <c r="H1446" s="364">
        <v>37.467999999999996</v>
      </c>
      <c r="I1446" s="45" t="e">
        <f>IF(A1446&lt;&gt;0,VLOOKUP(A1446,#REF!,2,FALSE),"")</f>
        <v>#REF!</v>
      </c>
      <c r="J1446" s="364"/>
      <c r="K1446" s="237"/>
    </row>
    <row r="1447" spans="1:11" ht="30">
      <c r="A1447" s="24">
        <v>88264</v>
      </c>
      <c r="B1447" s="78" t="s">
        <v>379</v>
      </c>
      <c r="C1447" s="25" t="s">
        <v>12</v>
      </c>
      <c r="D1447" s="25" t="s">
        <v>19</v>
      </c>
      <c r="E1447" s="26">
        <v>0.75</v>
      </c>
      <c r="F1447" s="26">
        <f t="shared" ref="F1447:F1448" si="542">H1447</f>
        <v>15.249000000000001</v>
      </c>
      <c r="G1447" s="26">
        <f t="shared" ref="G1447:G1448" si="543">ROUND(F1447*E1447,2)</f>
        <v>11.44</v>
      </c>
      <c r="H1447" s="375">
        <v>15.249000000000001</v>
      </c>
      <c r="I1447" s="28" t="e">
        <f>IF(A1447&lt;&gt;0,VLOOKUP(A1447,#REF!,2,FALSE),"")</f>
        <v>#REF!</v>
      </c>
      <c r="K1447" s="237"/>
    </row>
    <row r="1448" spans="1:11" ht="30">
      <c r="A1448" s="24">
        <v>88316</v>
      </c>
      <c r="B1448" s="78" t="s">
        <v>377</v>
      </c>
      <c r="C1448" s="25" t="s">
        <v>12</v>
      </c>
      <c r="D1448" s="25" t="s">
        <v>19</v>
      </c>
      <c r="E1448" s="26">
        <v>0.25</v>
      </c>
      <c r="F1448" s="26">
        <f t="shared" si="542"/>
        <v>11.798000000000002</v>
      </c>
      <c r="G1448" s="26">
        <f t="shared" si="543"/>
        <v>2.95</v>
      </c>
      <c r="H1448" s="375">
        <v>11.798000000000002</v>
      </c>
      <c r="I1448" s="28" t="e">
        <f>IF(A1448&lt;&gt;0,VLOOKUP(A1448,#REF!,2,FALSE),"")</f>
        <v>#REF!</v>
      </c>
      <c r="K1448" s="237"/>
    </row>
    <row r="1449" spans="1:11" ht="15" customHeight="1">
      <c r="A1449" s="986" t="s">
        <v>1894</v>
      </c>
      <c r="B1449" s="986"/>
      <c r="C1449" s="986"/>
      <c r="D1449" s="986"/>
      <c r="E1449" s="986"/>
      <c r="F1449" s="986"/>
      <c r="G1449" s="79">
        <f>ROUND(SUM(G1446:G1448),2)</f>
        <v>51.86</v>
      </c>
      <c r="K1449" s="237"/>
    </row>
    <row r="1450" spans="1:11" ht="26.25" customHeight="1">
      <c r="A1450" s="80"/>
      <c r="B1450" s="80"/>
      <c r="C1450" s="965"/>
      <c r="D1450" s="966"/>
      <c r="E1450" s="80"/>
      <c r="F1450" s="80"/>
      <c r="G1450" s="80"/>
      <c r="K1450" s="237"/>
    </row>
    <row r="1451" spans="1:11" ht="15" customHeight="1">
      <c r="A1451" s="920" t="s">
        <v>2330</v>
      </c>
      <c r="B1451" s="921"/>
      <c r="C1451" s="921"/>
      <c r="D1451" s="921"/>
      <c r="E1451" s="929"/>
      <c r="F1451" s="75" t="s">
        <v>1915</v>
      </c>
      <c r="G1451" s="88"/>
      <c r="K1451" s="237"/>
    </row>
    <row r="1452" spans="1:11" ht="28.5">
      <c r="A1452" s="984" t="s">
        <v>364</v>
      </c>
      <c r="B1452" s="985"/>
      <c r="C1452" s="77" t="s">
        <v>3</v>
      </c>
      <c r="D1452" s="77" t="s">
        <v>4</v>
      </c>
      <c r="E1452" s="77" t="s">
        <v>1826</v>
      </c>
      <c r="F1452" s="77" t="s">
        <v>367</v>
      </c>
      <c r="G1452" s="77" t="s">
        <v>368</v>
      </c>
      <c r="K1452" s="237"/>
    </row>
    <row r="1453" spans="1:11" s="45" customFormat="1">
      <c r="A1453" s="24">
        <v>4855</v>
      </c>
      <c r="B1453" s="78" t="s">
        <v>584</v>
      </c>
      <c r="C1453" s="25" t="s">
        <v>44</v>
      </c>
      <c r="D1453" s="25" t="s">
        <v>17</v>
      </c>
      <c r="E1453" s="26">
        <v>1</v>
      </c>
      <c r="F1453" s="26">
        <f t="shared" ref="F1453" si="544">H1453</f>
        <v>26.52</v>
      </c>
      <c r="G1453" s="26">
        <f t="shared" ref="G1453" si="545">ROUND(F1453*E1453,2)</f>
        <v>26.52</v>
      </c>
      <c r="H1453" s="364">
        <v>26.52</v>
      </c>
      <c r="I1453" s="45" t="e">
        <f>IF(A1453&lt;&gt;0,VLOOKUP(A1453,#REF!,2,FALSE),"")</f>
        <v>#REF!</v>
      </c>
      <c r="J1453" s="364"/>
      <c r="K1453" s="237"/>
    </row>
    <row r="1454" spans="1:11" ht="30">
      <c r="A1454" s="24">
        <v>88264</v>
      </c>
      <c r="B1454" s="78" t="s">
        <v>379</v>
      </c>
      <c r="C1454" s="25" t="s">
        <v>12</v>
      </c>
      <c r="D1454" s="25" t="s">
        <v>19</v>
      </c>
      <c r="E1454" s="26">
        <v>0.75</v>
      </c>
      <c r="F1454" s="26">
        <f t="shared" ref="F1454:F1455" si="546">H1454</f>
        <v>15.249000000000001</v>
      </c>
      <c r="G1454" s="26">
        <f t="shared" ref="G1454:G1455" si="547">ROUND(F1454*E1454,2)</f>
        <v>11.44</v>
      </c>
      <c r="H1454" s="375">
        <v>15.249000000000001</v>
      </c>
      <c r="I1454" s="28" t="e">
        <f>IF(A1454&lt;&gt;0,VLOOKUP(A1454,#REF!,2,FALSE),"")</f>
        <v>#REF!</v>
      </c>
      <c r="K1454" s="237"/>
    </row>
    <row r="1455" spans="1:11" ht="30">
      <c r="A1455" s="24">
        <v>88316</v>
      </c>
      <c r="B1455" s="78" t="s">
        <v>377</v>
      </c>
      <c r="C1455" s="25" t="s">
        <v>12</v>
      </c>
      <c r="D1455" s="25" t="s">
        <v>19</v>
      </c>
      <c r="E1455" s="26">
        <v>0.25</v>
      </c>
      <c r="F1455" s="26">
        <f t="shared" si="546"/>
        <v>11.798000000000002</v>
      </c>
      <c r="G1455" s="26">
        <f t="shared" si="547"/>
        <v>2.95</v>
      </c>
      <c r="H1455" s="375">
        <v>11.798000000000002</v>
      </c>
      <c r="I1455" s="28" t="e">
        <f>IF(A1455&lt;&gt;0,VLOOKUP(A1455,#REF!,2,FALSE),"")</f>
        <v>#REF!</v>
      </c>
      <c r="K1455" s="237"/>
    </row>
    <row r="1456" spans="1:11" ht="15" customHeight="1">
      <c r="A1456" s="986" t="s">
        <v>1894</v>
      </c>
      <c r="B1456" s="986"/>
      <c r="C1456" s="986"/>
      <c r="D1456" s="986"/>
      <c r="E1456" s="986"/>
      <c r="F1456" s="986"/>
      <c r="G1456" s="79">
        <f>ROUND(SUM(G1453:G1455),2)</f>
        <v>40.909999999999997</v>
      </c>
      <c r="K1456" s="237"/>
    </row>
    <row r="1457" spans="1:11" ht="30.75" customHeight="1">
      <c r="A1457" s="80"/>
      <c r="B1457" s="80"/>
      <c r="C1457" s="965"/>
      <c r="D1457" s="966"/>
      <c r="E1457" s="80"/>
      <c r="F1457" s="80"/>
      <c r="G1457" s="80"/>
      <c r="K1457" s="237"/>
    </row>
    <row r="1458" spans="1:11" ht="37.5" customHeight="1">
      <c r="A1458" s="920" t="s">
        <v>2333</v>
      </c>
      <c r="B1458" s="921"/>
      <c r="C1458" s="921"/>
      <c r="D1458" s="921"/>
      <c r="E1458" s="921"/>
      <c r="F1458" s="75" t="s">
        <v>1915</v>
      </c>
      <c r="G1458" s="88"/>
      <c r="K1458" s="237"/>
    </row>
    <row r="1459" spans="1:11" ht="28.5">
      <c r="A1459" s="984" t="s">
        <v>364</v>
      </c>
      <c r="B1459" s="985"/>
      <c r="C1459" s="77" t="s">
        <v>3</v>
      </c>
      <c r="D1459" s="77" t="s">
        <v>4</v>
      </c>
      <c r="E1459" s="77" t="s">
        <v>1826</v>
      </c>
      <c r="F1459" s="77" t="s">
        <v>367</v>
      </c>
      <c r="G1459" s="77" t="s">
        <v>368</v>
      </c>
      <c r="K1459" s="237"/>
    </row>
    <row r="1460" spans="1:11" ht="45">
      <c r="A1460" s="24">
        <v>1625</v>
      </c>
      <c r="B1460" s="78" t="s">
        <v>585</v>
      </c>
      <c r="C1460" s="25" t="s">
        <v>12</v>
      </c>
      <c r="D1460" s="25" t="s">
        <v>17</v>
      </c>
      <c r="E1460" s="26">
        <v>1</v>
      </c>
      <c r="F1460" s="26">
        <f t="shared" ref="F1460:F1463" si="548">H1460</f>
        <v>119.527</v>
      </c>
      <c r="G1460" s="26">
        <f t="shared" ref="G1460:G1463" si="549">ROUND(F1460*E1460,2)</f>
        <v>119.53</v>
      </c>
      <c r="H1460" s="375">
        <v>119.527</v>
      </c>
      <c r="I1460" s="28" t="e">
        <f>IF(A1460&lt;&gt;0,VLOOKUP(A1460,#REF!,2,FALSE),"")</f>
        <v>#REF!</v>
      </c>
      <c r="K1460" s="237"/>
    </row>
    <row r="1461" spans="1:11" ht="30">
      <c r="A1461" s="24">
        <v>88247</v>
      </c>
      <c r="B1461" s="78" t="s">
        <v>510</v>
      </c>
      <c r="C1461" s="25" t="s">
        <v>12</v>
      </c>
      <c r="D1461" s="25" t="s">
        <v>19</v>
      </c>
      <c r="E1461" s="26">
        <v>3.5</v>
      </c>
      <c r="F1461" s="26">
        <f t="shared" si="548"/>
        <v>11.9085</v>
      </c>
      <c r="G1461" s="26">
        <f t="shared" si="549"/>
        <v>41.68</v>
      </c>
      <c r="H1461" s="375">
        <v>11.9085</v>
      </c>
      <c r="I1461" s="28" t="e">
        <f>IF(A1461&lt;&gt;0,VLOOKUP(A1461,#REF!,2,FALSE),"")</f>
        <v>#REF!</v>
      </c>
      <c r="K1461" s="237"/>
    </row>
    <row r="1462" spans="1:11" ht="30">
      <c r="A1462" s="24">
        <v>88264</v>
      </c>
      <c r="B1462" s="78" t="s">
        <v>379</v>
      </c>
      <c r="C1462" s="25" t="s">
        <v>12</v>
      </c>
      <c r="D1462" s="25" t="s">
        <v>19</v>
      </c>
      <c r="E1462" s="26">
        <v>3.5</v>
      </c>
      <c r="F1462" s="26">
        <f t="shared" si="548"/>
        <v>15.249000000000001</v>
      </c>
      <c r="G1462" s="26">
        <f t="shared" si="549"/>
        <v>53.37</v>
      </c>
      <c r="H1462" s="375">
        <v>15.249000000000001</v>
      </c>
      <c r="I1462" s="28" t="e">
        <f>IF(A1462&lt;&gt;0,VLOOKUP(A1462,#REF!,2,FALSE),"")</f>
        <v>#REF!</v>
      </c>
      <c r="K1462" s="237"/>
    </row>
    <row r="1463" spans="1:11" ht="30">
      <c r="A1463" s="24">
        <v>88266</v>
      </c>
      <c r="B1463" s="78" t="s">
        <v>570</v>
      </c>
      <c r="C1463" s="25" t="s">
        <v>12</v>
      </c>
      <c r="D1463" s="25" t="s">
        <v>19</v>
      </c>
      <c r="E1463" s="26">
        <v>0.5</v>
      </c>
      <c r="F1463" s="26">
        <f t="shared" si="548"/>
        <v>25.6785</v>
      </c>
      <c r="G1463" s="26">
        <f t="shared" si="549"/>
        <v>12.84</v>
      </c>
      <c r="H1463" s="375">
        <v>25.6785</v>
      </c>
      <c r="I1463" s="28" t="e">
        <f>IF(A1463&lt;&gt;0,VLOOKUP(A1463,#REF!,2,FALSE),"")</f>
        <v>#REF!</v>
      </c>
      <c r="K1463" s="237"/>
    </row>
    <row r="1464" spans="1:11" ht="15" customHeight="1">
      <c r="A1464" s="986" t="s">
        <v>1894</v>
      </c>
      <c r="B1464" s="986"/>
      <c r="C1464" s="986"/>
      <c r="D1464" s="986"/>
      <c r="E1464" s="986"/>
      <c r="F1464" s="986"/>
      <c r="G1464" s="79">
        <f>ROUND(SUM(G1460:G1463),2)</f>
        <v>227.42</v>
      </c>
      <c r="K1464" s="237"/>
    </row>
    <row r="1465" spans="1:11" ht="26.25" customHeight="1">
      <c r="A1465" s="80"/>
      <c r="B1465" s="80"/>
      <c r="C1465" s="965"/>
      <c r="D1465" s="966"/>
      <c r="E1465" s="80"/>
      <c r="F1465" s="80"/>
      <c r="G1465" s="80"/>
      <c r="K1465" s="237"/>
    </row>
    <row r="1466" spans="1:11" ht="41.25" customHeight="1">
      <c r="A1466" s="920" t="s">
        <v>2334</v>
      </c>
      <c r="B1466" s="921"/>
      <c r="C1466" s="921"/>
      <c r="D1466" s="921"/>
      <c r="E1466" s="921"/>
      <c r="F1466" s="75" t="s">
        <v>1915</v>
      </c>
      <c r="G1466" s="88"/>
      <c r="K1466" s="237"/>
    </row>
    <row r="1467" spans="1:11" ht="28.5">
      <c r="A1467" s="984" t="s">
        <v>364</v>
      </c>
      <c r="B1467" s="985"/>
      <c r="C1467" s="77" t="s">
        <v>3</v>
      </c>
      <c r="D1467" s="77" t="s">
        <v>4</v>
      </c>
      <c r="E1467" s="77" t="s">
        <v>1826</v>
      </c>
      <c r="F1467" s="77" t="s">
        <v>367</v>
      </c>
      <c r="G1467" s="77" t="s">
        <v>368</v>
      </c>
      <c r="K1467" s="237"/>
    </row>
    <row r="1468" spans="1:11" ht="45">
      <c r="A1468" s="24">
        <v>1623</v>
      </c>
      <c r="B1468" s="78" t="s">
        <v>586</v>
      </c>
      <c r="C1468" s="25" t="s">
        <v>12</v>
      </c>
      <c r="D1468" s="25" t="s">
        <v>17</v>
      </c>
      <c r="E1468" s="26">
        <v>1</v>
      </c>
      <c r="F1468" s="26">
        <f t="shared" ref="F1468:F1471" si="550">H1468</f>
        <v>97.478000000000009</v>
      </c>
      <c r="G1468" s="26">
        <f t="shared" ref="G1468:G1471" si="551">ROUND(F1468*E1468,2)</f>
        <v>97.48</v>
      </c>
      <c r="H1468" s="375">
        <v>97.478000000000009</v>
      </c>
      <c r="I1468" s="28" t="e">
        <f>IF(A1468&lt;&gt;0,VLOOKUP(A1468,#REF!,2,FALSE),"")</f>
        <v>#REF!</v>
      </c>
      <c r="K1468" s="237"/>
    </row>
    <row r="1469" spans="1:11" ht="30">
      <c r="A1469" s="24">
        <v>88247</v>
      </c>
      <c r="B1469" s="78" t="s">
        <v>510</v>
      </c>
      <c r="C1469" s="25" t="s">
        <v>12</v>
      </c>
      <c r="D1469" s="25" t="s">
        <v>19</v>
      </c>
      <c r="E1469" s="26">
        <v>3</v>
      </c>
      <c r="F1469" s="26">
        <f t="shared" si="550"/>
        <v>11.9085</v>
      </c>
      <c r="G1469" s="26">
        <f t="shared" si="551"/>
        <v>35.729999999999997</v>
      </c>
      <c r="H1469" s="375">
        <v>11.9085</v>
      </c>
      <c r="I1469" s="28" t="e">
        <f>IF(A1469&lt;&gt;0,VLOOKUP(A1469,#REF!,2,FALSE),"")</f>
        <v>#REF!</v>
      </c>
      <c r="K1469" s="237"/>
    </row>
    <row r="1470" spans="1:11" ht="30">
      <c r="A1470" s="24">
        <v>88264</v>
      </c>
      <c r="B1470" s="78" t="s">
        <v>379</v>
      </c>
      <c r="C1470" s="25" t="s">
        <v>12</v>
      </c>
      <c r="D1470" s="25" t="s">
        <v>19</v>
      </c>
      <c r="E1470" s="26">
        <v>3</v>
      </c>
      <c r="F1470" s="26">
        <f t="shared" si="550"/>
        <v>15.249000000000001</v>
      </c>
      <c r="G1470" s="26">
        <f t="shared" si="551"/>
        <v>45.75</v>
      </c>
      <c r="H1470" s="375">
        <v>15.249000000000001</v>
      </c>
      <c r="I1470" s="28" t="e">
        <f>IF(A1470&lt;&gt;0,VLOOKUP(A1470,#REF!,2,FALSE),"")</f>
        <v>#REF!</v>
      </c>
      <c r="K1470" s="237"/>
    </row>
    <row r="1471" spans="1:11" ht="30">
      <c r="A1471" s="24">
        <v>88266</v>
      </c>
      <c r="B1471" s="78" t="s">
        <v>570</v>
      </c>
      <c r="C1471" s="25" t="s">
        <v>12</v>
      </c>
      <c r="D1471" s="25" t="s">
        <v>19</v>
      </c>
      <c r="E1471" s="26">
        <v>0.5</v>
      </c>
      <c r="F1471" s="26">
        <f t="shared" si="550"/>
        <v>25.6785</v>
      </c>
      <c r="G1471" s="26">
        <f t="shared" si="551"/>
        <v>12.84</v>
      </c>
      <c r="H1471" s="375">
        <v>25.6785</v>
      </c>
      <c r="I1471" s="28" t="e">
        <f>IF(A1471&lt;&gt;0,VLOOKUP(A1471,#REF!,2,FALSE),"")</f>
        <v>#REF!</v>
      </c>
      <c r="K1471" s="237"/>
    </row>
    <row r="1472" spans="1:11" ht="15" customHeight="1">
      <c r="A1472" s="986" t="s">
        <v>1894</v>
      </c>
      <c r="B1472" s="986"/>
      <c r="C1472" s="986"/>
      <c r="D1472" s="986"/>
      <c r="E1472" s="986"/>
      <c r="F1472" s="986"/>
      <c r="G1472" s="79">
        <f>ROUND(SUM(G1468:G1471),2)</f>
        <v>191.8</v>
      </c>
      <c r="K1472" s="237"/>
    </row>
    <row r="1473" spans="1:11" ht="27.75" customHeight="1">
      <c r="A1473" s="80"/>
      <c r="B1473" s="80"/>
      <c r="C1473" s="965"/>
      <c r="D1473" s="966"/>
      <c r="E1473" s="80"/>
      <c r="F1473" s="80"/>
      <c r="G1473" s="80"/>
      <c r="K1473" s="237"/>
    </row>
    <row r="1474" spans="1:11" ht="43.5" customHeight="1">
      <c r="A1474" s="1017" t="s">
        <v>2349</v>
      </c>
      <c r="B1474" s="1017"/>
      <c r="C1474" s="1017"/>
      <c r="D1474" s="1017"/>
      <c r="E1474" s="1017"/>
      <c r="F1474" s="75" t="s">
        <v>44</v>
      </c>
      <c r="G1474" s="97"/>
      <c r="K1474" s="237"/>
    </row>
    <row r="1475" spans="1:11" ht="28.5">
      <c r="A1475" s="1134" t="s">
        <v>364</v>
      </c>
      <c r="B1475" s="1135"/>
      <c r="C1475" s="93" t="s">
        <v>3</v>
      </c>
      <c r="D1475" s="93" t="s">
        <v>4</v>
      </c>
      <c r="E1475" s="93" t="s">
        <v>1826</v>
      </c>
      <c r="F1475" s="93" t="s">
        <v>367</v>
      </c>
      <c r="G1475" s="93" t="s">
        <v>368</v>
      </c>
      <c r="K1475" s="237"/>
    </row>
    <row r="1476" spans="1:11" s="45" customFormat="1" ht="30">
      <c r="A1476" s="24">
        <v>7863</v>
      </c>
      <c r="B1476" s="78" t="s">
        <v>590</v>
      </c>
      <c r="C1476" s="25" t="s">
        <v>44</v>
      </c>
      <c r="D1476" s="25" t="s">
        <v>17</v>
      </c>
      <c r="E1476" s="26">
        <v>1</v>
      </c>
      <c r="F1476" s="26">
        <f t="shared" ref="F1476" si="552">H1476</f>
        <v>28.3475</v>
      </c>
      <c r="G1476" s="26">
        <f t="shared" ref="G1476" si="553">ROUND(F1476*E1476,2)</f>
        <v>28.35</v>
      </c>
      <c r="H1476" s="364">
        <v>28.3475</v>
      </c>
      <c r="I1476" s="45" t="e">
        <f>IF(A1476&lt;&gt;0,VLOOKUP(A1476,#REF!,2,FALSE),"")</f>
        <v>#REF!</v>
      </c>
      <c r="J1476" s="364"/>
      <c r="K1476" s="237"/>
    </row>
    <row r="1477" spans="1:11" ht="30">
      <c r="A1477" s="24">
        <v>88264</v>
      </c>
      <c r="B1477" s="78" t="s">
        <v>379</v>
      </c>
      <c r="C1477" s="25" t="s">
        <v>12</v>
      </c>
      <c r="D1477" s="25" t="s">
        <v>19</v>
      </c>
      <c r="E1477" s="26">
        <v>0.7</v>
      </c>
      <c r="F1477" s="26">
        <f t="shared" ref="F1477:F1478" si="554">H1477</f>
        <v>15.249000000000001</v>
      </c>
      <c r="G1477" s="26">
        <f t="shared" ref="G1477:G1478" si="555">ROUND(F1477*E1477,2)</f>
        <v>10.67</v>
      </c>
      <c r="H1477" s="375">
        <v>15.249000000000001</v>
      </c>
      <c r="I1477" s="28" t="e">
        <f>IF(A1477&lt;&gt;0,VLOOKUP(A1477,#REF!,2,FALSE),"")</f>
        <v>#REF!</v>
      </c>
      <c r="K1477" s="237"/>
    </row>
    <row r="1478" spans="1:11" ht="30">
      <c r="A1478" s="24">
        <v>88316</v>
      </c>
      <c r="B1478" s="78" t="s">
        <v>377</v>
      </c>
      <c r="C1478" s="25" t="s">
        <v>12</v>
      </c>
      <c r="D1478" s="25" t="s">
        <v>19</v>
      </c>
      <c r="E1478" s="26">
        <v>1.1000000000000001</v>
      </c>
      <c r="F1478" s="26">
        <f t="shared" si="554"/>
        <v>11.798000000000002</v>
      </c>
      <c r="G1478" s="26">
        <f t="shared" si="555"/>
        <v>12.98</v>
      </c>
      <c r="H1478" s="375">
        <v>11.798000000000002</v>
      </c>
      <c r="I1478" s="28" t="e">
        <f>IF(A1478&lt;&gt;0,VLOOKUP(A1478,#REF!,2,FALSE),"")</f>
        <v>#REF!</v>
      </c>
      <c r="K1478" s="237"/>
    </row>
    <row r="1479" spans="1:11" ht="15" customHeight="1">
      <c r="A1479" s="986" t="s">
        <v>1894</v>
      </c>
      <c r="B1479" s="986"/>
      <c r="C1479" s="986"/>
      <c r="D1479" s="986"/>
      <c r="E1479" s="986"/>
      <c r="F1479" s="986"/>
      <c r="G1479" s="79">
        <f>ROUND(SUM(G1476:G1478),2)</f>
        <v>52</v>
      </c>
      <c r="K1479" s="237"/>
    </row>
    <row r="1480" spans="1:11" ht="30" customHeight="1">
      <c r="A1480" s="80"/>
      <c r="B1480" s="80"/>
      <c r="C1480" s="965"/>
      <c r="D1480" s="966"/>
      <c r="E1480" s="80"/>
      <c r="F1480" s="80"/>
      <c r="G1480" s="80"/>
      <c r="K1480" s="237"/>
    </row>
    <row r="1481" spans="1:11" ht="32.25" customHeight="1">
      <c r="A1481" s="920" t="s">
        <v>3045</v>
      </c>
      <c r="B1481" s="921"/>
      <c r="C1481" s="921"/>
      <c r="D1481" s="921"/>
      <c r="E1481" s="929"/>
      <c r="F1481" s="75" t="s">
        <v>44</v>
      </c>
      <c r="G1481" s="88"/>
      <c r="K1481" s="237"/>
    </row>
    <row r="1482" spans="1:11" ht="28.5">
      <c r="A1482" s="920" t="s">
        <v>364</v>
      </c>
      <c r="B1482" s="959"/>
      <c r="C1482" s="77" t="s">
        <v>3</v>
      </c>
      <c r="D1482" s="77" t="s">
        <v>4</v>
      </c>
      <c r="E1482" s="77" t="s">
        <v>1826</v>
      </c>
      <c r="F1482" s="77" t="s">
        <v>367</v>
      </c>
      <c r="G1482" s="77" t="s">
        <v>368</v>
      </c>
      <c r="K1482" s="237"/>
    </row>
    <row r="1483" spans="1:11" s="45" customFormat="1" ht="30">
      <c r="A1483" s="24">
        <v>7864</v>
      </c>
      <c r="B1483" s="78" t="s">
        <v>591</v>
      </c>
      <c r="C1483" s="25" t="s">
        <v>44</v>
      </c>
      <c r="D1483" s="25" t="s">
        <v>17</v>
      </c>
      <c r="E1483" s="26">
        <v>1</v>
      </c>
      <c r="F1483" s="26">
        <f t="shared" ref="F1483" si="556">H1483</f>
        <v>3.7909999999999999</v>
      </c>
      <c r="G1483" s="26">
        <f t="shared" ref="G1483" si="557">ROUND(F1483*E1483,2)</f>
        <v>3.79</v>
      </c>
      <c r="H1483" s="364">
        <v>3.7909999999999999</v>
      </c>
      <c r="I1483" s="45" t="e">
        <f>IF(A1483&lt;&gt;0,VLOOKUP(A1483,#REF!,2,FALSE),"")</f>
        <v>#REF!</v>
      </c>
      <c r="J1483" s="364"/>
      <c r="K1483" s="237"/>
    </row>
    <row r="1484" spans="1:11" ht="30">
      <c r="A1484" s="24">
        <v>88264</v>
      </c>
      <c r="B1484" s="78" t="s">
        <v>379</v>
      </c>
      <c r="C1484" s="25" t="s">
        <v>12</v>
      </c>
      <c r="D1484" s="25" t="s">
        <v>19</v>
      </c>
      <c r="E1484" s="26">
        <v>0.1</v>
      </c>
      <c r="F1484" s="26">
        <f t="shared" ref="F1484:F1485" si="558">H1484</f>
        <v>15.249000000000001</v>
      </c>
      <c r="G1484" s="26">
        <f t="shared" ref="G1484:G1485" si="559">ROUND(F1484*E1484,2)</f>
        <v>1.52</v>
      </c>
      <c r="H1484" s="375">
        <v>15.249000000000001</v>
      </c>
      <c r="I1484" s="28" t="e">
        <f>IF(A1484&lt;&gt;0,VLOOKUP(A1484,#REF!,2,FALSE),"")</f>
        <v>#REF!</v>
      </c>
      <c r="K1484" s="237"/>
    </row>
    <row r="1485" spans="1:11" ht="30">
      <c r="A1485" s="24">
        <v>88316</v>
      </c>
      <c r="B1485" s="78" t="s">
        <v>377</v>
      </c>
      <c r="C1485" s="25" t="s">
        <v>12</v>
      </c>
      <c r="D1485" s="25" t="s">
        <v>19</v>
      </c>
      <c r="E1485" s="26">
        <v>0.2</v>
      </c>
      <c r="F1485" s="26">
        <f t="shared" si="558"/>
        <v>11.798000000000002</v>
      </c>
      <c r="G1485" s="26">
        <f t="shared" si="559"/>
        <v>2.36</v>
      </c>
      <c r="H1485" s="375">
        <v>11.798000000000002</v>
      </c>
      <c r="I1485" s="28" t="e">
        <f>IF(A1485&lt;&gt;0,VLOOKUP(A1485,#REF!,2,FALSE),"")</f>
        <v>#REF!</v>
      </c>
      <c r="K1485" s="237"/>
    </row>
    <row r="1486" spans="1:11" ht="15" customHeight="1">
      <c r="A1486" s="986" t="s">
        <v>1894</v>
      </c>
      <c r="B1486" s="986"/>
      <c r="C1486" s="986"/>
      <c r="D1486" s="986"/>
      <c r="E1486" s="986"/>
      <c r="F1486" s="986"/>
      <c r="G1486" s="79">
        <f>ROUND(SUM(G1483:G1485),2)</f>
        <v>7.67</v>
      </c>
      <c r="K1486" s="237"/>
    </row>
    <row r="1487" spans="1:11" ht="29.25" customHeight="1">
      <c r="A1487" s="80"/>
      <c r="B1487" s="80"/>
      <c r="C1487" s="965"/>
      <c r="D1487" s="966"/>
      <c r="E1487" s="80"/>
      <c r="F1487" s="80"/>
      <c r="G1487" s="80"/>
      <c r="K1487" s="237"/>
    </row>
    <row r="1488" spans="1:11" ht="35.25" customHeight="1">
      <c r="A1488" s="920" t="s">
        <v>3349</v>
      </c>
      <c r="B1488" s="921"/>
      <c r="C1488" s="921"/>
      <c r="D1488" s="921"/>
      <c r="E1488" s="929"/>
      <c r="F1488" s="75" t="s">
        <v>1915</v>
      </c>
      <c r="G1488" s="88"/>
      <c r="K1488" s="237"/>
    </row>
    <row r="1489" spans="1:11" ht="28.5">
      <c r="A1489" s="920" t="s">
        <v>1917</v>
      </c>
      <c r="B1489" s="959"/>
      <c r="C1489" s="77" t="s">
        <v>3</v>
      </c>
      <c r="D1489" s="77" t="s">
        <v>4</v>
      </c>
      <c r="E1489" s="77" t="s">
        <v>1826</v>
      </c>
      <c r="F1489" s="77" t="s">
        <v>367</v>
      </c>
      <c r="G1489" s="77" t="s">
        <v>368</v>
      </c>
      <c r="K1489" s="237"/>
    </row>
    <row r="1490" spans="1:11" ht="48" customHeight="1">
      <c r="A1490" s="24" t="s">
        <v>1920</v>
      </c>
      <c r="B1490" s="78" t="s">
        <v>3027</v>
      </c>
      <c r="C1490" s="25" t="s">
        <v>2015</v>
      </c>
      <c r="D1490" s="25" t="s">
        <v>17</v>
      </c>
      <c r="E1490" s="26">
        <v>1</v>
      </c>
      <c r="F1490" s="26">
        <f t="shared" ref="F1490" si="560">H1490</f>
        <v>220820.98150000002</v>
      </c>
      <c r="G1490" s="26">
        <f t="shared" ref="G1490" si="561">ROUND(F1490*E1490,2)</f>
        <v>220820.98</v>
      </c>
      <c r="H1490" s="375">
        <v>220820.98150000002</v>
      </c>
      <c r="K1490" s="237"/>
    </row>
    <row r="1491" spans="1:11" ht="15" customHeight="1">
      <c r="A1491" s="986" t="s">
        <v>1894</v>
      </c>
      <c r="B1491" s="986"/>
      <c r="C1491" s="986"/>
      <c r="D1491" s="986"/>
      <c r="E1491" s="986"/>
      <c r="F1491" s="986"/>
      <c r="G1491" s="79">
        <f>ROUND(SUM(G1490:G1490),2)</f>
        <v>220820.98</v>
      </c>
      <c r="K1491" s="237"/>
    </row>
    <row r="1492" spans="1:11" ht="27" customHeight="1">
      <c r="A1492" s="80"/>
      <c r="B1492" s="80"/>
      <c r="C1492" s="965"/>
      <c r="D1492" s="966"/>
      <c r="E1492" s="80"/>
      <c r="F1492" s="80"/>
      <c r="G1492" s="80"/>
      <c r="K1492" s="237"/>
    </row>
    <row r="1493" spans="1:11" ht="32.25" customHeight="1">
      <c r="A1493" s="920" t="s">
        <v>3347</v>
      </c>
      <c r="B1493" s="921"/>
      <c r="C1493" s="921"/>
      <c r="D1493" s="921"/>
      <c r="E1493" s="929"/>
      <c r="F1493" s="75" t="s">
        <v>44</v>
      </c>
      <c r="G1493" s="95">
        <v>9512</v>
      </c>
      <c r="K1493" s="237"/>
    </row>
    <row r="1494" spans="1:11" ht="28.5">
      <c r="A1494" s="920" t="s">
        <v>366</v>
      </c>
      <c r="B1494" s="959"/>
      <c r="C1494" s="77" t="s">
        <v>3</v>
      </c>
      <c r="D1494" s="77" t="s">
        <v>4</v>
      </c>
      <c r="E1494" s="77" t="s">
        <v>1826</v>
      </c>
      <c r="F1494" s="77" t="s">
        <v>367</v>
      </c>
      <c r="G1494" s="77" t="s">
        <v>368</v>
      </c>
      <c r="I1494" s="21"/>
      <c r="K1494" s="237"/>
    </row>
    <row r="1495" spans="1:11" ht="47.25" customHeight="1">
      <c r="A1495" s="24">
        <v>9742</v>
      </c>
      <c r="B1495" s="78" t="s">
        <v>3351</v>
      </c>
      <c r="C1495" s="25" t="s">
        <v>44</v>
      </c>
      <c r="D1495" s="25" t="s">
        <v>17</v>
      </c>
      <c r="E1495" s="26">
        <v>1</v>
      </c>
      <c r="F1495" s="26">
        <v>25139.83</v>
      </c>
      <c r="G1495" s="26">
        <v>25139.83</v>
      </c>
      <c r="H1495" s="375">
        <v>21368.855500000001</v>
      </c>
      <c r="I1495" s="287"/>
      <c r="K1495" s="237"/>
    </row>
    <row r="1496" spans="1:11" ht="30">
      <c r="A1496" s="24">
        <v>88264</v>
      </c>
      <c r="B1496" s="78" t="s">
        <v>379</v>
      </c>
      <c r="C1496" s="25" t="s">
        <v>12</v>
      </c>
      <c r="D1496" s="25" t="s">
        <v>19</v>
      </c>
      <c r="E1496" s="26">
        <v>2</v>
      </c>
      <c r="F1496" s="26">
        <f t="shared" ref="F1496:F1499" si="562">H1496</f>
        <v>15.249000000000001</v>
      </c>
      <c r="G1496" s="26">
        <f t="shared" ref="G1496:G1499" si="563">ROUND(F1496*E1496,2)</f>
        <v>30.5</v>
      </c>
      <c r="H1496" s="375">
        <v>15.249000000000001</v>
      </c>
      <c r="I1496" s="28" t="e">
        <f>IF(A1496&lt;&gt;0,VLOOKUP(A1496,#REF!,2,FALSE),"")</f>
        <v>#REF!</v>
      </c>
      <c r="K1496" s="237"/>
    </row>
    <row r="1497" spans="1:11" ht="30">
      <c r="A1497" s="24">
        <v>88309</v>
      </c>
      <c r="B1497" s="78" t="s">
        <v>390</v>
      </c>
      <c r="C1497" s="25" t="s">
        <v>12</v>
      </c>
      <c r="D1497" s="25" t="s">
        <v>19</v>
      </c>
      <c r="E1497" s="26">
        <v>1</v>
      </c>
      <c r="F1497" s="26">
        <f t="shared" si="562"/>
        <v>15.121499999999999</v>
      </c>
      <c r="G1497" s="26">
        <f t="shared" si="563"/>
        <v>15.12</v>
      </c>
      <c r="H1497" s="375">
        <v>15.121499999999999</v>
      </c>
      <c r="I1497" s="28" t="e">
        <f>IF(A1497&lt;&gt;0,VLOOKUP(A1497,#REF!,2,FALSE),"")</f>
        <v>#REF!</v>
      </c>
      <c r="K1497" s="237"/>
    </row>
    <row r="1498" spans="1:11" ht="30">
      <c r="A1498" s="24">
        <v>88316</v>
      </c>
      <c r="B1498" s="78" t="s">
        <v>377</v>
      </c>
      <c r="C1498" s="25" t="s">
        <v>12</v>
      </c>
      <c r="D1498" s="25" t="s">
        <v>19</v>
      </c>
      <c r="E1498" s="26">
        <v>3</v>
      </c>
      <c r="F1498" s="26">
        <f t="shared" si="562"/>
        <v>11.798000000000002</v>
      </c>
      <c r="G1498" s="26">
        <f t="shared" si="563"/>
        <v>35.39</v>
      </c>
      <c r="H1498" s="375">
        <v>11.798000000000002</v>
      </c>
      <c r="I1498" s="28" t="e">
        <f>IF(A1498&lt;&gt;0,VLOOKUP(A1498,#REF!,2,FALSE),"")</f>
        <v>#REF!</v>
      </c>
      <c r="K1498" s="237"/>
    </row>
    <row r="1499" spans="1:11">
      <c r="A1499" s="24">
        <v>88628</v>
      </c>
      <c r="B1499" s="78" t="e">
        <f>I1499</f>
        <v>#REF!</v>
      </c>
      <c r="C1499" s="25" t="s">
        <v>12</v>
      </c>
      <c r="D1499" s="25" t="s">
        <v>35</v>
      </c>
      <c r="E1499" s="26">
        <v>2.7E-2</v>
      </c>
      <c r="F1499" s="26">
        <f t="shared" si="562"/>
        <v>389.36799999999999</v>
      </c>
      <c r="G1499" s="26">
        <f t="shared" si="563"/>
        <v>10.51</v>
      </c>
      <c r="H1499" s="375">
        <v>389.36799999999999</v>
      </c>
      <c r="I1499" s="28" t="e">
        <f>IF(A1499&lt;&gt;0,VLOOKUP(A1499,#REF!,2,FALSE),"")</f>
        <v>#REF!</v>
      </c>
      <c r="K1499" s="237"/>
    </row>
    <row r="1500" spans="1:11" ht="15" customHeight="1">
      <c r="A1500" s="986" t="s">
        <v>1894</v>
      </c>
      <c r="B1500" s="986"/>
      <c r="C1500" s="986"/>
      <c r="D1500" s="986"/>
      <c r="E1500" s="986"/>
      <c r="F1500" s="986"/>
      <c r="G1500" s="79">
        <f>ROUND(SUM(G1495:G1499),2)</f>
        <v>25231.35</v>
      </c>
      <c r="K1500" s="237"/>
    </row>
    <row r="1501" spans="1:11" ht="26.25" customHeight="1">
      <c r="A1501" s="80"/>
      <c r="B1501" s="80"/>
      <c r="C1501" s="965"/>
      <c r="D1501" s="966"/>
      <c r="E1501" s="80"/>
      <c r="F1501" s="80"/>
      <c r="G1501" s="80"/>
      <c r="K1501" s="237"/>
    </row>
    <row r="1502" spans="1:11" ht="34.5" customHeight="1">
      <c r="A1502" s="920" t="s">
        <v>3324</v>
      </c>
      <c r="B1502" s="921"/>
      <c r="C1502" s="921"/>
      <c r="D1502" s="921"/>
      <c r="E1502" s="929"/>
      <c r="F1502" s="75" t="s">
        <v>3049</v>
      </c>
      <c r="G1502" s="344" t="s">
        <v>3325</v>
      </c>
      <c r="K1502" s="237"/>
    </row>
    <row r="1503" spans="1:11" ht="28.5">
      <c r="A1503" s="984" t="s">
        <v>366</v>
      </c>
      <c r="B1503" s="985"/>
      <c r="C1503" s="77" t="s">
        <v>3</v>
      </c>
      <c r="D1503" s="77" t="s">
        <v>4</v>
      </c>
      <c r="E1503" s="77" t="s">
        <v>1826</v>
      </c>
      <c r="F1503" s="77" t="s">
        <v>367</v>
      </c>
      <c r="G1503" s="77" t="s">
        <v>368</v>
      </c>
      <c r="K1503" s="237"/>
    </row>
    <row r="1504" spans="1:11" ht="45">
      <c r="A1504" s="24" t="s">
        <v>3326</v>
      </c>
      <c r="B1504" s="78" t="s">
        <v>3324</v>
      </c>
      <c r="C1504" s="25" t="s">
        <v>3049</v>
      </c>
      <c r="D1504" s="25" t="s">
        <v>17</v>
      </c>
      <c r="E1504" s="26">
        <v>1</v>
      </c>
      <c r="F1504" s="26">
        <v>285320.34000000003</v>
      </c>
      <c r="G1504" s="26">
        <f>F1504</f>
        <v>285320.34000000003</v>
      </c>
      <c r="H1504" s="375">
        <v>242522.28900000002</v>
      </c>
      <c r="K1504" s="237"/>
    </row>
    <row r="1505" spans="1:12" ht="15" customHeight="1">
      <c r="A1505" s="986" t="s">
        <v>1894</v>
      </c>
      <c r="B1505" s="986"/>
      <c r="C1505" s="986"/>
      <c r="D1505" s="986"/>
      <c r="E1505" s="986"/>
      <c r="F1505" s="986"/>
      <c r="G1505" s="79">
        <f>ROUND(SUM(G1504:G1504),2)</f>
        <v>285320.34000000003</v>
      </c>
      <c r="K1505" s="237"/>
    </row>
    <row r="1506" spans="1:12" ht="27.75" customHeight="1">
      <c r="A1506" s="80"/>
      <c r="B1506" s="80"/>
      <c r="C1506" s="965"/>
      <c r="D1506" s="966"/>
      <c r="E1506" s="80"/>
      <c r="F1506" s="80"/>
      <c r="G1506" s="80"/>
      <c r="K1506" s="237"/>
    </row>
    <row r="1507" spans="1:12" ht="26.25" customHeight="1">
      <c r="A1507" s="920" t="s">
        <v>2352</v>
      </c>
      <c r="B1507" s="921"/>
      <c r="C1507" s="921"/>
      <c r="D1507" s="921"/>
      <c r="E1507" s="922"/>
      <c r="F1507" s="77" t="s">
        <v>44</v>
      </c>
      <c r="G1507" s="88"/>
      <c r="H1507" s="462"/>
      <c r="I1507" s="463"/>
      <c r="J1507" s="463"/>
      <c r="K1507" s="237"/>
      <c r="L1507" s="464"/>
    </row>
    <row r="1508" spans="1:12" ht="28.5">
      <c r="A1508" s="984" t="s">
        <v>366</v>
      </c>
      <c r="B1508" s="985"/>
      <c r="C1508" s="77" t="s">
        <v>3</v>
      </c>
      <c r="D1508" s="77" t="s">
        <v>4</v>
      </c>
      <c r="E1508" s="77" t="s">
        <v>1826</v>
      </c>
      <c r="F1508" s="77" t="s">
        <v>367</v>
      </c>
      <c r="G1508" s="77" t="s">
        <v>368</v>
      </c>
      <c r="K1508" s="237"/>
    </row>
    <row r="1509" spans="1:12" s="45" customFormat="1" ht="30">
      <c r="A1509" s="24">
        <v>9876</v>
      </c>
      <c r="B1509" s="78" t="s">
        <v>2354</v>
      </c>
      <c r="C1509" s="25" t="s">
        <v>44</v>
      </c>
      <c r="D1509" s="25" t="s">
        <v>52</v>
      </c>
      <c r="E1509" s="26">
        <v>3</v>
      </c>
      <c r="F1509" s="26">
        <f t="shared" ref="F1509" si="564">H1509</f>
        <v>81.310999999999993</v>
      </c>
      <c r="G1509" s="26">
        <f t="shared" ref="G1509" si="565">ROUND(F1509*E1509,2)</f>
        <v>243.93</v>
      </c>
      <c r="H1509" s="364">
        <v>81.310999999999993</v>
      </c>
      <c r="I1509" s="45" t="e">
        <f>IF(A1509&lt;&gt;0,VLOOKUP(A1509,#REF!,2,FALSE),"")</f>
        <v>#REF!</v>
      </c>
      <c r="J1509" s="364"/>
      <c r="K1509" s="237"/>
    </row>
    <row r="1510" spans="1:12">
      <c r="A1510" s="24">
        <v>88316</v>
      </c>
      <c r="B1510" s="78" t="e">
        <f>I1510</f>
        <v>#REF!</v>
      </c>
      <c r="C1510" s="25" t="s">
        <v>12</v>
      </c>
      <c r="D1510" s="25" t="s">
        <v>19</v>
      </c>
      <c r="E1510" s="26">
        <v>0.2</v>
      </c>
      <c r="F1510" s="26">
        <f t="shared" ref="F1510:F1511" si="566">H1510</f>
        <v>11.798000000000002</v>
      </c>
      <c r="G1510" s="26">
        <f t="shared" ref="G1510:G1511" si="567">ROUND(F1510*E1510,2)</f>
        <v>2.36</v>
      </c>
      <c r="H1510" s="375">
        <v>11.798000000000002</v>
      </c>
      <c r="I1510" s="28" t="e">
        <f>IF(A1510&lt;&gt;0,VLOOKUP(A1510,#REF!,2,FALSE),"")</f>
        <v>#REF!</v>
      </c>
      <c r="K1510" s="237"/>
    </row>
    <row r="1511" spans="1:12" ht="30">
      <c r="A1511" s="24">
        <v>88264</v>
      </c>
      <c r="B1511" s="78" t="s">
        <v>379</v>
      </c>
      <c r="C1511" s="25" t="s">
        <v>12</v>
      </c>
      <c r="D1511" s="25" t="s">
        <v>19</v>
      </c>
      <c r="E1511" s="26">
        <v>0.2</v>
      </c>
      <c r="F1511" s="26">
        <f t="shared" si="566"/>
        <v>15.249000000000001</v>
      </c>
      <c r="G1511" s="26">
        <f t="shared" si="567"/>
        <v>3.05</v>
      </c>
      <c r="H1511" s="375">
        <v>15.249000000000001</v>
      </c>
      <c r="I1511" s="28" t="e">
        <f>IF(A1511&lt;&gt;0,VLOOKUP(A1511,#REF!,2,FALSE),"")</f>
        <v>#REF!</v>
      </c>
      <c r="K1511" s="237"/>
    </row>
    <row r="1512" spans="1:12" ht="15" customHeight="1">
      <c r="A1512" s="986" t="s">
        <v>1894</v>
      </c>
      <c r="B1512" s="986"/>
      <c r="C1512" s="986"/>
      <c r="D1512" s="986"/>
      <c r="E1512" s="986"/>
      <c r="F1512" s="986"/>
      <c r="G1512" s="79">
        <f>ROUND(SUM(G1509:G1511),2)</f>
        <v>249.34</v>
      </c>
      <c r="K1512" s="237"/>
    </row>
    <row r="1513" spans="1:12" ht="25.5" customHeight="1">
      <c r="A1513" s="80"/>
      <c r="B1513" s="80"/>
      <c r="C1513" s="965"/>
      <c r="D1513" s="966"/>
      <c r="E1513" s="80"/>
      <c r="F1513" s="80"/>
      <c r="G1513" s="80"/>
      <c r="K1513" s="237"/>
    </row>
    <row r="1514" spans="1:12" ht="15" customHeight="1">
      <c r="A1514" s="920" t="s">
        <v>2411</v>
      </c>
      <c r="B1514" s="921"/>
      <c r="C1514" s="921"/>
      <c r="D1514" s="921"/>
      <c r="E1514" s="922"/>
      <c r="F1514" s="77" t="s">
        <v>70</v>
      </c>
      <c r="G1514" s="88"/>
      <c r="K1514" s="237"/>
    </row>
    <row r="1515" spans="1:12" ht="28.5">
      <c r="A1515" s="984" t="s">
        <v>364</v>
      </c>
      <c r="B1515" s="985"/>
      <c r="C1515" s="77" t="s">
        <v>3</v>
      </c>
      <c r="D1515" s="77" t="s">
        <v>4</v>
      </c>
      <c r="E1515" s="77" t="s">
        <v>1826</v>
      </c>
      <c r="F1515" s="77" t="s">
        <v>367</v>
      </c>
      <c r="G1515" s="77" t="s">
        <v>368</v>
      </c>
      <c r="K1515" s="237"/>
    </row>
    <row r="1516" spans="1:12" s="28" customFormat="1">
      <c r="A1516" s="25" t="s">
        <v>595</v>
      </c>
      <c r="B1516" s="78" t="s">
        <v>596</v>
      </c>
      <c r="C1516" s="25" t="s">
        <v>70</v>
      </c>
      <c r="D1516" s="25" t="s">
        <v>52</v>
      </c>
      <c r="E1516" s="26">
        <v>1</v>
      </c>
      <c r="F1516" s="26">
        <f t="shared" ref="F1516" si="568">H1516</f>
        <v>7.242</v>
      </c>
      <c r="G1516" s="26">
        <f t="shared" ref="G1516" si="569">ROUND(F1516*E1516,2)</f>
        <v>7.24</v>
      </c>
      <c r="H1516" s="374">
        <v>7.242</v>
      </c>
      <c r="J1516" s="374"/>
      <c r="K1516" s="237"/>
    </row>
    <row r="1517" spans="1:12" ht="30">
      <c r="A1517" s="24">
        <v>88247</v>
      </c>
      <c r="B1517" s="78" t="s">
        <v>510</v>
      </c>
      <c r="C1517" s="25" t="s">
        <v>12</v>
      </c>
      <c r="D1517" s="25" t="s">
        <v>19</v>
      </c>
      <c r="E1517" s="26">
        <v>0.5</v>
      </c>
      <c r="F1517" s="26">
        <f t="shared" ref="F1517:F1518" si="570">H1517</f>
        <v>11.9085</v>
      </c>
      <c r="G1517" s="26">
        <f t="shared" ref="G1517:G1518" si="571">ROUND(F1517*E1517,2)</f>
        <v>5.95</v>
      </c>
      <c r="H1517" s="375">
        <v>11.9085</v>
      </c>
      <c r="I1517" s="28" t="e">
        <f>IF(A1517&lt;&gt;0,VLOOKUP(A1517,#REF!,2,FALSE),"")</f>
        <v>#REF!</v>
      </c>
      <c r="K1517" s="237"/>
    </row>
    <row r="1518" spans="1:12" ht="30">
      <c r="A1518" s="24">
        <v>88264</v>
      </c>
      <c r="B1518" s="78" t="s">
        <v>379</v>
      </c>
      <c r="C1518" s="25" t="s">
        <v>12</v>
      </c>
      <c r="D1518" s="25" t="s">
        <v>19</v>
      </c>
      <c r="E1518" s="26">
        <v>0.5</v>
      </c>
      <c r="F1518" s="26">
        <f t="shared" si="570"/>
        <v>15.249000000000001</v>
      </c>
      <c r="G1518" s="26">
        <f t="shared" si="571"/>
        <v>7.62</v>
      </c>
      <c r="H1518" s="375">
        <v>15.249000000000001</v>
      </c>
      <c r="I1518" s="28" t="e">
        <f>IF(A1518&lt;&gt;0,VLOOKUP(A1518,#REF!,2,FALSE),"")</f>
        <v>#REF!</v>
      </c>
      <c r="K1518" s="237"/>
    </row>
    <row r="1519" spans="1:12" ht="15" customHeight="1">
      <c r="A1519" s="986" t="s">
        <v>1894</v>
      </c>
      <c r="B1519" s="986"/>
      <c r="C1519" s="986"/>
      <c r="D1519" s="986"/>
      <c r="E1519" s="986"/>
      <c r="F1519" s="986"/>
      <c r="G1519" s="79">
        <f>ROUND(SUM(G1516:G1518),2)</f>
        <v>20.81</v>
      </c>
      <c r="K1519" s="237"/>
    </row>
    <row r="1520" spans="1:12" ht="26.25" customHeight="1">
      <c r="A1520" s="80"/>
      <c r="B1520" s="80"/>
      <c r="C1520" s="965"/>
      <c r="D1520" s="966"/>
      <c r="E1520" s="80"/>
      <c r="F1520" s="80"/>
      <c r="G1520" s="80"/>
      <c r="K1520" s="237"/>
    </row>
    <row r="1521" spans="1:11" ht="38.25" customHeight="1">
      <c r="A1521" s="920" t="s">
        <v>2356</v>
      </c>
      <c r="B1521" s="921"/>
      <c r="C1521" s="921"/>
      <c r="D1521" s="921"/>
      <c r="E1521" s="921"/>
      <c r="F1521" s="77" t="s">
        <v>44</v>
      </c>
      <c r="G1521" s="88"/>
      <c r="K1521" s="237"/>
    </row>
    <row r="1522" spans="1:11" ht="28.5">
      <c r="A1522" s="984" t="s">
        <v>1917</v>
      </c>
      <c r="B1522" s="985"/>
      <c r="C1522" s="77" t="s">
        <v>3</v>
      </c>
      <c r="D1522" s="77" t="s">
        <v>4</v>
      </c>
      <c r="E1522" s="77" t="s">
        <v>1826</v>
      </c>
      <c r="F1522" s="77" t="s">
        <v>367</v>
      </c>
      <c r="G1522" s="77" t="s">
        <v>368</v>
      </c>
      <c r="K1522" s="237"/>
    </row>
    <row r="1523" spans="1:11" s="45" customFormat="1" ht="47.25" customHeight="1">
      <c r="A1523" s="24">
        <v>1384</v>
      </c>
      <c r="B1523" s="78" t="s">
        <v>2355</v>
      </c>
      <c r="C1523" s="25" t="s">
        <v>44</v>
      </c>
      <c r="D1523" s="25" t="s">
        <v>17</v>
      </c>
      <c r="E1523" s="26">
        <v>1</v>
      </c>
      <c r="F1523" s="26">
        <f t="shared" ref="F1523" si="572">H1523</f>
        <v>324.02</v>
      </c>
      <c r="G1523" s="26">
        <f t="shared" ref="G1523" si="573">ROUND(F1523*E1523,2)</f>
        <v>324.02</v>
      </c>
      <c r="H1523" s="364">
        <v>324.02</v>
      </c>
      <c r="I1523" s="45" t="e">
        <f>IF(A1523&lt;&gt;0,VLOOKUP(A1523,#REF!,2,FALSE),"")</f>
        <v>#REF!</v>
      </c>
      <c r="J1523" s="364"/>
      <c r="K1523" s="237"/>
    </row>
    <row r="1524" spans="1:11">
      <c r="A1524" s="24">
        <v>38780</v>
      </c>
      <c r="B1524" s="78" t="e">
        <f>I1524</f>
        <v>#REF!</v>
      </c>
      <c r="C1524" s="25" t="s">
        <v>12</v>
      </c>
      <c r="D1524" s="25" t="s">
        <v>17</v>
      </c>
      <c r="E1524" s="26">
        <v>2</v>
      </c>
      <c r="F1524" s="26">
        <f t="shared" ref="F1524" si="574">H1524</f>
        <v>11.339</v>
      </c>
      <c r="G1524" s="26">
        <f t="shared" ref="G1524" si="575">ROUND(F1524*E1524,2)</f>
        <v>22.68</v>
      </c>
      <c r="H1524" s="375">
        <v>11.339</v>
      </c>
      <c r="I1524" s="28" t="e">
        <f>IF(A1524&lt;&gt;0,VLOOKUP(A1524,#REF!,2,FALSE),"")</f>
        <v>#REF!</v>
      </c>
      <c r="K1524" s="237"/>
    </row>
    <row r="1525" spans="1:11" ht="30">
      <c r="A1525" s="24">
        <v>88264</v>
      </c>
      <c r="B1525" s="78" t="s">
        <v>379</v>
      </c>
      <c r="C1525" s="25" t="s">
        <v>12</v>
      </c>
      <c r="D1525" s="25" t="s">
        <v>19</v>
      </c>
      <c r="E1525" s="26">
        <v>1.1000000000000001</v>
      </c>
      <c r="F1525" s="26">
        <f t="shared" ref="F1525:F1526" si="576">H1525</f>
        <v>15.249000000000001</v>
      </c>
      <c r="G1525" s="26">
        <f t="shared" ref="G1525:G1526" si="577">ROUND(F1525*E1525,2)</f>
        <v>16.77</v>
      </c>
      <c r="H1525" s="375">
        <v>15.249000000000001</v>
      </c>
      <c r="I1525" s="28" t="e">
        <f>IF(A1525&lt;&gt;0,VLOOKUP(A1525,#REF!,2,FALSE),"")</f>
        <v>#REF!</v>
      </c>
      <c r="K1525" s="237"/>
    </row>
    <row r="1526" spans="1:11" ht="30">
      <c r="A1526" s="24">
        <v>88247</v>
      </c>
      <c r="B1526" s="78" t="s">
        <v>510</v>
      </c>
      <c r="C1526" s="25" t="s">
        <v>12</v>
      </c>
      <c r="D1526" s="25" t="s">
        <v>19</v>
      </c>
      <c r="E1526" s="26">
        <v>1.1000000000000001</v>
      </c>
      <c r="F1526" s="26">
        <f t="shared" si="576"/>
        <v>11.9085</v>
      </c>
      <c r="G1526" s="26">
        <f t="shared" si="577"/>
        <v>13.1</v>
      </c>
      <c r="H1526" s="375">
        <v>11.9085</v>
      </c>
      <c r="I1526" s="28" t="e">
        <f>IF(A1526&lt;&gt;0,VLOOKUP(A1526,#REF!,2,FALSE),"")</f>
        <v>#REF!</v>
      </c>
      <c r="K1526" s="237"/>
    </row>
    <row r="1527" spans="1:11" ht="15" customHeight="1">
      <c r="A1527" s="986" t="s">
        <v>1894</v>
      </c>
      <c r="B1527" s="986"/>
      <c r="C1527" s="986"/>
      <c r="D1527" s="986"/>
      <c r="E1527" s="986"/>
      <c r="F1527" s="986"/>
      <c r="G1527" s="79">
        <f>ROUND(SUM(G1523:G1526),2)</f>
        <v>376.57</v>
      </c>
      <c r="K1527" s="237"/>
    </row>
    <row r="1528" spans="1:11" ht="30" customHeight="1">
      <c r="A1528" s="80"/>
      <c r="B1528" s="80"/>
      <c r="C1528" s="965"/>
      <c r="D1528" s="966"/>
      <c r="E1528" s="80"/>
      <c r="F1528" s="80"/>
      <c r="G1528" s="80"/>
      <c r="K1528" s="237"/>
    </row>
    <row r="1529" spans="1:11" ht="15" customHeight="1">
      <c r="A1529" s="920" t="s">
        <v>2357</v>
      </c>
      <c r="B1529" s="921"/>
      <c r="C1529" s="921"/>
      <c r="D1529" s="921"/>
      <c r="E1529" s="922"/>
      <c r="F1529" s="77" t="s">
        <v>1915</v>
      </c>
      <c r="G1529" s="88"/>
      <c r="K1529" s="237"/>
    </row>
    <row r="1530" spans="1:11" ht="28.5">
      <c r="A1530" s="984" t="s">
        <v>364</v>
      </c>
      <c r="B1530" s="985"/>
      <c r="C1530" s="77" t="s">
        <v>3</v>
      </c>
      <c r="D1530" s="77" t="s">
        <v>4</v>
      </c>
      <c r="E1530" s="77" t="s">
        <v>1826</v>
      </c>
      <c r="F1530" s="77" t="s">
        <v>367</v>
      </c>
      <c r="G1530" s="77" t="s">
        <v>368</v>
      </c>
      <c r="K1530" s="237"/>
    </row>
    <row r="1531" spans="1:11" s="45" customFormat="1" ht="30">
      <c r="A1531" s="24">
        <v>7607</v>
      </c>
      <c r="B1531" s="78" t="s">
        <v>597</v>
      </c>
      <c r="C1531" s="25" t="s">
        <v>44</v>
      </c>
      <c r="D1531" s="25" t="s">
        <v>17</v>
      </c>
      <c r="E1531" s="26">
        <v>1</v>
      </c>
      <c r="F1531" s="26">
        <f t="shared" ref="F1531" si="578">H1531</f>
        <v>180.965</v>
      </c>
      <c r="G1531" s="26">
        <f t="shared" ref="G1531" si="579">ROUND(F1531*E1531,2)</f>
        <v>180.97</v>
      </c>
      <c r="H1531" s="364">
        <v>180.965</v>
      </c>
      <c r="I1531" s="45" t="e">
        <f>IF(A1531&lt;&gt;0,VLOOKUP(A1531,#REF!,2,FALSE),"")</f>
        <v>#REF!</v>
      </c>
      <c r="J1531" s="364"/>
      <c r="K1531" s="237"/>
    </row>
    <row r="1532" spans="1:11" s="28" customFormat="1" ht="30">
      <c r="A1532" s="24">
        <v>88264</v>
      </c>
      <c r="B1532" s="78" t="s">
        <v>379</v>
      </c>
      <c r="C1532" s="25" t="s">
        <v>12</v>
      </c>
      <c r="D1532" s="25" t="s">
        <v>19</v>
      </c>
      <c r="E1532" s="26">
        <v>1</v>
      </c>
      <c r="F1532" s="26">
        <f t="shared" ref="F1532" si="580">H1532</f>
        <v>15.249000000000001</v>
      </c>
      <c r="G1532" s="26">
        <f t="shared" ref="G1532" si="581">ROUND(F1532*E1532,2)</f>
        <v>15.25</v>
      </c>
      <c r="H1532" s="374">
        <v>15.249000000000001</v>
      </c>
      <c r="I1532" s="28" t="e">
        <f>IF(A1532&lt;&gt;0,VLOOKUP(A1532,#REF!,2,FALSE),"")</f>
        <v>#REF!</v>
      </c>
      <c r="J1532" s="374"/>
      <c r="K1532" s="237"/>
    </row>
    <row r="1533" spans="1:11" ht="15" customHeight="1">
      <c r="A1533" s="986" t="s">
        <v>1894</v>
      </c>
      <c r="B1533" s="986"/>
      <c r="C1533" s="986"/>
      <c r="D1533" s="986"/>
      <c r="E1533" s="986"/>
      <c r="F1533" s="986"/>
      <c r="G1533" s="79">
        <f>ROUND(SUM(G1531:G1532),2)</f>
        <v>196.22</v>
      </c>
      <c r="K1533" s="237"/>
    </row>
    <row r="1534" spans="1:11" ht="21.75" customHeight="1">
      <c r="A1534" s="80"/>
      <c r="B1534" s="80"/>
      <c r="C1534" s="965"/>
      <c r="D1534" s="966"/>
      <c r="E1534" s="80"/>
      <c r="F1534" s="80"/>
      <c r="G1534" s="80"/>
      <c r="K1534" s="237"/>
    </row>
    <row r="1535" spans="1:11" ht="23.25" customHeight="1">
      <c r="A1535" s="920" t="s">
        <v>306</v>
      </c>
      <c r="B1535" s="921"/>
      <c r="C1535" s="921"/>
      <c r="D1535" s="921"/>
      <c r="E1535" s="922"/>
      <c r="F1535" s="77" t="s">
        <v>70</v>
      </c>
      <c r="G1535" s="344" t="s">
        <v>3094</v>
      </c>
      <c r="K1535" s="237"/>
    </row>
    <row r="1536" spans="1:11" ht="28.5">
      <c r="A1536" s="920" t="s">
        <v>364</v>
      </c>
      <c r="B1536" s="959"/>
      <c r="C1536" s="77" t="s">
        <v>3</v>
      </c>
      <c r="D1536" s="77" t="s">
        <v>4</v>
      </c>
      <c r="E1536" s="77" t="s">
        <v>1826</v>
      </c>
      <c r="F1536" s="77" t="s">
        <v>367</v>
      </c>
      <c r="G1536" s="77" t="s">
        <v>368</v>
      </c>
      <c r="K1536" s="237"/>
    </row>
    <row r="1537" spans="1:11" s="28" customFormat="1">
      <c r="A1537" s="24" t="s">
        <v>3096</v>
      </c>
      <c r="B1537" s="78" t="s">
        <v>592</v>
      </c>
      <c r="C1537" s="25" t="s">
        <v>70</v>
      </c>
      <c r="D1537" s="25" t="s">
        <v>17</v>
      </c>
      <c r="E1537" s="26">
        <v>1</v>
      </c>
      <c r="F1537" s="26">
        <f t="shared" ref="F1537:F1538" si="582">H1537</f>
        <v>22.346499999999999</v>
      </c>
      <c r="G1537" s="26">
        <f t="shared" ref="G1537:G1538" si="583">ROUND(F1537*E1537,2)</f>
        <v>22.35</v>
      </c>
      <c r="H1537" s="374">
        <v>22.346499999999999</v>
      </c>
      <c r="I1537" s="34"/>
      <c r="J1537" s="374"/>
      <c r="K1537" s="237"/>
    </row>
    <row r="1538" spans="1:11" s="28" customFormat="1" ht="30">
      <c r="A1538" s="24" t="s">
        <v>593</v>
      </c>
      <c r="B1538" s="78" t="s">
        <v>3097</v>
      </c>
      <c r="C1538" s="25" t="s">
        <v>70</v>
      </c>
      <c r="D1538" s="25" t="s">
        <v>17</v>
      </c>
      <c r="E1538" s="26">
        <v>1</v>
      </c>
      <c r="F1538" s="26">
        <f t="shared" si="582"/>
        <v>3.1959999999999997</v>
      </c>
      <c r="G1538" s="26">
        <f t="shared" si="583"/>
        <v>3.2</v>
      </c>
      <c r="H1538" s="374">
        <v>3.1959999999999997</v>
      </c>
      <c r="J1538" s="374"/>
      <c r="K1538" s="237"/>
    </row>
    <row r="1539" spans="1:11" s="28" customFormat="1">
      <c r="A1539" s="24" t="s">
        <v>3095</v>
      </c>
      <c r="B1539" s="78" t="s">
        <v>594</v>
      </c>
      <c r="C1539" s="25" t="s">
        <v>70</v>
      </c>
      <c r="D1539" s="25" t="s">
        <v>17</v>
      </c>
      <c r="E1539" s="26">
        <v>0.04</v>
      </c>
      <c r="F1539" s="26">
        <f t="shared" ref="F1539" si="584">H1539</f>
        <v>165.47800000000001</v>
      </c>
      <c r="G1539" s="26">
        <f t="shared" ref="G1539" si="585">ROUND(F1539*E1539,2)</f>
        <v>6.62</v>
      </c>
      <c r="H1539" s="374">
        <v>165.47800000000001</v>
      </c>
      <c r="I1539" s="34"/>
      <c r="J1539" s="374"/>
      <c r="K1539" s="237"/>
    </row>
    <row r="1540" spans="1:11" ht="30">
      <c r="A1540" s="24">
        <v>88264</v>
      </c>
      <c r="B1540" s="78" t="s">
        <v>379</v>
      </c>
      <c r="C1540" s="25" t="s">
        <v>12</v>
      </c>
      <c r="D1540" s="25" t="s">
        <v>19</v>
      </c>
      <c r="E1540" s="26">
        <v>0.08</v>
      </c>
      <c r="F1540" s="26">
        <f t="shared" ref="F1540:F1541" si="586">H1540</f>
        <v>15.249000000000001</v>
      </c>
      <c r="G1540" s="26">
        <f t="shared" ref="G1540:G1541" si="587">ROUND(F1540*E1540,2)</f>
        <v>1.22</v>
      </c>
      <c r="H1540" s="375">
        <v>15.249000000000001</v>
      </c>
      <c r="I1540" s="28" t="e">
        <f>IF(A1540&lt;&gt;0,VLOOKUP(A1540,#REF!,2,FALSE),"")</f>
        <v>#REF!</v>
      </c>
      <c r="K1540" s="237"/>
    </row>
    <row r="1541" spans="1:11" ht="30">
      <c r="A1541" s="24">
        <v>88316</v>
      </c>
      <c r="B1541" s="78" t="s">
        <v>377</v>
      </c>
      <c r="C1541" s="25" t="s">
        <v>12</v>
      </c>
      <c r="D1541" s="25" t="s">
        <v>19</v>
      </c>
      <c r="E1541" s="26">
        <v>0.08</v>
      </c>
      <c r="F1541" s="26">
        <f t="shared" si="586"/>
        <v>11.798000000000002</v>
      </c>
      <c r="G1541" s="26">
        <f t="shared" si="587"/>
        <v>0.94</v>
      </c>
      <c r="H1541" s="375">
        <v>11.798000000000002</v>
      </c>
      <c r="I1541" s="28" t="e">
        <f>IF(A1541&lt;&gt;0,VLOOKUP(A1541,#REF!,2,FALSE),"")</f>
        <v>#REF!</v>
      </c>
      <c r="K1541" s="237"/>
    </row>
    <row r="1542" spans="1:11" ht="15" customHeight="1">
      <c r="A1542" s="986" t="s">
        <v>1894</v>
      </c>
      <c r="B1542" s="986"/>
      <c r="C1542" s="986"/>
      <c r="D1542" s="986"/>
      <c r="E1542" s="986"/>
      <c r="F1542" s="986"/>
      <c r="G1542" s="79">
        <f>ROUND(SUM(G1537:G1541),2)</f>
        <v>34.33</v>
      </c>
      <c r="K1542" s="237"/>
    </row>
    <row r="1543" spans="1:11" ht="27" customHeight="1">
      <c r="A1543" s="80"/>
      <c r="B1543" s="80"/>
      <c r="C1543" s="965"/>
      <c r="D1543" s="966"/>
      <c r="E1543" s="80"/>
      <c r="F1543" s="80"/>
      <c r="G1543" s="80"/>
      <c r="K1543" s="237"/>
    </row>
    <row r="1544" spans="1:11" ht="21" customHeight="1">
      <c r="A1544" s="920" t="s">
        <v>2359</v>
      </c>
      <c r="B1544" s="921"/>
      <c r="C1544" s="921"/>
      <c r="D1544" s="921"/>
      <c r="E1544" s="921"/>
      <c r="F1544" s="77" t="s">
        <v>1915</v>
      </c>
      <c r="G1544" s="88"/>
      <c r="K1544" s="237"/>
    </row>
    <row r="1545" spans="1:11" ht="28.5">
      <c r="A1545" s="984" t="s">
        <v>364</v>
      </c>
      <c r="B1545" s="985"/>
      <c r="C1545" s="77" t="s">
        <v>3</v>
      </c>
      <c r="D1545" s="77" t="s">
        <v>4</v>
      </c>
      <c r="E1545" s="77" t="s">
        <v>1826</v>
      </c>
      <c r="F1545" s="77" t="s">
        <v>367</v>
      </c>
      <c r="G1545" s="77" t="s">
        <v>368</v>
      </c>
      <c r="K1545" s="237"/>
    </row>
    <row r="1546" spans="1:11" ht="52.5" customHeight="1">
      <c r="A1546" s="24">
        <v>901</v>
      </c>
      <c r="B1546" s="78" t="s">
        <v>598</v>
      </c>
      <c r="C1546" s="25" t="s">
        <v>12</v>
      </c>
      <c r="D1546" s="25" t="s">
        <v>52</v>
      </c>
      <c r="E1546" s="26">
        <v>1.02</v>
      </c>
      <c r="F1546" s="26">
        <f t="shared" ref="F1546" si="588">H1546</f>
        <v>78.786500000000004</v>
      </c>
      <c r="G1546" s="26">
        <f t="shared" ref="G1546" si="589">ROUND(F1546*E1546,2)</f>
        <v>80.36</v>
      </c>
      <c r="H1546" s="375">
        <v>78.786500000000004</v>
      </c>
      <c r="I1546" s="28" t="e">
        <f>IF(A1546&lt;&gt;0,VLOOKUP(A1546,#REF!,2,FALSE),"")</f>
        <v>#REF!</v>
      </c>
      <c r="K1546" s="237"/>
    </row>
    <row r="1547" spans="1:11" ht="30">
      <c r="A1547" s="84">
        <v>88264</v>
      </c>
      <c r="B1547" s="85" t="s">
        <v>379</v>
      </c>
      <c r="C1547" s="86" t="s">
        <v>12</v>
      </c>
      <c r="D1547" s="86" t="s">
        <v>19</v>
      </c>
      <c r="E1547" s="81">
        <v>0.21</v>
      </c>
      <c r="F1547" s="26">
        <f t="shared" ref="F1547:F1548" si="590">H1547</f>
        <v>15.249000000000001</v>
      </c>
      <c r="G1547" s="26">
        <f t="shared" ref="G1547:G1548" si="591">ROUND(F1547*E1547,2)</f>
        <v>3.2</v>
      </c>
      <c r="H1547" s="375">
        <v>15.249000000000001</v>
      </c>
      <c r="I1547" s="28" t="e">
        <f>IF(A1547&lt;&gt;0,VLOOKUP(A1547,#REF!,2,FALSE),"")</f>
        <v>#REF!</v>
      </c>
      <c r="K1547" s="237"/>
    </row>
    <row r="1548" spans="1:11" ht="30">
      <c r="A1548" s="84">
        <v>88316</v>
      </c>
      <c r="B1548" s="85" t="s">
        <v>377</v>
      </c>
      <c r="C1548" s="86" t="s">
        <v>12</v>
      </c>
      <c r="D1548" s="86" t="s">
        <v>19</v>
      </c>
      <c r="E1548" s="81">
        <v>0.21</v>
      </c>
      <c r="F1548" s="26">
        <f t="shared" si="590"/>
        <v>11.798000000000002</v>
      </c>
      <c r="G1548" s="26">
        <f t="shared" si="591"/>
        <v>2.48</v>
      </c>
      <c r="H1548" s="375">
        <v>11.798000000000002</v>
      </c>
      <c r="I1548" s="28" t="e">
        <f>IF(A1548&lt;&gt;0,VLOOKUP(A1548,#REF!,2,FALSE),"")</f>
        <v>#REF!</v>
      </c>
      <c r="K1548" s="237"/>
    </row>
    <row r="1549" spans="1:11" ht="15" customHeight="1">
      <c r="A1549" s="986" t="s">
        <v>1894</v>
      </c>
      <c r="B1549" s="986"/>
      <c r="C1549" s="986"/>
      <c r="D1549" s="986"/>
      <c r="E1549" s="986"/>
      <c r="F1549" s="986"/>
      <c r="G1549" s="79">
        <f>ROUND(SUM(G1546:G1548),2)</f>
        <v>86.04</v>
      </c>
      <c r="K1549" s="237"/>
    </row>
    <row r="1550" spans="1:11" ht="25.5" customHeight="1">
      <c r="A1550" s="80"/>
      <c r="B1550" s="80"/>
      <c r="C1550" s="965"/>
      <c r="D1550" s="966"/>
      <c r="E1550" s="80"/>
      <c r="F1550" s="80"/>
      <c r="G1550" s="80"/>
      <c r="K1550" s="237"/>
    </row>
    <row r="1551" spans="1:11" ht="54.75" customHeight="1">
      <c r="A1551" s="920" t="s">
        <v>2483</v>
      </c>
      <c r="B1551" s="921"/>
      <c r="C1551" s="921"/>
      <c r="D1551" s="921"/>
      <c r="E1551" s="922"/>
      <c r="F1551" s="77" t="s">
        <v>1915</v>
      </c>
      <c r="G1551" s="88"/>
      <c r="K1551" s="237"/>
    </row>
    <row r="1552" spans="1:11" ht="28.5">
      <c r="A1552" s="984" t="s">
        <v>364</v>
      </c>
      <c r="B1552" s="985"/>
      <c r="C1552" s="77" t="s">
        <v>3</v>
      </c>
      <c r="D1552" s="77" t="s">
        <v>4</v>
      </c>
      <c r="E1552" s="77" t="s">
        <v>1826</v>
      </c>
      <c r="F1552" s="77" t="s">
        <v>367</v>
      </c>
      <c r="G1552" s="77" t="s">
        <v>368</v>
      </c>
      <c r="K1552" s="237"/>
    </row>
    <row r="1553" spans="1:11" s="28" customFormat="1" ht="45">
      <c r="A1553" s="24">
        <v>4168</v>
      </c>
      <c r="B1553" s="78" t="s">
        <v>2484</v>
      </c>
      <c r="C1553" s="25" t="s">
        <v>12</v>
      </c>
      <c r="D1553" s="25" t="s">
        <v>17</v>
      </c>
      <c r="E1553" s="26">
        <v>1</v>
      </c>
      <c r="F1553" s="26">
        <f t="shared" ref="F1553:F1555" si="592">H1553</f>
        <v>221.595</v>
      </c>
      <c r="G1553" s="26">
        <f t="shared" ref="G1553:G1555" si="593">ROUND(F1553*E1553,2)</f>
        <v>221.6</v>
      </c>
      <c r="H1553" s="374">
        <v>221.595</v>
      </c>
      <c r="I1553" s="28" t="e">
        <f>IF(A1553&lt;&gt;0,VLOOKUP(A1553,#REF!,2,FALSE),"")</f>
        <v>#REF!</v>
      </c>
      <c r="J1553" s="374"/>
      <c r="K1553" s="237"/>
    </row>
    <row r="1554" spans="1:11" ht="30">
      <c r="A1554" s="24">
        <v>88264</v>
      </c>
      <c r="B1554" s="78" t="s">
        <v>379</v>
      </c>
      <c r="C1554" s="25" t="s">
        <v>12</v>
      </c>
      <c r="D1554" s="25" t="s">
        <v>19</v>
      </c>
      <c r="E1554" s="26">
        <v>2</v>
      </c>
      <c r="F1554" s="26">
        <f t="shared" si="592"/>
        <v>15.249000000000001</v>
      </c>
      <c r="G1554" s="26">
        <f t="shared" si="593"/>
        <v>30.5</v>
      </c>
      <c r="H1554" s="375">
        <v>15.249000000000001</v>
      </c>
      <c r="I1554" s="28" t="e">
        <f>IF(A1554&lt;&gt;0,VLOOKUP(A1554,#REF!,2,FALSE),"")</f>
        <v>#REF!</v>
      </c>
      <c r="K1554" s="237"/>
    </row>
    <row r="1555" spans="1:11" ht="30">
      <c r="A1555" s="24">
        <v>88316</v>
      </c>
      <c r="B1555" s="78" t="s">
        <v>377</v>
      </c>
      <c r="C1555" s="25" t="s">
        <v>12</v>
      </c>
      <c r="D1555" s="25" t="s">
        <v>19</v>
      </c>
      <c r="E1555" s="26">
        <v>2</v>
      </c>
      <c r="F1555" s="26">
        <f t="shared" si="592"/>
        <v>11.798000000000002</v>
      </c>
      <c r="G1555" s="26">
        <f t="shared" si="593"/>
        <v>23.6</v>
      </c>
      <c r="H1555" s="375">
        <v>11.798000000000002</v>
      </c>
      <c r="I1555" s="28" t="e">
        <f>IF(A1555&lt;&gt;0,VLOOKUP(A1555,#REF!,2,FALSE),"")</f>
        <v>#REF!</v>
      </c>
      <c r="K1555" s="237"/>
    </row>
    <row r="1556" spans="1:11" ht="15" customHeight="1">
      <c r="A1556" s="986" t="s">
        <v>1894</v>
      </c>
      <c r="B1556" s="986"/>
      <c r="C1556" s="986"/>
      <c r="D1556" s="986"/>
      <c r="E1556" s="986"/>
      <c r="F1556" s="986"/>
      <c r="G1556" s="79">
        <f>ROUND(SUM(G1553:G1555),2)</f>
        <v>275.7</v>
      </c>
      <c r="K1556" s="237"/>
    </row>
    <row r="1557" spans="1:11" ht="26.25" customHeight="1">
      <c r="A1557" s="80"/>
      <c r="B1557" s="80"/>
      <c r="C1557" s="965"/>
      <c r="D1557" s="966"/>
      <c r="E1557" s="80"/>
      <c r="F1557" s="80"/>
      <c r="G1557" s="80"/>
      <c r="K1557" s="237"/>
    </row>
    <row r="1558" spans="1:11" ht="32.25" customHeight="1">
      <c r="A1558" s="920" t="s">
        <v>2414</v>
      </c>
      <c r="B1558" s="921"/>
      <c r="C1558" s="921"/>
      <c r="D1558" s="921"/>
      <c r="E1558" s="921"/>
      <c r="F1558" s="77" t="s">
        <v>44</v>
      </c>
      <c r="G1558" s="88"/>
      <c r="K1558" s="237"/>
    </row>
    <row r="1559" spans="1:11" ht="28.5">
      <c r="A1559" s="984" t="s">
        <v>366</v>
      </c>
      <c r="B1559" s="985"/>
      <c r="C1559" s="77" t="s">
        <v>3</v>
      </c>
      <c r="D1559" s="77" t="s">
        <v>4</v>
      </c>
      <c r="E1559" s="77" t="s">
        <v>1826</v>
      </c>
      <c r="F1559" s="77" t="s">
        <v>367</v>
      </c>
      <c r="G1559" s="77" t="s">
        <v>368</v>
      </c>
      <c r="K1559" s="237"/>
    </row>
    <row r="1560" spans="1:11" s="45" customFormat="1" ht="30">
      <c r="A1560" s="24">
        <v>12746</v>
      </c>
      <c r="B1560" s="78" t="s">
        <v>599</v>
      </c>
      <c r="C1560" s="25" t="s">
        <v>44</v>
      </c>
      <c r="D1560" s="25" t="s">
        <v>17</v>
      </c>
      <c r="E1560" s="26">
        <v>1</v>
      </c>
      <c r="F1560" s="26">
        <f t="shared" ref="F1560" si="594">H1560</f>
        <v>36741.743000000002</v>
      </c>
      <c r="G1560" s="26">
        <f t="shared" ref="G1560" si="595">ROUND(F1560*E1560,2)</f>
        <v>36741.74</v>
      </c>
      <c r="H1560" s="364">
        <v>36741.743000000002</v>
      </c>
      <c r="I1560" s="45" t="e">
        <f>IF(A1560&lt;&gt;0,VLOOKUP(A1560,#REF!,2,FALSE),"")</f>
        <v>#REF!</v>
      </c>
      <c r="J1560" s="364"/>
      <c r="K1560" s="237"/>
    </row>
    <row r="1561" spans="1:11">
      <c r="A1561" s="24">
        <v>88266</v>
      </c>
      <c r="B1561" s="78" t="e">
        <f>I1561</f>
        <v>#REF!</v>
      </c>
      <c r="C1561" s="25" t="s">
        <v>12</v>
      </c>
      <c r="D1561" s="25" t="s">
        <v>19</v>
      </c>
      <c r="E1561" s="26">
        <v>60</v>
      </c>
      <c r="F1561" s="26">
        <f t="shared" ref="F1561:F1562" si="596">H1561</f>
        <v>25.6785</v>
      </c>
      <c r="G1561" s="26">
        <f t="shared" ref="G1561:G1562" si="597">ROUND(F1561*E1561,2)</f>
        <v>1540.71</v>
      </c>
      <c r="H1561" s="375">
        <v>25.6785</v>
      </c>
      <c r="I1561" s="28" t="e">
        <f>IF(A1561&lt;&gt;0,VLOOKUP(A1561,#REF!,2,FALSE),"")</f>
        <v>#REF!</v>
      </c>
      <c r="K1561" s="237"/>
    </row>
    <row r="1562" spans="1:11" ht="30">
      <c r="A1562" s="24">
        <v>88316</v>
      </c>
      <c r="B1562" s="78" t="s">
        <v>377</v>
      </c>
      <c r="C1562" s="25" t="s">
        <v>12</v>
      </c>
      <c r="D1562" s="25" t="s">
        <v>19</v>
      </c>
      <c r="E1562" s="26">
        <v>60</v>
      </c>
      <c r="F1562" s="26">
        <f t="shared" si="596"/>
        <v>11.798000000000002</v>
      </c>
      <c r="G1562" s="26">
        <f t="shared" si="597"/>
        <v>707.88</v>
      </c>
      <c r="H1562" s="375">
        <v>11.798000000000002</v>
      </c>
      <c r="I1562" s="28" t="e">
        <f>IF(A1562&lt;&gt;0,VLOOKUP(A1562,#REF!,2,FALSE),"")</f>
        <v>#REF!</v>
      </c>
      <c r="K1562" s="237"/>
    </row>
    <row r="1563" spans="1:11" ht="15" customHeight="1">
      <c r="A1563" s="986" t="s">
        <v>1894</v>
      </c>
      <c r="B1563" s="986"/>
      <c r="C1563" s="986"/>
      <c r="D1563" s="986"/>
      <c r="E1563" s="986"/>
      <c r="F1563" s="986"/>
      <c r="G1563" s="79">
        <f>ROUND(SUM(G1560:G1562),2)</f>
        <v>38990.33</v>
      </c>
      <c r="K1563" s="237"/>
    </row>
    <row r="1564" spans="1:11" ht="24.75" customHeight="1">
      <c r="A1564" s="80"/>
      <c r="B1564" s="80"/>
      <c r="C1564" s="965"/>
      <c r="D1564" s="966"/>
      <c r="E1564" s="80"/>
      <c r="F1564" s="80"/>
      <c r="G1564" s="80"/>
      <c r="K1564" s="237"/>
    </row>
    <row r="1565" spans="1:11" ht="33.75" customHeight="1">
      <c r="A1565" s="920" t="s">
        <v>2416</v>
      </c>
      <c r="B1565" s="921"/>
      <c r="C1565" s="921"/>
      <c r="D1565" s="921"/>
      <c r="E1565" s="921"/>
      <c r="F1565" s="77" t="s">
        <v>1915</v>
      </c>
      <c r="G1565" s="88"/>
      <c r="K1565" s="237"/>
    </row>
    <row r="1566" spans="1:11" ht="28.5">
      <c r="A1566" s="984" t="s">
        <v>366</v>
      </c>
      <c r="B1566" s="985"/>
      <c r="C1566" s="77" t="s">
        <v>3</v>
      </c>
      <c r="D1566" s="77" t="s">
        <v>4</v>
      </c>
      <c r="E1566" s="77" t="s">
        <v>1826</v>
      </c>
      <c r="F1566" s="77" t="s">
        <v>367</v>
      </c>
      <c r="G1566" s="77" t="s">
        <v>368</v>
      </c>
      <c r="K1566" s="237"/>
    </row>
    <row r="1567" spans="1:11" s="28" customFormat="1" ht="30">
      <c r="A1567" s="25" t="s">
        <v>2415</v>
      </c>
      <c r="B1567" s="78" t="s">
        <v>600</v>
      </c>
      <c r="C1567" s="25" t="s">
        <v>27</v>
      </c>
      <c r="D1567" s="25" t="s">
        <v>17</v>
      </c>
      <c r="E1567" s="26">
        <v>1</v>
      </c>
      <c r="F1567" s="26">
        <f t="shared" ref="F1567" si="598">H1567</f>
        <v>23725.200000000001</v>
      </c>
      <c r="G1567" s="26">
        <f t="shared" ref="G1567" si="599">ROUND(F1567*E1567,2)</f>
        <v>23725.200000000001</v>
      </c>
      <c r="H1567" s="374">
        <v>23725.200000000001</v>
      </c>
      <c r="J1567" s="374"/>
      <c r="K1567" s="237"/>
    </row>
    <row r="1568" spans="1:11">
      <c r="A1568" s="24">
        <v>88266</v>
      </c>
      <c r="B1568" s="78" t="e">
        <f>I1568</f>
        <v>#REF!</v>
      </c>
      <c r="C1568" s="25" t="s">
        <v>12</v>
      </c>
      <c r="D1568" s="25" t="s">
        <v>19</v>
      </c>
      <c r="E1568" s="26">
        <v>60</v>
      </c>
      <c r="F1568" s="26">
        <f t="shared" ref="F1568:F1569" si="600">H1568</f>
        <v>25.6785</v>
      </c>
      <c r="G1568" s="26">
        <f t="shared" ref="G1568:G1569" si="601">ROUND(F1568*E1568,2)</f>
        <v>1540.71</v>
      </c>
      <c r="H1568" s="375">
        <v>25.6785</v>
      </c>
      <c r="I1568" s="28" t="e">
        <f>IF(A1568&lt;&gt;0,VLOOKUP(A1568,#REF!,2,FALSE),"")</f>
        <v>#REF!</v>
      </c>
      <c r="K1568" s="237"/>
    </row>
    <row r="1569" spans="1:11" ht="30">
      <c r="A1569" s="24">
        <v>88316</v>
      </c>
      <c r="B1569" s="78" t="s">
        <v>377</v>
      </c>
      <c r="C1569" s="25" t="s">
        <v>12</v>
      </c>
      <c r="D1569" s="25" t="s">
        <v>19</v>
      </c>
      <c r="E1569" s="26">
        <v>60</v>
      </c>
      <c r="F1569" s="26">
        <f t="shared" si="600"/>
        <v>11.798000000000002</v>
      </c>
      <c r="G1569" s="26">
        <f t="shared" si="601"/>
        <v>707.88</v>
      </c>
      <c r="H1569" s="375">
        <v>11.798000000000002</v>
      </c>
      <c r="I1569" s="28" t="e">
        <f>IF(A1569&lt;&gt;0,VLOOKUP(A1569,#REF!,2,FALSE),"")</f>
        <v>#REF!</v>
      </c>
      <c r="K1569" s="237"/>
    </row>
    <row r="1570" spans="1:11" ht="15" customHeight="1">
      <c r="A1570" s="986" t="s">
        <v>1894</v>
      </c>
      <c r="B1570" s="986"/>
      <c r="C1570" s="986"/>
      <c r="D1570" s="986"/>
      <c r="E1570" s="986"/>
      <c r="F1570" s="986"/>
      <c r="G1570" s="79">
        <f>ROUND(SUM(G1567:G1569),2)</f>
        <v>25973.79</v>
      </c>
      <c r="K1570" s="237"/>
    </row>
    <row r="1571" spans="1:11" ht="21.75" customHeight="1">
      <c r="A1571" s="80"/>
      <c r="B1571" s="80"/>
      <c r="C1571" s="965"/>
      <c r="D1571" s="966"/>
      <c r="E1571" s="80"/>
      <c r="F1571" s="80"/>
      <c r="G1571" s="80"/>
      <c r="K1571" s="237"/>
    </row>
    <row r="1572" spans="1:11" ht="39" customHeight="1">
      <c r="A1572" s="920" t="s">
        <v>2361</v>
      </c>
      <c r="B1572" s="921"/>
      <c r="C1572" s="921"/>
      <c r="D1572" s="921"/>
      <c r="E1572" s="921"/>
      <c r="F1572" s="77" t="s">
        <v>1915</v>
      </c>
      <c r="G1572" s="88"/>
      <c r="K1572" s="237"/>
    </row>
    <row r="1573" spans="1:11" ht="28.5">
      <c r="A1573" s="984" t="s">
        <v>364</v>
      </c>
      <c r="B1573" s="985"/>
      <c r="C1573" s="77" t="s">
        <v>3</v>
      </c>
      <c r="D1573" s="77" t="s">
        <v>4</v>
      </c>
      <c r="E1573" s="77" t="s">
        <v>1826</v>
      </c>
      <c r="F1573" s="77" t="s">
        <v>367</v>
      </c>
      <c r="G1573" s="77" t="s">
        <v>368</v>
      </c>
      <c r="K1573" s="237"/>
    </row>
    <row r="1574" spans="1:11" ht="45">
      <c r="A1574" s="24">
        <v>11267</v>
      </c>
      <c r="B1574" s="78" t="s">
        <v>378</v>
      </c>
      <c r="C1574" s="25" t="s">
        <v>12</v>
      </c>
      <c r="D1574" s="25" t="s">
        <v>17</v>
      </c>
      <c r="E1574" s="26">
        <v>4</v>
      </c>
      <c r="F1574" s="26">
        <f t="shared" ref="F1574:F1580" si="602">H1574</f>
        <v>0.76500000000000001</v>
      </c>
      <c r="G1574" s="26">
        <f t="shared" ref="G1574:G1580" si="603">ROUND(F1574*E1574,2)</f>
        <v>3.06</v>
      </c>
      <c r="H1574" s="375">
        <v>0.76500000000000001</v>
      </c>
      <c r="I1574" s="28" t="e">
        <f>IF(A1574&lt;&gt;0,VLOOKUP(A1574,#REF!,2,FALSE),"")</f>
        <v>#REF!</v>
      </c>
      <c r="K1574" s="237"/>
    </row>
    <row r="1575" spans="1:11" ht="30">
      <c r="A1575" s="24">
        <v>11976</v>
      </c>
      <c r="B1575" s="78" t="s">
        <v>601</v>
      </c>
      <c r="C1575" s="25" t="s">
        <v>12</v>
      </c>
      <c r="D1575" s="25" t="s">
        <v>17</v>
      </c>
      <c r="E1575" s="26">
        <v>1.333</v>
      </c>
      <c r="F1575" s="26">
        <f t="shared" si="602"/>
        <v>0.56100000000000005</v>
      </c>
      <c r="G1575" s="26">
        <f t="shared" si="603"/>
        <v>0.75</v>
      </c>
      <c r="H1575" s="375">
        <v>0.56100000000000005</v>
      </c>
      <c r="I1575" s="28" t="e">
        <f>IF(A1575&lt;&gt;0,VLOOKUP(A1575,#REF!,2,FALSE),"")</f>
        <v>#REF!</v>
      </c>
      <c r="K1575" s="237"/>
    </row>
    <row r="1576" spans="1:11" ht="30">
      <c r="A1576" s="24">
        <v>39029</v>
      </c>
      <c r="B1576" s="78" t="s">
        <v>602</v>
      </c>
      <c r="C1576" s="25" t="s">
        <v>12</v>
      </c>
      <c r="D1576" s="25" t="s">
        <v>52</v>
      </c>
      <c r="E1576" s="26">
        <v>0.5</v>
      </c>
      <c r="F1576" s="26">
        <f t="shared" si="602"/>
        <v>16.693999999999999</v>
      </c>
      <c r="G1576" s="26">
        <f t="shared" si="603"/>
        <v>8.35</v>
      </c>
      <c r="H1576" s="375">
        <v>16.693999999999999</v>
      </c>
      <c r="I1576" s="28" t="e">
        <f>IF(A1576&lt;&gt;0,VLOOKUP(A1576,#REF!,2,FALSE),"")</f>
        <v>#REF!</v>
      </c>
      <c r="K1576" s="237"/>
    </row>
    <row r="1577" spans="1:11" ht="30">
      <c r="A1577" s="24">
        <v>39996</v>
      </c>
      <c r="B1577" s="78" t="s">
        <v>603</v>
      </c>
      <c r="C1577" s="25" t="s">
        <v>12</v>
      </c>
      <c r="D1577" s="25" t="s">
        <v>52</v>
      </c>
      <c r="E1577" s="26">
        <v>0.46700000000000003</v>
      </c>
      <c r="F1577" s="26">
        <f t="shared" si="602"/>
        <v>3.7314999999999996</v>
      </c>
      <c r="G1577" s="26">
        <f t="shared" si="603"/>
        <v>1.74</v>
      </c>
      <c r="H1577" s="375">
        <v>3.7314999999999996</v>
      </c>
      <c r="I1577" s="28" t="e">
        <f>IF(A1577&lt;&gt;0,VLOOKUP(A1577,#REF!,2,FALSE),"")</f>
        <v>#REF!</v>
      </c>
      <c r="K1577" s="237"/>
    </row>
    <row r="1578" spans="1:11" ht="30">
      <c r="A1578" s="24">
        <v>39997</v>
      </c>
      <c r="B1578" s="78" t="s">
        <v>604</v>
      </c>
      <c r="C1578" s="25" t="s">
        <v>12</v>
      </c>
      <c r="D1578" s="25" t="s">
        <v>17</v>
      </c>
      <c r="E1578" s="26">
        <v>4</v>
      </c>
      <c r="F1578" s="26">
        <f t="shared" si="602"/>
        <v>0.13600000000000001</v>
      </c>
      <c r="G1578" s="26">
        <f t="shared" si="603"/>
        <v>0.54</v>
      </c>
      <c r="H1578" s="375">
        <v>0.13600000000000001</v>
      </c>
      <c r="I1578" s="28" t="e">
        <f>IF(A1578&lt;&gt;0,VLOOKUP(A1578,#REF!,2,FALSE),"")</f>
        <v>#REF!</v>
      </c>
      <c r="K1578" s="237"/>
    </row>
    <row r="1579" spans="1:11" ht="45">
      <c r="A1579" s="24">
        <v>88248</v>
      </c>
      <c r="B1579" s="78" t="s">
        <v>473</v>
      </c>
      <c r="C1579" s="25" t="s">
        <v>12</v>
      </c>
      <c r="D1579" s="25" t="s">
        <v>19</v>
      </c>
      <c r="E1579" s="26">
        <v>2.3E-2</v>
      </c>
      <c r="F1579" s="26">
        <f t="shared" si="602"/>
        <v>11.483499999999999</v>
      </c>
      <c r="G1579" s="26">
        <f t="shared" si="603"/>
        <v>0.26</v>
      </c>
      <c r="H1579" s="375">
        <v>11.483499999999999</v>
      </c>
      <c r="I1579" s="28" t="e">
        <f>IF(A1579&lt;&gt;0,VLOOKUP(A1579,#REF!,2,FALSE),"")</f>
        <v>#REF!</v>
      </c>
      <c r="K1579" s="237"/>
    </row>
    <row r="1580" spans="1:11" ht="30">
      <c r="A1580" s="24">
        <v>88267</v>
      </c>
      <c r="B1580" s="78" t="s">
        <v>472</v>
      </c>
      <c r="C1580" s="25" t="s">
        <v>12</v>
      </c>
      <c r="D1580" s="25" t="s">
        <v>19</v>
      </c>
      <c r="E1580" s="26">
        <v>0.161</v>
      </c>
      <c r="F1580" s="26">
        <f t="shared" si="602"/>
        <v>14.7135</v>
      </c>
      <c r="G1580" s="26">
        <f t="shared" si="603"/>
        <v>2.37</v>
      </c>
      <c r="H1580" s="375">
        <v>14.7135</v>
      </c>
      <c r="I1580" s="28" t="e">
        <f>IF(A1580&lt;&gt;0,VLOOKUP(A1580,#REF!,2,FALSE),"")</f>
        <v>#REF!</v>
      </c>
      <c r="K1580" s="237"/>
    </row>
    <row r="1581" spans="1:11" ht="15" customHeight="1">
      <c r="A1581" s="986" t="s">
        <v>1894</v>
      </c>
      <c r="B1581" s="986"/>
      <c r="C1581" s="986"/>
      <c r="D1581" s="986"/>
      <c r="E1581" s="986"/>
      <c r="F1581" s="986"/>
      <c r="G1581" s="79">
        <f>ROUND(SUM(G1574:G1580),2)</f>
        <v>17.07</v>
      </c>
      <c r="K1581" s="237"/>
    </row>
    <row r="1582" spans="1:11" ht="23.25" customHeight="1">
      <c r="A1582" s="80"/>
      <c r="B1582" s="80"/>
      <c r="C1582" s="965"/>
      <c r="D1582" s="966"/>
      <c r="E1582" s="80"/>
      <c r="F1582" s="80"/>
      <c r="G1582" s="80"/>
      <c r="K1582" s="237"/>
    </row>
    <row r="1583" spans="1:11" ht="27" customHeight="1">
      <c r="A1583" s="920" t="s">
        <v>2363</v>
      </c>
      <c r="B1583" s="921"/>
      <c r="C1583" s="921"/>
      <c r="D1583" s="921"/>
      <c r="E1583" s="922"/>
      <c r="F1583" s="77" t="s">
        <v>1915</v>
      </c>
      <c r="G1583" s="88"/>
      <c r="K1583" s="237"/>
    </row>
    <row r="1584" spans="1:11" ht="28.5">
      <c r="A1584" s="984" t="s">
        <v>364</v>
      </c>
      <c r="B1584" s="985"/>
      <c r="C1584" s="77" t="s">
        <v>3</v>
      </c>
      <c r="D1584" s="77" t="s">
        <v>4</v>
      </c>
      <c r="E1584" s="77" t="s">
        <v>1826</v>
      </c>
      <c r="F1584" s="77" t="s">
        <v>367</v>
      </c>
      <c r="G1584" s="77" t="s">
        <v>368</v>
      </c>
      <c r="K1584" s="237"/>
    </row>
    <row r="1585" spans="1:11" ht="30">
      <c r="A1585" s="24">
        <v>43130</v>
      </c>
      <c r="B1585" s="78" t="s">
        <v>605</v>
      </c>
      <c r="C1585" s="25" t="s">
        <v>12</v>
      </c>
      <c r="D1585" s="25" t="s">
        <v>45</v>
      </c>
      <c r="E1585" s="26">
        <v>0.05</v>
      </c>
      <c r="F1585" s="26">
        <f t="shared" ref="F1585:F1586" si="604">H1585</f>
        <v>17.8415</v>
      </c>
      <c r="G1585" s="26">
        <f t="shared" ref="G1585:G1586" si="605">ROUND(F1585*E1585,2)</f>
        <v>0.89</v>
      </c>
      <c r="H1585" s="375">
        <v>17.8415</v>
      </c>
      <c r="I1585" s="28" t="e">
        <f>IF(A1585&lt;&gt;0,VLOOKUP(A1585,#REF!,2,FALSE),"")</f>
        <v>#REF!</v>
      </c>
      <c r="K1585" s="237"/>
    </row>
    <row r="1586" spans="1:11" ht="60">
      <c r="A1586" s="24">
        <v>10935</v>
      </c>
      <c r="B1586" s="78" t="s">
        <v>606</v>
      </c>
      <c r="C1586" s="25" t="s">
        <v>12</v>
      </c>
      <c r="D1586" s="25" t="s">
        <v>26</v>
      </c>
      <c r="E1586" s="26">
        <v>1.05</v>
      </c>
      <c r="F1586" s="26">
        <f t="shared" si="604"/>
        <v>33.6175</v>
      </c>
      <c r="G1586" s="26">
        <f t="shared" si="605"/>
        <v>35.299999999999997</v>
      </c>
      <c r="H1586" s="375">
        <v>33.6175</v>
      </c>
      <c r="I1586" s="28" t="e">
        <f>IF(A1586&lt;&gt;0,VLOOKUP(A1586,#REF!,2,FALSE),"")</f>
        <v>#REF!</v>
      </c>
      <c r="K1586" s="237"/>
    </row>
    <row r="1587" spans="1:11" ht="30">
      <c r="A1587" s="24">
        <v>88309</v>
      </c>
      <c r="B1587" s="78" t="s">
        <v>390</v>
      </c>
      <c r="C1587" s="25" t="s">
        <v>12</v>
      </c>
      <c r="D1587" s="25" t="s">
        <v>19</v>
      </c>
      <c r="E1587" s="26">
        <v>0.4</v>
      </c>
      <c r="F1587" s="26">
        <f t="shared" ref="F1587:F1588" si="606">H1587</f>
        <v>15.121499999999999</v>
      </c>
      <c r="G1587" s="26">
        <f t="shared" ref="G1587:G1588" si="607">ROUND(F1587*E1587,2)</f>
        <v>6.05</v>
      </c>
      <c r="H1587" s="375">
        <v>15.121499999999999</v>
      </c>
      <c r="I1587" s="28" t="e">
        <f>IF(A1587&lt;&gt;0,VLOOKUP(A1587,#REF!,2,FALSE),"")</f>
        <v>#REF!</v>
      </c>
      <c r="K1587" s="237"/>
    </row>
    <row r="1588" spans="1:11" ht="30">
      <c r="A1588" s="24">
        <v>88316</v>
      </c>
      <c r="B1588" s="78" t="s">
        <v>377</v>
      </c>
      <c r="C1588" s="25" t="s">
        <v>12</v>
      </c>
      <c r="D1588" s="25" t="s">
        <v>19</v>
      </c>
      <c r="E1588" s="26">
        <v>0.4</v>
      </c>
      <c r="F1588" s="26">
        <f t="shared" si="606"/>
        <v>11.798000000000002</v>
      </c>
      <c r="G1588" s="26">
        <f t="shared" si="607"/>
        <v>4.72</v>
      </c>
      <c r="H1588" s="375">
        <v>11.798000000000002</v>
      </c>
      <c r="I1588" s="28" t="e">
        <f>IF(A1588&lt;&gt;0,VLOOKUP(A1588,#REF!,2,FALSE),"")</f>
        <v>#REF!</v>
      </c>
      <c r="K1588" s="237"/>
    </row>
    <row r="1589" spans="1:11" ht="15.75" customHeight="1">
      <c r="A1589" s="986" t="s">
        <v>1894</v>
      </c>
      <c r="B1589" s="986"/>
      <c r="C1589" s="986"/>
      <c r="D1589" s="986"/>
      <c r="E1589" s="986"/>
      <c r="F1589" s="986"/>
      <c r="G1589" s="79">
        <f>ROUND(SUM(G1585:G1588),2)</f>
        <v>46.96</v>
      </c>
      <c r="K1589" s="237"/>
    </row>
    <row r="1590" spans="1:11" ht="25.5" customHeight="1">
      <c r="A1590" s="80"/>
      <c r="B1590" s="80"/>
      <c r="C1590" s="965"/>
      <c r="D1590" s="966"/>
      <c r="E1590" s="80"/>
      <c r="F1590" s="80"/>
      <c r="G1590" s="80"/>
      <c r="K1590" s="237"/>
    </row>
    <row r="1591" spans="1:11" ht="15" customHeight="1">
      <c r="A1591" s="920" t="s">
        <v>3346</v>
      </c>
      <c r="B1591" s="921"/>
      <c r="C1591" s="921"/>
      <c r="D1591" s="921"/>
      <c r="E1591" s="922"/>
      <c r="F1591" s="77" t="s">
        <v>44</v>
      </c>
      <c r="G1591" s="95">
        <v>10754</v>
      </c>
      <c r="K1591" s="237"/>
    </row>
    <row r="1592" spans="1:11" ht="28.5">
      <c r="A1592" s="984" t="s">
        <v>366</v>
      </c>
      <c r="B1592" s="985"/>
      <c r="C1592" s="77" t="s">
        <v>3</v>
      </c>
      <c r="D1592" s="77" t="s">
        <v>4</v>
      </c>
      <c r="E1592" s="77" t="s">
        <v>1826</v>
      </c>
      <c r="F1592" s="77" t="s">
        <v>367</v>
      </c>
      <c r="G1592" s="77" t="s">
        <v>368</v>
      </c>
      <c r="K1592" s="237"/>
    </row>
    <row r="1593" spans="1:11" s="45" customFormat="1" ht="30">
      <c r="A1593" s="24">
        <v>11563</v>
      </c>
      <c r="B1593" s="78" t="s">
        <v>324</v>
      </c>
      <c r="C1593" s="25" t="s">
        <v>44</v>
      </c>
      <c r="D1593" s="25" t="s">
        <v>52</v>
      </c>
      <c r="E1593" s="26">
        <v>1.02</v>
      </c>
      <c r="F1593" s="26">
        <f t="shared" ref="F1593" si="608">H1593</f>
        <v>11.305</v>
      </c>
      <c r="G1593" s="26">
        <f t="shared" ref="G1593" si="609">ROUND(F1593*E1593,2)</f>
        <v>11.53</v>
      </c>
      <c r="H1593" s="364">
        <v>11.305</v>
      </c>
      <c r="I1593" s="45" t="e">
        <f>IF(A1593&lt;&gt;0,VLOOKUP(A1593,#REF!,2,FALSE),"")</f>
        <v>#REF!</v>
      </c>
      <c r="J1593" s="364"/>
      <c r="K1593" s="237"/>
    </row>
    <row r="1594" spans="1:11" ht="30">
      <c r="A1594" s="24">
        <v>88264</v>
      </c>
      <c r="B1594" s="78" t="s">
        <v>379</v>
      </c>
      <c r="C1594" s="25" t="s">
        <v>12</v>
      </c>
      <c r="D1594" s="25" t="s">
        <v>19</v>
      </c>
      <c r="E1594" s="26">
        <v>0.15</v>
      </c>
      <c r="F1594" s="26">
        <f t="shared" ref="F1594:F1595" si="610">H1594</f>
        <v>15.249000000000001</v>
      </c>
      <c r="G1594" s="26">
        <f t="shared" ref="G1594:G1595" si="611">ROUND(F1594*E1594,2)</f>
        <v>2.29</v>
      </c>
      <c r="H1594" s="375">
        <v>15.249000000000001</v>
      </c>
      <c r="I1594" s="28" t="e">
        <f>IF(A1594&lt;&gt;0,VLOOKUP(A1594,#REF!,2,FALSE),"")</f>
        <v>#REF!</v>
      </c>
      <c r="K1594" s="237"/>
    </row>
    <row r="1595" spans="1:11" ht="30">
      <c r="A1595" s="24">
        <v>88316</v>
      </c>
      <c r="B1595" s="78" t="s">
        <v>377</v>
      </c>
      <c r="C1595" s="25" t="s">
        <v>12</v>
      </c>
      <c r="D1595" s="25" t="s">
        <v>19</v>
      </c>
      <c r="E1595" s="26">
        <v>0.15</v>
      </c>
      <c r="F1595" s="26">
        <f t="shared" si="610"/>
        <v>11.798000000000002</v>
      </c>
      <c r="G1595" s="26">
        <f t="shared" si="611"/>
        <v>1.77</v>
      </c>
      <c r="H1595" s="375">
        <v>11.798000000000002</v>
      </c>
      <c r="I1595" s="28" t="e">
        <f>IF(A1595&lt;&gt;0,VLOOKUP(A1595,#REF!,2,FALSE),"")</f>
        <v>#REF!</v>
      </c>
      <c r="K1595" s="237"/>
    </row>
    <row r="1596" spans="1:11" ht="18.75" customHeight="1">
      <c r="A1596" s="1017" t="s">
        <v>1894</v>
      </c>
      <c r="B1596" s="1017"/>
      <c r="C1596" s="1017"/>
      <c r="D1596" s="1017"/>
      <c r="E1596" s="1017"/>
      <c r="F1596" s="1017"/>
      <c r="G1596" s="96">
        <f>ROUND(SUM(G1593:G1595),2)</f>
        <v>15.59</v>
      </c>
      <c r="K1596" s="237"/>
    </row>
    <row r="1597" spans="1:11" ht="25.5" customHeight="1">
      <c r="A1597" s="80"/>
      <c r="B1597" s="80"/>
      <c r="C1597" s="965"/>
      <c r="D1597" s="966"/>
      <c r="E1597" s="80"/>
      <c r="F1597" s="80"/>
      <c r="G1597" s="80"/>
      <c r="K1597" s="237"/>
    </row>
    <row r="1598" spans="1:11" ht="15" customHeight="1">
      <c r="A1598" s="920" t="s">
        <v>2670</v>
      </c>
      <c r="B1598" s="921"/>
      <c r="C1598" s="921"/>
      <c r="D1598" s="921"/>
      <c r="E1598" s="922"/>
      <c r="F1598" s="77" t="s">
        <v>1915</v>
      </c>
      <c r="G1598" s="88"/>
      <c r="K1598" s="237"/>
    </row>
    <row r="1599" spans="1:11" ht="28.5">
      <c r="A1599" s="984" t="s">
        <v>364</v>
      </c>
      <c r="B1599" s="985"/>
      <c r="C1599" s="77" t="s">
        <v>3</v>
      </c>
      <c r="D1599" s="77" t="s">
        <v>4</v>
      </c>
      <c r="E1599" s="77" t="s">
        <v>1826</v>
      </c>
      <c r="F1599" s="77" t="s">
        <v>367</v>
      </c>
      <c r="G1599" s="77" t="s">
        <v>368</v>
      </c>
      <c r="K1599" s="237"/>
    </row>
    <row r="1600" spans="1:11" s="45" customFormat="1">
      <c r="A1600" s="24">
        <v>12180</v>
      </c>
      <c r="B1600" s="78" t="s">
        <v>2364</v>
      </c>
      <c r="C1600" s="25" t="s">
        <v>44</v>
      </c>
      <c r="D1600" s="25" t="s">
        <v>52</v>
      </c>
      <c r="E1600" s="26">
        <v>5</v>
      </c>
      <c r="F1600" s="26">
        <f t="shared" ref="F1600" si="612">H1600</f>
        <v>14.764500000000002</v>
      </c>
      <c r="G1600" s="26">
        <f t="shared" ref="G1600" si="613">ROUND(F1600*E1600,2)</f>
        <v>73.819999999999993</v>
      </c>
      <c r="H1600" s="364">
        <v>14.764500000000002</v>
      </c>
      <c r="I1600" s="45" t="e">
        <f>IF(A1600&lt;&gt;0,VLOOKUP(A1600,#REF!,2,FALSE),"")</f>
        <v>#REF!</v>
      </c>
      <c r="J1600" s="364"/>
      <c r="K1600" s="237"/>
    </row>
    <row r="1601" spans="1:11" ht="30">
      <c r="A1601" s="24">
        <v>88264</v>
      </c>
      <c r="B1601" s="78" t="s">
        <v>379</v>
      </c>
      <c r="C1601" s="25" t="s">
        <v>12</v>
      </c>
      <c r="D1601" s="25" t="s">
        <v>19</v>
      </c>
      <c r="E1601" s="26">
        <v>1</v>
      </c>
      <c r="F1601" s="26">
        <f t="shared" ref="F1601" si="614">H1601</f>
        <v>15.249000000000001</v>
      </c>
      <c r="G1601" s="26">
        <f t="shared" ref="G1601" si="615">ROUND(F1601*E1601,2)</f>
        <v>15.25</v>
      </c>
      <c r="H1601" s="375">
        <v>15.249000000000001</v>
      </c>
      <c r="I1601" s="28" t="e">
        <f>IF(A1601&lt;&gt;0,VLOOKUP(A1601,#REF!,2,FALSE),"")</f>
        <v>#REF!</v>
      </c>
      <c r="K1601" s="237"/>
    </row>
    <row r="1602" spans="1:11" ht="15" customHeight="1">
      <c r="A1602" s="986" t="s">
        <v>1894</v>
      </c>
      <c r="B1602" s="986"/>
      <c r="C1602" s="986"/>
      <c r="D1602" s="986"/>
      <c r="E1602" s="986"/>
      <c r="F1602" s="986"/>
      <c r="G1602" s="79">
        <f>ROUND(SUM(G1600:G1601),2)</f>
        <v>89.07</v>
      </c>
      <c r="K1602" s="237"/>
    </row>
    <row r="1603" spans="1:11" ht="21" customHeight="1">
      <c r="A1603" s="53"/>
      <c r="B1603" s="53"/>
      <c r="C1603" s="53"/>
      <c r="D1603" s="53"/>
      <c r="E1603" s="53"/>
      <c r="F1603" s="53"/>
      <c r="G1603" s="54"/>
      <c r="K1603" s="237"/>
    </row>
    <row r="1604" spans="1:11" ht="41.25" customHeight="1">
      <c r="A1604" s="920" t="s">
        <v>3070</v>
      </c>
      <c r="B1604" s="921"/>
      <c r="C1604" s="921"/>
      <c r="D1604" s="921"/>
      <c r="E1604" s="922"/>
      <c r="F1604" s="77" t="s">
        <v>3049</v>
      </c>
      <c r="G1604" s="88" t="s">
        <v>3357</v>
      </c>
      <c r="K1604" s="237"/>
    </row>
    <row r="1605" spans="1:11" ht="28.5">
      <c r="A1605" s="984" t="s">
        <v>366</v>
      </c>
      <c r="B1605" s="985"/>
      <c r="C1605" s="77" t="s">
        <v>3</v>
      </c>
      <c r="D1605" s="77" t="s">
        <v>4</v>
      </c>
      <c r="E1605" s="77" t="s">
        <v>1826</v>
      </c>
      <c r="F1605" s="77" t="s">
        <v>367</v>
      </c>
      <c r="G1605" s="77" t="s">
        <v>368</v>
      </c>
      <c r="K1605" s="237"/>
    </row>
    <row r="1606" spans="1:11" ht="30">
      <c r="A1606" s="172" t="s">
        <v>3354</v>
      </c>
      <c r="B1606" s="261" t="s">
        <v>3352</v>
      </c>
      <c r="C1606" s="262" t="s">
        <v>3049</v>
      </c>
      <c r="D1606" s="262" t="s">
        <v>17</v>
      </c>
      <c r="E1606" s="260">
        <v>1</v>
      </c>
      <c r="F1606" s="260">
        <f t="shared" ref="F1606" si="616">H1606</f>
        <v>41140.467499999999</v>
      </c>
      <c r="G1606" s="260">
        <f t="shared" ref="G1606" si="617">ROUND(F1606*E1606,2)</f>
        <v>41140.47</v>
      </c>
      <c r="H1606" s="375">
        <v>41140.467499999999</v>
      </c>
      <c r="K1606" s="237"/>
    </row>
    <row r="1607" spans="1:11" ht="30">
      <c r="A1607" s="172" t="s">
        <v>3359</v>
      </c>
      <c r="B1607" s="261" t="s">
        <v>3358</v>
      </c>
      <c r="C1607" s="262" t="s">
        <v>3049</v>
      </c>
      <c r="D1607" s="262" t="s">
        <v>17</v>
      </c>
      <c r="E1607" s="260">
        <v>1</v>
      </c>
      <c r="F1607" s="260">
        <f t="shared" ref="F1607" si="618">H1607</f>
        <v>45846.399000000005</v>
      </c>
      <c r="G1607" s="260">
        <f t="shared" ref="G1607" si="619">ROUND(F1607*E1607,2)</f>
        <v>45846.400000000001</v>
      </c>
      <c r="H1607" s="375">
        <v>45846.399000000005</v>
      </c>
      <c r="K1607" s="237"/>
    </row>
    <row r="1608" spans="1:11" ht="15" customHeight="1">
      <c r="A1608" s="986" t="s">
        <v>1894</v>
      </c>
      <c r="B1608" s="986"/>
      <c r="C1608" s="986"/>
      <c r="D1608" s="986"/>
      <c r="E1608" s="986"/>
      <c r="F1608" s="986"/>
      <c r="G1608" s="79">
        <f>ROUND(SUM(G1606:G1607),2)</f>
        <v>86986.87</v>
      </c>
      <c r="K1608" s="237"/>
    </row>
    <row r="1609" spans="1:11" ht="29.25" customHeight="1">
      <c r="A1609" s="80"/>
      <c r="B1609" s="80"/>
      <c r="C1609" s="965"/>
      <c r="D1609" s="966"/>
      <c r="E1609" s="80"/>
      <c r="F1609" s="80"/>
      <c r="G1609" s="80"/>
      <c r="K1609" s="237"/>
    </row>
    <row r="1610" spans="1:11" ht="39" customHeight="1">
      <c r="A1610" s="920" t="s">
        <v>3071</v>
      </c>
      <c r="B1610" s="921"/>
      <c r="C1610" s="921"/>
      <c r="D1610" s="921"/>
      <c r="E1610" s="922"/>
      <c r="F1610" s="77" t="s">
        <v>3049</v>
      </c>
      <c r="G1610" s="88" t="s">
        <v>3362</v>
      </c>
      <c r="K1610" s="237"/>
    </row>
    <row r="1611" spans="1:11" ht="28.5">
      <c r="A1611" s="984" t="s">
        <v>366</v>
      </c>
      <c r="B1611" s="985"/>
      <c r="C1611" s="77" t="s">
        <v>3</v>
      </c>
      <c r="D1611" s="77" t="s">
        <v>4</v>
      </c>
      <c r="E1611" s="77" t="s">
        <v>1826</v>
      </c>
      <c r="F1611" s="77" t="s">
        <v>367</v>
      </c>
      <c r="G1611" s="77" t="s">
        <v>368</v>
      </c>
      <c r="K1611" s="237"/>
    </row>
    <row r="1612" spans="1:11" ht="30">
      <c r="A1612" s="172" t="s">
        <v>3361</v>
      </c>
      <c r="B1612" s="261" t="s">
        <v>3360</v>
      </c>
      <c r="C1612" s="262" t="s">
        <v>3049</v>
      </c>
      <c r="D1612" s="262" t="s">
        <v>17</v>
      </c>
      <c r="E1612" s="260">
        <v>1</v>
      </c>
      <c r="F1612" s="260">
        <f t="shared" ref="F1612" si="620">H1612</f>
        <v>30802.495500000005</v>
      </c>
      <c r="G1612" s="260">
        <f t="shared" ref="G1612" si="621">ROUND(F1612*E1612,2)</f>
        <v>30802.5</v>
      </c>
      <c r="H1612" s="375">
        <v>30802.495500000005</v>
      </c>
      <c r="K1612" s="237"/>
    </row>
    <row r="1613" spans="1:11" ht="30">
      <c r="A1613" s="172" t="s">
        <v>3359</v>
      </c>
      <c r="B1613" s="261" t="s">
        <v>3358</v>
      </c>
      <c r="C1613" s="262" t="s">
        <v>3049</v>
      </c>
      <c r="D1613" s="262" t="s">
        <v>17</v>
      </c>
      <c r="E1613" s="260">
        <v>2</v>
      </c>
      <c r="F1613" s="260">
        <f t="shared" ref="F1613" si="622">H1613</f>
        <v>45846.399000000005</v>
      </c>
      <c r="G1613" s="260">
        <f t="shared" ref="G1613" si="623">ROUND(F1613*E1613,2)</f>
        <v>91692.800000000003</v>
      </c>
      <c r="H1613" s="375">
        <v>45846.399000000005</v>
      </c>
      <c r="K1613" s="237"/>
    </row>
    <row r="1614" spans="1:11" ht="15" customHeight="1">
      <c r="A1614" s="986" t="s">
        <v>1894</v>
      </c>
      <c r="B1614" s="986"/>
      <c r="C1614" s="986"/>
      <c r="D1614" s="986"/>
      <c r="E1614" s="986"/>
      <c r="F1614" s="986"/>
      <c r="G1614" s="79">
        <f>ROUND(SUM(G1612:G1613),2)</f>
        <v>122495.3</v>
      </c>
      <c r="K1614" s="237"/>
    </row>
    <row r="1615" spans="1:11" ht="27" customHeight="1">
      <c r="A1615" s="80"/>
      <c r="B1615" s="80"/>
      <c r="C1615" s="965"/>
      <c r="D1615" s="966"/>
      <c r="E1615" s="80"/>
      <c r="F1615" s="80"/>
      <c r="G1615" s="80"/>
      <c r="K1615" s="237"/>
    </row>
    <row r="1616" spans="1:11" ht="36" customHeight="1">
      <c r="A1616" s="920" t="s">
        <v>3072</v>
      </c>
      <c r="B1616" s="921"/>
      <c r="C1616" s="921"/>
      <c r="D1616" s="921"/>
      <c r="E1616" s="921"/>
      <c r="F1616" s="77" t="s">
        <v>3049</v>
      </c>
      <c r="G1616" s="88" t="s">
        <v>3363</v>
      </c>
      <c r="K1616" s="237"/>
    </row>
    <row r="1617" spans="1:11" ht="28.5">
      <c r="A1617" s="984" t="s">
        <v>366</v>
      </c>
      <c r="B1617" s="985"/>
      <c r="C1617" s="77" t="s">
        <v>3</v>
      </c>
      <c r="D1617" s="77" t="s">
        <v>4</v>
      </c>
      <c r="E1617" s="77" t="s">
        <v>1826</v>
      </c>
      <c r="F1617" s="77" t="s">
        <v>367</v>
      </c>
      <c r="G1617" s="77" t="s">
        <v>368</v>
      </c>
      <c r="K1617" s="237"/>
    </row>
    <row r="1618" spans="1:11" ht="30">
      <c r="A1618" s="172" t="s">
        <v>3356</v>
      </c>
      <c r="B1618" s="261" t="s">
        <v>3355</v>
      </c>
      <c r="C1618" s="262" t="s">
        <v>3049</v>
      </c>
      <c r="D1618" s="262" t="s">
        <v>17</v>
      </c>
      <c r="E1618" s="260">
        <v>1</v>
      </c>
      <c r="F1618" s="260">
        <f t="shared" ref="F1618" si="624">H1618</f>
        <v>35606.304499999998</v>
      </c>
      <c r="G1618" s="260">
        <f t="shared" ref="G1618" si="625">ROUND(F1618*E1618,2)</f>
        <v>35606.300000000003</v>
      </c>
      <c r="H1618" s="375">
        <v>35606.304499999998</v>
      </c>
      <c r="K1618" s="237"/>
    </row>
    <row r="1619" spans="1:11" ht="30">
      <c r="A1619" s="172" t="s">
        <v>3359</v>
      </c>
      <c r="B1619" s="261" t="s">
        <v>3358</v>
      </c>
      <c r="C1619" s="262" t="s">
        <v>3049</v>
      </c>
      <c r="D1619" s="262" t="s">
        <v>17</v>
      </c>
      <c r="E1619" s="260">
        <v>2</v>
      </c>
      <c r="F1619" s="260">
        <f t="shared" ref="F1619" si="626">H1619</f>
        <v>45846.399000000005</v>
      </c>
      <c r="G1619" s="260">
        <f t="shared" ref="G1619" si="627">ROUND(F1619*E1619,2)</f>
        <v>91692.800000000003</v>
      </c>
      <c r="H1619" s="375">
        <v>45846.399000000005</v>
      </c>
      <c r="K1619" s="237"/>
    </row>
    <row r="1620" spans="1:11" ht="15" customHeight="1">
      <c r="A1620" s="986" t="s">
        <v>1894</v>
      </c>
      <c r="B1620" s="986"/>
      <c r="C1620" s="986"/>
      <c r="D1620" s="986"/>
      <c r="E1620" s="986"/>
      <c r="F1620" s="986"/>
      <c r="G1620" s="79">
        <f>ROUND(SUM(G1618:G1619),2)</f>
        <v>127299.1</v>
      </c>
      <c r="K1620" s="237"/>
    </row>
    <row r="1621" spans="1:11" ht="23.25" customHeight="1">
      <c r="A1621" s="80"/>
      <c r="B1621" s="80"/>
      <c r="C1621" s="965"/>
      <c r="D1621" s="966"/>
      <c r="E1621" s="80"/>
      <c r="F1621" s="80"/>
      <c r="G1621" s="80"/>
      <c r="K1621" s="237"/>
    </row>
    <row r="1622" spans="1:11" ht="40.5" customHeight="1">
      <c r="A1622" s="920" t="s">
        <v>3073</v>
      </c>
      <c r="B1622" s="921"/>
      <c r="C1622" s="921"/>
      <c r="D1622" s="921"/>
      <c r="E1622" s="922"/>
      <c r="F1622" s="77" t="s">
        <v>3049</v>
      </c>
      <c r="G1622" s="88" t="s">
        <v>3364</v>
      </c>
      <c r="K1622" s="237"/>
    </row>
    <row r="1623" spans="1:11" ht="28.5">
      <c r="A1623" s="984" t="s">
        <v>366</v>
      </c>
      <c r="B1623" s="985"/>
      <c r="C1623" s="77" t="s">
        <v>3</v>
      </c>
      <c r="D1623" s="77" t="s">
        <v>4</v>
      </c>
      <c r="E1623" s="77" t="s">
        <v>1826</v>
      </c>
      <c r="F1623" s="77" t="s">
        <v>367</v>
      </c>
      <c r="G1623" s="77" t="s">
        <v>368</v>
      </c>
      <c r="K1623" s="237"/>
    </row>
    <row r="1624" spans="1:11" ht="30">
      <c r="A1624" s="172" t="s">
        <v>3354</v>
      </c>
      <c r="B1624" s="261" t="s">
        <v>3352</v>
      </c>
      <c r="C1624" s="262" t="s">
        <v>3049</v>
      </c>
      <c r="D1624" s="262" t="s">
        <v>17</v>
      </c>
      <c r="E1624" s="260">
        <v>1</v>
      </c>
      <c r="F1624" s="260">
        <f t="shared" ref="F1624" si="628">H1624</f>
        <v>41140.467499999999</v>
      </c>
      <c r="G1624" s="260">
        <f t="shared" ref="G1624" si="629">ROUND(F1624*E1624,2)</f>
        <v>41140.47</v>
      </c>
      <c r="H1624" s="375">
        <v>41140.467499999999</v>
      </c>
      <c r="K1624" s="237"/>
    </row>
    <row r="1625" spans="1:11" ht="30">
      <c r="A1625" s="172" t="s">
        <v>3359</v>
      </c>
      <c r="B1625" s="261" t="s">
        <v>3358</v>
      </c>
      <c r="C1625" s="262" t="s">
        <v>3049</v>
      </c>
      <c r="D1625" s="262" t="s">
        <v>17</v>
      </c>
      <c r="E1625" s="260">
        <v>2</v>
      </c>
      <c r="F1625" s="260">
        <f t="shared" ref="F1625" si="630">H1625</f>
        <v>45846.399000000005</v>
      </c>
      <c r="G1625" s="260">
        <f t="shared" ref="G1625" si="631">ROUND(F1625*E1625,2)</f>
        <v>91692.800000000003</v>
      </c>
      <c r="H1625" s="375">
        <v>45846.399000000005</v>
      </c>
      <c r="K1625" s="237"/>
    </row>
    <row r="1626" spans="1:11" ht="15" customHeight="1">
      <c r="A1626" s="986" t="s">
        <v>1894</v>
      </c>
      <c r="B1626" s="986"/>
      <c r="C1626" s="986"/>
      <c r="D1626" s="986"/>
      <c r="E1626" s="986"/>
      <c r="F1626" s="986"/>
      <c r="G1626" s="79">
        <f>ROUND(SUM(G1624:G1625),2)</f>
        <v>132833.26999999999</v>
      </c>
      <c r="K1626" s="237"/>
    </row>
    <row r="1627" spans="1:11" ht="27.75" customHeight="1">
      <c r="A1627" s="80"/>
      <c r="B1627" s="80"/>
      <c r="C1627" s="965"/>
      <c r="D1627" s="966"/>
      <c r="E1627" s="80"/>
      <c r="F1627" s="80"/>
      <c r="G1627" s="80"/>
      <c r="K1627" s="237"/>
    </row>
    <row r="1628" spans="1:11" ht="30" customHeight="1">
      <c r="A1628" s="920" t="s">
        <v>3366</v>
      </c>
      <c r="B1628" s="921"/>
      <c r="C1628" s="921"/>
      <c r="D1628" s="921"/>
      <c r="E1628" s="922"/>
      <c r="F1628" s="77" t="s">
        <v>3049</v>
      </c>
      <c r="G1628" s="344" t="s">
        <v>3336</v>
      </c>
      <c r="K1628" s="237"/>
    </row>
    <row r="1629" spans="1:11" ht="28.5">
      <c r="A1629" s="984" t="s">
        <v>366</v>
      </c>
      <c r="B1629" s="985"/>
      <c r="C1629" s="77" t="s">
        <v>3</v>
      </c>
      <c r="D1629" s="77" t="s">
        <v>4</v>
      </c>
      <c r="E1629" s="77" t="s">
        <v>1826</v>
      </c>
      <c r="F1629" s="77" t="s">
        <v>367</v>
      </c>
      <c r="G1629" s="77" t="s">
        <v>368</v>
      </c>
      <c r="K1629" s="237"/>
    </row>
    <row r="1630" spans="1:11" ht="30">
      <c r="A1630" s="24" t="s">
        <v>3339</v>
      </c>
      <c r="B1630" s="78" t="s">
        <v>2526</v>
      </c>
      <c r="C1630" s="25" t="s">
        <v>3049</v>
      </c>
      <c r="D1630" s="25" t="s">
        <v>17</v>
      </c>
      <c r="E1630" s="26">
        <v>1</v>
      </c>
      <c r="F1630" s="26">
        <f t="shared" ref="F1630" si="632">H1630</f>
        <v>3875.3539999999998</v>
      </c>
      <c r="G1630" s="26">
        <f t="shared" ref="G1630" si="633">ROUND(F1630*E1630,2)</f>
        <v>3875.35</v>
      </c>
      <c r="H1630" s="375">
        <v>3875.3539999999998</v>
      </c>
      <c r="K1630" s="237"/>
    </row>
    <row r="1631" spans="1:11" ht="15" customHeight="1">
      <c r="A1631" s="986" t="s">
        <v>1894</v>
      </c>
      <c r="B1631" s="986"/>
      <c r="C1631" s="986"/>
      <c r="D1631" s="986"/>
      <c r="E1631" s="986"/>
      <c r="F1631" s="986"/>
      <c r="G1631" s="79">
        <f>ROUND(SUM(G1630:G1630),2)</f>
        <v>3875.35</v>
      </c>
      <c r="K1631" s="237"/>
    </row>
    <row r="1632" spans="1:11" ht="30.75" customHeight="1">
      <c r="A1632" s="80"/>
      <c r="B1632" s="80"/>
      <c r="C1632" s="965"/>
      <c r="D1632" s="966"/>
      <c r="E1632" s="80"/>
      <c r="F1632" s="80"/>
      <c r="G1632" s="80"/>
      <c r="K1632" s="237"/>
    </row>
    <row r="1633" spans="1:11" ht="35.25" customHeight="1">
      <c r="A1633" s="920" t="s">
        <v>3367</v>
      </c>
      <c r="B1633" s="921"/>
      <c r="C1633" s="921"/>
      <c r="D1633" s="921"/>
      <c r="E1633" s="922"/>
      <c r="F1633" s="77" t="s">
        <v>3049</v>
      </c>
      <c r="G1633" s="344" t="s">
        <v>3335</v>
      </c>
      <c r="K1633" s="237"/>
    </row>
    <row r="1634" spans="1:11" ht="28.5">
      <c r="A1634" s="984" t="s">
        <v>366</v>
      </c>
      <c r="B1634" s="985"/>
      <c r="C1634" s="77" t="s">
        <v>3</v>
      </c>
      <c r="D1634" s="77" t="s">
        <v>4</v>
      </c>
      <c r="E1634" s="77" t="s">
        <v>1826</v>
      </c>
      <c r="F1634" s="77" t="s">
        <v>367</v>
      </c>
      <c r="G1634" s="77" t="s">
        <v>368</v>
      </c>
      <c r="K1634" s="237"/>
    </row>
    <row r="1635" spans="1:11" ht="30">
      <c r="A1635" s="24" t="s">
        <v>3338</v>
      </c>
      <c r="B1635" s="78" t="s">
        <v>2621</v>
      </c>
      <c r="C1635" s="25" t="s">
        <v>3049</v>
      </c>
      <c r="D1635" s="25" t="s">
        <v>17</v>
      </c>
      <c r="E1635" s="26">
        <v>1</v>
      </c>
      <c r="F1635" s="26">
        <f t="shared" ref="F1635" si="634">H1635</f>
        <v>3752.2655000000004</v>
      </c>
      <c r="G1635" s="26">
        <f t="shared" ref="G1635" si="635">ROUND(F1635*E1635,2)</f>
        <v>3752.27</v>
      </c>
      <c r="H1635" s="375">
        <v>3752.2655000000004</v>
      </c>
      <c r="K1635" s="237"/>
    </row>
    <row r="1636" spans="1:11" ht="15" customHeight="1">
      <c r="A1636" s="986" t="s">
        <v>1894</v>
      </c>
      <c r="B1636" s="986"/>
      <c r="C1636" s="986"/>
      <c r="D1636" s="986"/>
      <c r="E1636" s="986"/>
      <c r="F1636" s="986"/>
      <c r="G1636" s="79">
        <f>ROUND(SUM(G1635:G1635),2)</f>
        <v>3752.27</v>
      </c>
      <c r="K1636" s="237"/>
    </row>
    <row r="1637" spans="1:11" ht="27" customHeight="1">
      <c r="A1637" s="80"/>
      <c r="B1637" s="80"/>
      <c r="C1637" s="965"/>
      <c r="D1637" s="966"/>
      <c r="E1637" s="80"/>
      <c r="F1637" s="80"/>
      <c r="G1637" s="80"/>
      <c r="K1637" s="237"/>
    </row>
    <row r="1638" spans="1:11" ht="30.75" customHeight="1">
      <c r="A1638" s="920" t="s">
        <v>3450</v>
      </c>
      <c r="B1638" s="921"/>
      <c r="C1638" s="921"/>
      <c r="D1638" s="921"/>
      <c r="E1638" s="921"/>
      <c r="F1638" s="77" t="s">
        <v>3049</v>
      </c>
      <c r="G1638" s="344" t="s">
        <v>3334</v>
      </c>
      <c r="K1638" s="237"/>
    </row>
    <row r="1639" spans="1:11" ht="28.5">
      <c r="A1639" s="984" t="s">
        <v>366</v>
      </c>
      <c r="B1639" s="985"/>
      <c r="C1639" s="77" t="s">
        <v>3</v>
      </c>
      <c r="D1639" s="77" t="s">
        <v>4</v>
      </c>
      <c r="E1639" s="77" t="s">
        <v>1826</v>
      </c>
      <c r="F1639" s="77" t="s">
        <v>367</v>
      </c>
      <c r="G1639" s="77" t="s">
        <v>368</v>
      </c>
      <c r="K1639" s="237"/>
    </row>
    <row r="1640" spans="1:11" ht="30">
      <c r="A1640" s="24" t="s">
        <v>3337</v>
      </c>
      <c r="B1640" s="78" t="s">
        <v>3451</v>
      </c>
      <c r="C1640" s="25" t="s">
        <v>3049</v>
      </c>
      <c r="D1640" s="25" t="s">
        <v>17</v>
      </c>
      <c r="E1640" s="26">
        <v>1</v>
      </c>
      <c r="F1640" s="26">
        <f t="shared" ref="F1640" si="636">H1640</f>
        <v>3457.069</v>
      </c>
      <c r="G1640" s="26">
        <f t="shared" ref="G1640" si="637">ROUND(F1640*E1640,2)</f>
        <v>3457.07</v>
      </c>
      <c r="H1640" s="375">
        <v>3457.069</v>
      </c>
      <c r="K1640" s="237"/>
    </row>
    <row r="1641" spans="1:11" ht="15" customHeight="1">
      <c r="A1641" s="986" t="s">
        <v>1894</v>
      </c>
      <c r="B1641" s="986"/>
      <c r="C1641" s="986"/>
      <c r="D1641" s="986"/>
      <c r="E1641" s="986"/>
      <c r="F1641" s="986"/>
      <c r="G1641" s="79">
        <f>ROUND(SUM(G1640:G1640),2)</f>
        <v>3457.07</v>
      </c>
      <c r="K1641" s="237"/>
    </row>
    <row r="1642" spans="1:11" ht="24" customHeight="1">
      <c r="A1642" s="80"/>
      <c r="B1642" s="80"/>
      <c r="C1642" s="965"/>
      <c r="D1642" s="966"/>
      <c r="E1642" s="80"/>
      <c r="F1642" s="80"/>
      <c r="G1642" s="80"/>
      <c r="K1642" s="237"/>
    </row>
    <row r="1643" spans="1:11" ht="28.5" customHeight="1">
      <c r="A1643" s="920" t="s">
        <v>3368</v>
      </c>
      <c r="B1643" s="921"/>
      <c r="C1643" s="921"/>
      <c r="D1643" s="921"/>
      <c r="E1643" s="922"/>
      <c r="F1643" s="77" t="s">
        <v>3049</v>
      </c>
      <c r="G1643" s="344" t="s">
        <v>3340</v>
      </c>
      <c r="K1643" s="237"/>
    </row>
    <row r="1644" spans="1:11" ht="28.5">
      <c r="A1644" s="984" t="s">
        <v>366</v>
      </c>
      <c r="B1644" s="985"/>
      <c r="C1644" s="77" t="s">
        <v>3</v>
      </c>
      <c r="D1644" s="77" t="s">
        <v>4</v>
      </c>
      <c r="E1644" s="77" t="s">
        <v>1826</v>
      </c>
      <c r="F1644" s="77" t="s">
        <v>367</v>
      </c>
      <c r="G1644" s="77" t="s">
        <v>368</v>
      </c>
      <c r="K1644" s="237"/>
    </row>
    <row r="1645" spans="1:11" ht="30">
      <c r="A1645" s="24" t="s">
        <v>3341</v>
      </c>
      <c r="B1645" s="276" t="s">
        <v>2622</v>
      </c>
      <c r="C1645" s="25" t="s">
        <v>3049</v>
      </c>
      <c r="D1645" s="25" t="s">
        <v>17</v>
      </c>
      <c r="E1645" s="26">
        <v>1</v>
      </c>
      <c r="F1645" s="26">
        <f t="shared" ref="F1645" si="638">H1645</f>
        <v>3796.3975000000005</v>
      </c>
      <c r="G1645" s="26">
        <f t="shared" ref="G1645" si="639">ROUND(F1645*E1645,2)</f>
        <v>3796.4</v>
      </c>
      <c r="H1645" s="375">
        <v>3796.3975000000005</v>
      </c>
      <c r="K1645" s="237"/>
    </row>
    <row r="1646" spans="1:11" ht="15" customHeight="1">
      <c r="A1646" s="986" t="s">
        <v>1894</v>
      </c>
      <c r="B1646" s="986"/>
      <c r="C1646" s="986"/>
      <c r="D1646" s="986"/>
      <c r="E1646" s="986"/>
      <c r="F1646" s="986"/>
      <c r="G1646" s="79">
        <f>ROUND(SUM(G1645:G1645),2)</f>
        <v>3796.4</v>
      </c>
      <c r="K1646" s="237"/>
    </row>
    <row r="1647" spans="1:11" ht="24.75" customHeight="1">
      <c r="A1647" s="80"/>
      <c r="B1647" s="80"/>
      <c r="C1647" s="965"/>
      <c r="D1647" s="966"/>
      <c r="E1647" s="80"/>
      <c r="F1647" s="80"/>
      <c r="G1647" s="80"/>
      <c r="K1647" s="237"/>
    </row>
    <row r="1648" spans="1:11" ht="29.25" customHeight="1">
      <c r="A1648" s="920" t="s">
        <v>3327</v>
      </c>
      <c r="B1648" s="921"/>
      <c r="C1648" s="921"/>
      <c r="D1648" s="921"/>
      <c r="E1648" s="921"/>
      <c r="F1648" s="77" t="s">
        <v>3049</v>
      </c>
      <c r="G1648" s="344" t="s">
        <v>3330</v>
      </c>
      <c r="K1648" s="237"/>
    </row>
    <row r="1649" spans="1:11" ht="28.5">
      <c r="A1649" s="920" t="s">
        <v>366</v>
      </c>
      <c r="B1649" s="959"/>
      <c r="C1649" s="77" t="s">
        <v>3</v>
      </c>
      <c r="D1649" s="77" t="s">
        <v>4</v>
      </c>
      <c r="E1649" s="77" t="s">
        <v>1826</v>
      </c>
      <c r="F1649" s="77" t="s">
        <v>367</v>
      </c>
      <c r="G1649" s="77" t="s">
        <v>368</v>
      </c>
      <c r="K1649" s="237"/>
    </row>
    <row r="1650" spans="1:11" ht="35.25" customHeight="1">
      <c r="A1650" s="24" t="s">
        <v>3332</v>
      </c>
      <c r="B1650" s="98" t="s">
        <v>3329</v>
      </c>
      <c r="C1650" s="25" t="s">
        <v>3049</v>
      </c>
      <c r="D1650" s="25" t="s">
        <v>17</v>
      </c>
      <c r="E1650" s="26">
        <v>1</v>
      </c>
      <c r="F1650" s="26">
        <f t="shared" ref="F1650" si="640">H1650</f>
        <v>3828.9184999999998</v>
      </c>
      <c r="G1650" s="26">
        <f t="shared" ref="G1650" si="641">ROUND(F1650*E1650,2)</f>
        <v>3828.92</v>
      </c>
      <c r="H1650" s="375">
        <v>3828.9184999999998</v>
      </c>
      <c r="K1650" s="237"/>
    </row>
    <row r="1651" spans="1:11" ht="15" customHeight="1">
      <c r="A1651" s="986" t="s">
        <v>1894</v>
      </c>
      <c r="B1651" s="986"/>
      <c r="C1651" s="986"/>
      <c r="D1651" s="986"/>
      <c r="E1651" s="986"/>
      <c r="F1651" s="986"/>
      <c r="G1651" s="79">
        <f>ROUND(SUM(G1650:G1650),2)</f>
        <v>3828.92</v>
      </c>
      <c r="K1651" s="237"/>
    </row>
    <row r="1652" spans="1:11" ht="22.5" customHeight="1">
      <c r="A1652" s="80"/>
      <c r="B1652" s="80"/>
      <c r="C1652" s="965"/>
      <c r="D1652" s="966"/>
      <c r="E1652" s="80"/>
      <c r="F1652" s="80"/>
      <c r="G1652" s="80"/>
      <c r="K1652" s="237"/>
    </row>
    <row r="1653" spans="1:11" ht="33" customHeight="1">
      <c r="A1653" s="920" t="s">
        <v>3328</v>
      </c>
      <c r="B1653" s="921"/>
      <c r="C1653" s="921"/>
      <c r="D1653" s="921"/>
      <c r="E1653" s="922"/>
      <c r="F1653" s="77" t="s">
        <v>3049</v>
      </c>
      <c r="G1653" s="344" t="s">
        <v>3331</v>
      </c>
      <c r="K1653" s="237"/>
    </row>
    <row r="1654" spans="1:11" ht="28.5">
      <c r="A1654" s="920" t="s">
        <v>366</v>
      </c>
      <c r="B1654" s="959"/>
      <c r="C1654" s="77" t="s">
        <v>3</v>
      </c>
      <c r="D1654" s="77" t="s">
        <v>4</v>
      </c>
      <c r="E1654" s="77" t="s">
        <v>1826</v>
      </c>
      <c r="F1654" s="77" t="s">
        <v>367</v>
      </c>
      <c r="G1654" s="77" t="s">
        <v>368</v>
      </c>
      <c r="K1654" s="237"/>
    </row>
    <row r="1655" spans="1:11" ht="45">
      <c r="A1655" s="24" t="s">
        <v>3333</v>
      </c>
      <c r="B1655" s="99" t="s">
        <v>2623</v>
      </c>
      <c r="C1655" s="25" t="s">
        <v>3049</v>
      </c>
      <c r="D1655" s="25" t="s">
        <v>17</v>
      </c>
      <c r="E1655" s="26">
        <v>1</v>
      </c>
      <c r="F1655" s="26">
        <f t="shared" ref="F1655" si="642">H1655</f>
        <v>2961.672</v>
      </c>
      <c r="G1655" s="26">
        <f t="shared" ref="G1655" si="643">ROUND(F1655*E1655,2)</f>
        <v>2961.67</v>
      </c>
      <c r="H1655" s="375">
        <v>2961.672</v>
      </c>
      <c r="K1655" s="237"/>
    </row>
    <row r="1656" spans="1:11" ht="15" customHeight="1">
      <c r="A1656" s="917" t="s">
        <v>1894</v>
      </c>
      <c r="B1656" s="918"/>
      <c r="C1656" s="918"/>
      <c r="D1656" s="918"/>
      <c r="E1656" s="918"/>
      <c r="F1656" s="926"/>
      <c r="G1656" s="79">
        <f>ROUND(SUM(G1655:G1655),2)</f>
        <v>2961.67</v>
      </c>
      <c r="K1656" s="237"/>
    </row>
    <row r="1657" spans="1:11" ht="24.75" customHeight="1">
      <c r="A1657" s="80"/>
      <c r="B1657" s="80"/>
      <c r="C1657" s="965"/>
      <c r="D1657" s="966"/>
      <c r="E1657" s="80"/>
      <c r="F1657" s="80"/>
      <c r="G1657" s="80"/>
      <c r="K1657" s="237"/>
    </row>
    <row r="1658" spans="1:11" ht="25.5" customHeight="1">
      <c r="A1658" s="920" t="s">
        <v>2515</v>
      </c>
      <c r="B1658" s="921"/>
      <c r="C1658" s="921"/>
      <c r="D1658" s="921"/>
      <c r="E1658" s="922"/>
      <c r="F1658" s="77" t="s">
        <v>1915</v>
      </c>
      <c r="G1658" s="88"/>
      <c r="K1658" s="237"/>
    </row>
    <row r="1659" spans="1:11" ht="28.5">
      <c r="A1659" s="920" t="s">
        <v>366</v>
      </c>
      <c r="B1659" s="959"/>
      <c r="C1659" s="77" t="s">
        <v>3</v>
      </c>
      <c r="D1659" s="77" t="s">
        <v>4</v>
      </c>
      <c r="E1659" s="77" t="s">
        <v>1826</v>
      </c>
      <c r="F1659" s="77" t="s">
        <v>367</v>
      </c>
      <c r="G1659" s="77" t="s">
        <v>368</v>
      </c>
      <c r="K1659" s="237"/>
    </row>
    <row r="1660" spans="1:11" ht="30">
      <c r="A1660" s="24">
        <v>803041</v>
      </c>
      <c r="B1660" s="23" t="s">
        <v>2527</v>
      </c>
      <c r="C1660" s="25" t="s">
        <v>16</v>
      </c>
      <c r="D1660" s="25" t="s">
        <v>17</v>
      </c>
      <c r="E1660" s="26">
        <v>1</v>
      </c>
      <c r="F1660" s="26">
        <v>284.02999999999997</v>
      </c>
      <c r="G1660" s="26">
        <v>284.02999999999997</v>
      </c>
      <c r="H1660" s="375">
        <v>241.42549999999997</v>
      </c>
      <c r="K1660" s="237"/>
    </row>
    <row r="1661" spans="1:11" ht="15" customHeight="1">
      <c r="A1661" s="917" t="s">
        <v>1894</v>
      </c>
      <c r="B1661" s="918"/>
      <c r="C1661" s="918"/>
      <c r="D1661" s="918"/>
      <c r="E1661" s="918"/>
      <c r="F1661" s="926"/>
      <c r="G1661" s="79">
        <f>ROUND(SUM(G1660:G1660),2)</f>
        <v>284.02999999999997</v>
      </c>
      <c r="K1661" s="237"/>
    </row>
    <row r="1662" spans="1:11" ht="22.5" customHeight="1">
      <c r="A1662" s="80"/>
      <c r="B1662" s="80"/>
      <c r="C1662" s="965"/>
      <c r="D1662" s="966"/>
      <c r="E1662" s="80"/>
      <c r="F1662" s="80"/>
      <c r="G1662" s="80"/>
      <c r="K1662" s="237"/>
    </row>
    <row r="1663" spans="1:11" ht="45" customHeight="1">
      <c r="A1663" s="920" t="s">
        <v>3343</v>
      </c>
      <c r="B1663" s="921"/>
      <c r="C1663" s="921"/>
      <c r="D1663" s="921"/>
      <c r="E1663" s="922"/>
      <c r="F1663" s="77" t="s">
        <v>3049</v>
      </c>
      <c r="G1663" s="344" t="s">
        <v>3344</v>
      </c>
      <c r="K1663" s="237"/>
    </row>
    <row r="1664" spans="1:11" ht="28.5">
      <c r="A1664" s="984" t="s">
        <v>364</v>
      </c>
      <c r="B1664" s="985"/>
      <c r="C1664" s="77" t="s">
        <v>3</v>
      </c>
      <c r="D1664" s="77" t="s">
        <v>4</v>
      </c>
      <c r="E1664" s="77" t="s">
        <v>1826</v>
      </c>
      <c r="F1664" s="77" t="s">
        <v>367</v>
      </c>
      <c r="G1664" s="77" t="s">
        <v>368</v>
      </c>
      <c r="K1664" s="237"/>
    </row>
    <row r="1665" spans="1:11" ht="30">
      <c r="A1665" s="84" t="s">
        <v>3342</v>
      </c>
      <c r="B1665" s="85" t="s">
        <v>609</v>
      </c>
      <c r="C1665" s="25" t="s">
        <v>3049</v>
      </c>
      <c r="D1665" s="86" t="s">
        <v>17</v>
      </c>
      <c r="E1665" s="81">
        <v>1</v>
      </c>
      <c r="F1665" s="81">
        <v>323.89</v>
      </c>
      <c r="G1665" s="81">
        <v>323.89</v>
      </c>
      <c r="H1665" s="375">
        <v>275.30649999999997</v>
      </c>
      <c r="K1665" s="237"/>
    </row>
    <row r="1666" spans="1:11" ht="30">
      <c r="A1666" s="24">
        <v>100308</v>
      </c>
      <c r="B1666" s="78" t="s">
        <v>607</v>
      </c>
      <c r="C1666" s="25" t="s">
        <v>12</v>
      </c>
      <c r="D1666" s="25" t="s">
        <v>19</v>
      </c>
      <c r="E1666" s="26">
        <v>1</v>
      </c>
      <c r="F1666" s="26">
        <f t="shared" ref="F1666:F1667" si="644">H1666</f>
        <v>15.070500000000001</v>
      </c>
      <c r="G1666" s="26">
        <f t="shared" ref="G1666:G1667" si="645">ROUND(F1666*E1666,2)</f>
        <v>15.07</v>
      </c>
      <c r="H1666" s="375">
        <v>15.070500000000001</v>
      </c>
      <c r="I1666" s="28" t="e">
        <f>IF(A1666&lt;&gt;0,VLOOKUP(A1666,#REF!,2,FALSE),"")</f>
        <v>#REF!</v>
      </c>
      <c r="K1666" s="237"/>
    </row>
    <row r="1667" spans="1:11" ht="30">
      <c r="A1667" s="24">
        <v>88250</v>
      </c>
      <c r="B1667" s="78" t="s">
        <v>608</v>
      </c>
      <c r="C1667" s="25" t="s">
        <v>12</v>
      </c>
      <c r="D1667" s="25" t="s">
        <v>19</v>
      </c>
      <c r="E1667" s="26">
        <v>1</v>
      </c>
      <c r="F1667" s="26">
        <f t="shared" si="644"/>
        <v>13.566000000000001</v>
      </c>
      <c r="G1667" s="26">
        <f t="shared" si="645"/>
        <v>13.57</v>
      </c>
      <c r="H1667" s="375">
        <v>13.566000000000001</v>
      </c>
      <c r="I1667" s="28" t="e">
        <f>IF(A1667&lt;&gt;0,VLOOKUP(A1667,#REF!,2,FALSE),"")</f>
        <v>#REF!</v>
      </c>
      <c r="K1667" s="237"/>
    </row>
    <row r="1668" spans="1:11" ht="15" customHeight="1">
      <c r="A1668" s="917" t="s">
        <v>1894</v>
      </c>
      <c r="B1668" s="918"/>
      <c r="C1668" s="918"/>
      <c r="D1668" s="918"/>
      <c r="E1668" s="918"/>
      <c r="F1668" s="926"/>
      <c r="G1668" s="79">
        <f>ROUND(SUM(G1665:G1667),2)</f>
        <v>352.53</v>
      </c>
      <c r="K1668" s="237"/>
    </row>
    <row r="1669" spans="1:11" ht="21" customHeight="1">
      <c r="A1669" s="80"/>
      <c r="B1669" s="80"/>
      <c r="C1669" s="965"/>
      <c r="D1669" s="966"/>
      <c r="E1669" s="80"/>
      <c r="F1669" s="80"/>
      <c r="G1669" s="80"/>
      <c r="K1669" s="237"/>
    </row>
    <row r="1670" spans="1:11" ht="29.25" customHeight="1">
      <c r="A1670" s="920" t="s">
        <v>2516</v>
      </c>
      <c r="B1670" s="921"/>
      <c r="C1670" s="921"/>
      <c r="D1670" s="921"/>
      <c r="E1670" s="921"/>
      <c r="F1670" s="77" t="s">
        <v>70</v>
      </c>
      <c r="G1670" s="88"/>
      <c r="K1670" s="237"/>
    </row>
    <row r="1671" spans="1:11" ht="28.5">
      <c r="A1671" s="984" t="s">
        <v>364</v>
      </c>
      <c r="B1671" s="985"/>
      <c r="C1671" s="77" t="s">
        <v>3</v>
      </c>
      <c r="D1671" s="77" t="s">
        <v>4</v>
      </c>
      <c r="E1671" s="77" t="s">
        <v>1826</v>
      </c>
      <c r="F1671" s="77" t="s">
        <v>367</v>
      </c>
      <c r="G1671" s="77" t="s">
        <v>368</v>
      </c>
      <c r="K1671" s="237"/>
    </row>
    <row r="1672" spans="1:11" s="28" customFormat="1">
      <c r="A1672" s="25" t="s">
        <v>610</v>
      </c>
      <c r="B1672" s="78" t="s">
        <v>611</v>
      </c>
      <c r="C1672" s="25" t="s">
        <v>70</v>
      </c>
      <c r="D1672" s="25" t="s">
        <v>52</v>
      </c>
      <c r="E1672" s="26">
        <v>1.5</v>
      </c>
      <c r="F1672" s="26">
        <f t="shared" ref="F1672" si="646">H1672</f>
        <v>2.5499999999999998</v>
      </c>
      <c r="G1672" s="26">
        <f t="shared" ref="G1672" si="647">ROUND(F1672*E1672,2)</f>
        <v>3.83</v>
      </c>
      <c r="H1672" s="374">
        <v>2.5499999999999998</v>
      </c>
      <c r="J1672" s="374"/>
      <c r="K1672" s="237"/>
    </row>
    <row r="1673" spans="1:11" s="28" customFormat="1">
      <c r="A1673" s="100">
        <v>25862</v>
      </c>
      <c r="B1673" s="78" t="s">
        <v>612</v>
      </c>
      <c r="C1673" s="25" t="s">
        <v>12</v>
      </c>
      <c r="D1673" s="25" t="s">
        <v>26</v>
      </c>
      <c r="E1673" s="26">
        <v>9.8699999999999996E-2</v>
      </c>
      <c r="F1673" s="26">
        <f t="shared" ref="F1673:F1675" si="648">H1673</f>
        <v>14.297000000000001</v>
      </c>
      <c r="G1673" s="26">
        <f t="shared" ref="G1673:G1675" si="649">ROUND(F1673*E1673,2)</f>
        <v>1.41</v>
      </c>
      <c r="H1673" s="374">
        <v>14.297000000000001</v>
      </c>
      <c r="I1673" s="28" t="e">
        <f>IF(A1673&lt;&gt;0,VLOOKUP(A1673,#REF!,2,FALSE),"")</f>
        <v>#REF!</v>
      </c>
      <c r="J1673" s="374"/>
      <c r="K1673" s="237"/>
    </row>
    <row r="1674" spans="1:11" s="28" customFormat="1">
      <c r="A1674" s="100">
        <v>39897</v>
      </c>
      <c r="B1674" s="78" t="s">
        <v>613</v>
      </c>
      <c r="C1674" s="25" t="s">
        <v>12</v>
      </c>
      <c r="D1674" s="25" t="s">
        <v>17</v>
      </c>
      <c r="E1674" s="26">
        <v>1.2999999999999999E-3</v>
      </c>
      <c r="F1674" s="26">
        <f t="shared" si="648"/>
        <v>44.0045</v>
      </c>
      <c r="G1674" s="26">
        <f t="shared" si="649"/>
        <v>0.06</v>
      </c>
      <c r="H1674" s="374">
        <v>44.0045</v>
      </c>
      <c r="I1674" s="28" t="e">
        <f>IF(A1674&lt;&gt;0,VLOOKUP(A1674,#REF!,2,FALSE),"")</f>
        <v>#REF!</v>
      </c>
      <c r="J1674" s="374"/>
      <c r="K1674" s="237"/>
    </row>
    <row r="1675" spans="1:11" s="28" customFormat="1">
      <c r="A1675" s="25" t="s">
        <v>614</v>
      </c>
      <c r="B1675" s="78" t="s">
        <v>615</v>
      </c>
      <c r="C1675" s="25" t="s">
        <v>70</v>
      </c>
      <c r="D1675" s="25" t="s">
        <v>45</v>
      </c>
      <c r="E1675" s="26">
        <v>9.4000000000000004E-3</v>
      </c>
      <c r="F1675" s="26">
        <f t="shared" si="648"/>
        <v>70.32050000000001</v>
      </c>
      <c r="G1675" s="26">
        <f t="shared" si="649"/>
        <v>0.66</v>
      </c>
      <c r="H1675" s="374">
        <v>70.32050000000001</v>
      </c>
      <c r="J1675" s="374"/>
      <c r="K1675" s="237"/>
    </row>
    <row r="1676" spans="1:11" s="45" customFormat="1" ht="27.75" customHeight="1">
      <c r="A1676" s="24">
        <v>7470</v>
      </c>
      <c r="B1676" s="78" t="s">
        <v>2517</v>
      </c>
      <c r="C1676" s="25" t="s">
        <v>44</v>
      </c>
      <c r="D1676" s="25" t="s">
        <v>52</v>
      </c>
      <c r="E1676" s="26">
        <v>1.1000000000000001</v>
      </c>
      <c r="F1676" s="26">
        <f t="shared" ref="F1676" si="650">H1676</f>
        <v>47.625500000000002</v>
      </c>
      <c r="G1676" s="26">
        <f t="shared" ref="G1676" si="651">ROUND(F1676*E1676,2)</f>
        <v>52.39</v>
      </c>
      <c r="H1676" s="364">
        <v>47.625500000000002</v>
      </c>
      <c r="I1676" s="45" t="e">
        <f>IF(A1676&lt;&gt;0,VLOOKUP(A1676,#REF!,2,FALSE),"")</f>
        <v>#REF!</v>
      </c>
      <c r="J1676" s="364"/>
      <c r="K1676" s="237"/>
    </row>
    <row r="1677" spans="1:11" ht="30">
      <c r="A1677" s="24">
        <v>88267</v>
      </c>
      <c r="B1677" s="78" t="s">
        <v>472</v>
      </c>
      <c r="C1677" s="25" t="s">
        <v>12</v>
      </c>
      <c r="D1677" s="25" t="s">
        <v>19</v>
      </c>
      <c r="E1677" s="26">
        <v>0.48</v>
      </c>
      <c r="F1677" s="26">
        <f t="shared" ref="F1677" si="652">H1677</f>
        <v>14.7135</v>
      </c>
      <c r="G1677" s="26">
        <f t="shared" ref="G1677" si="653">ROUND(F1677*E1677,2)</f>
        <v>7.06</v>
      </c>
      <c r="H1677" s="375">
        <v>14.7135</v>
      </c>
      <c r="I1677" s="28" t="e">
        <f>IF(A1677&lt;&gt;0,VLOOKUP(A1677,#REF!,2,FALSE),"")</f>
        <v>#REF!</v>
      </c>
      <c r="K1677" s="237"/>
    </row>
    <row r="1678" spans="1:11" ht="45">
      <c r="A1678" s="24">
        <v>88248</v>
      </c>
      <c r="B1678" s="78" t="s">
        <v>473</v>
      </c>
      <c r="C1678" s="25" t="s">
        <v>12</v>
      </c>
      <c r="D1678" s="25" t="s">
        <v>19</v>
      </c>
      <c r="E1678" s="26">
        <v>0.48</v>
      </c>
      <c r="F1678" s="26">
        <f t="shared" ref="F1678:F1679" si="654">H1678</f>
        <v>11.483499999999999</v>
      </c>
      <c r="G1678" s="26">
        <f t="shared" ref="G1678:G1679" si="655">ROUND(F1678*E1678,2)</f>
        <v>5.51</v>
      </c>
      <c r="H1678" s="375">
        <v>11.483499999999999</v>
      </c>
      <c r="I1678" s="28" t="e">
        <f>IF(A1678&lt;&gt;0,VLOOKUP(A1678,#REF!,2,FALSE),"")</f>
        <v>#REF!</v>
      </c>
      <c r="K1678" s="237"/>
    </row>
    <row r="1679" spans="1:11" s="45" customFormat="1" ht="33" customHeight="1">
      <c r="A1679" s="24">
        <v>7583</v>
      </c>
      <c r="B1679" s="78" t="s">
        <v>616</v>
      </c>
      <c r="C1679" s="25" t="s">
        <v>44</v>
      </c>
      <c r="D1679" s="25" t="s">
        <v>52</v>
      </c>
      <c r="E1679" s="26">
        <v>1</v>
      </c>
      <c r="F1679" s="26">
        <f t="shared" si="654"/>
        <v>2.992</v>
      </c>
      <c r="G1679" s="26">
        <f t="shared" si="655"/>
        <v>2.99</v>
      </c>
      <c r="H1679" s="364">
        <v>2.992</v>
      </c>
      <c r="I1679" s="45" t="e">
        <f>IF(A1679&lt;&gt;0,VLOOKUP(A1679,#REF!,2,FALSE),"")</f>
        <v>#REF!</v>
      </c>
      <c r="J1679" s="364"/>
      <c r="K1679" s="237"/>
    </row>
    <row r="1680" spans="1:11" ht="15" customHeight="1">
      <c r="A1680" s="917" t="s">
        <v>1894</v>
      </c>
      <c r="B1680" s="918"/>
      <c r="C1680" s="918"/>
      <c r="D1680" s="918"/>
      <c r="E1680" s="918"/>
      <c r="F1680" s="926"/>
      <c r="G1680" s="79">
        <f>ROUND(SUM(G1672:G1679),2)</f>
        <v>73.91</v>
      </c>
      <c r="K1680" s="237"/>
    </row>
    <row r="1681" spans="1:11" ht="21.75" customHeight="1">
      <c r="A1681" s="80"/>
      <c r="B1681" s="80"/>
      <c r="C1681" s="965"/>
      <c r="D1681" s="966"/>
      <c r="E1681" s="80"/>
      <c r="F1681" s="80"/>
      <c r="G1681" s="80"/>
      <c r="K1681" s="237"/>
    </row>
    <row r="1682" spans="1:11" ht="33" customHeight="1">
      <c r="A1682" s="920" t="s">
        <v>2520</v>
      </c>
      <c r="B1682" s="921"/>
      <c r="C1682" s="921"/>
      <c r="D1682" s="921"/>
      <c r="E1682" s="922"/>
      <c r="F1682" s="77" t="s">
        <v>70</v>
      </c>
      <c r="G1682" s="88"/>
      <c r="K1682" s="237"/>
    </row>
    <row r="1683" spans="1:11" ht="28.5">
      <c r="A1683" s="984" t="s">
        <v>364</v>
      </c>
      <c r="B1683" s="985"/>
      <c r="C1683" s="77" t="s">
        <v>3</v>
      </c>
      <c r="D1683" s="77" t="s">
        <v>4</v>
      </c>
      <c r="E1683" s="77" t="s">
        <v>1826</v>
      </c>
      <c r="F1683" s="77" t="s">
        <v>367</v>
      </c>
      <c r="G1683" s="77" t="s">
        <v>368</v>
      </c>
      <c r="K1683" s="237"/>
    </row>
    <row r="1684" spans="1:11" s="28" customFormat="1">
      <c r="A1684" s="25" t="s">
        <v>610</v>
      </c>
      <c r="B1684" s="78" t="s">
        <v>611</v>
      </c>
      <c r="C1684" s="25" t="s">
        <v>70</v>
      </c>
      <c r="D1684" s="25" t="s">
        <v>52</v>
      </c>
      <c r="E1684" s="26">
        <v>1.5</v>
      </c>
      <c r="F1684" s="26">
        <f t="shared" ref="F1684" si="656">H1684</f>
        <v>2.5499999999999998</v>
      </c>
      <c r="G1684" s="26">
        <f t="shared" ref="G1684" si="657">ROUND(F1684*E1684,2)</f>
        <v>3.83</v>
      </c>
      <c r="H1684" s="374">
        <v>2.5499999999999998</v>
      </c>
      <c r="J1684" s="374"/>
      <c r="K1684" s="237"/>
    </row>
    <row r="1685" spans="1:11">
      <c r="A1685" s="100">
        <v>25862</v>
      </c>
      <c r="B1685" s="78" t="s">
        <v>612</v>
      </c>
      <c r="C1685" s="25" t="s">
        <v>12</v>
      </c>
      <c r="D1685" s="25" t="s">
        <v>26</v>
      </c>
      <c r="E1685" s="26">
        <v>7.6799999999999993E-2</v>
      </c>
      <c r="F1685" s="26">
        <f t="shared" ref="F1685:F1687" si="658">H1685</f>
        <v>14.297000000000001</v>
      </c>
      <c r="G1685" s="26">
        <f t="shared" ref="G1685:G1687" si="659">ROUND(F1685*E1685,2)</f>
        <v>1.1000000000000001</v>
      </c>
      <c r="H1685" s="375">
        <v>14.297000000000001</v>
      </c>
      <c r="I1685" s="28" t="e">
        <f>IF(A1685&lt;&gt;0,VLOOKUP(A1685,#REF!,2,FALSE),"")</f>
        <v>#REF!</v>
      </c>
      <c r="K1685" s="237"/>
    </row>
    <row r="1686" spans="1:11">
      <c r="A1686" s="100">
        <v>39897</v>
      </c>
      <c r="B1686" s="78" t="s">
        <v>613</v>
      </c>
      <c r="C1686" s="25" t="s">
        <v>12</v>
      </c>
      <c r="D1686" s="25" t="s">
        <v>17</v>
      </c>
      <c r="E1686" s="26">
        <v>1E-3</v>
      </c>
      <c r="F1686" s="26">
        <f t="shared" si="658"/>
        <v>44.0045</v>
      </c>
      <c r="G1686" s="26">
        <f t="shared" si="659"/>
        <v>0.04</v>
      </c>
      <c r="H1686" s="375">
        <v>44.0045</v>
      </c>
      <c r="I1686" s="28" t="e">
        <f>IF(A1686&lt;&gt;0,VLOOKUP(A1686,#REF!,2,FALSE),"")</f>
        <v>#REF!</v>
      </c>
      <c r="K1686" s="237"/>
    </row>
    <row r="1687" spans="1:11" s="28" customFormat="1">
      <c r="A1687" s="25" t="s">
        <v>614</v>
      </c>
      <c r="B1687" s="78" t="s">
        <v>615</v>
      </c>
      <c r="C1687" s="25" t="s">
        <v>70</v>
      </c>
      <c r="D1687" s="25" t="s">
        <v>45</v>
      </c>
      <c r="E1687" s="26">
        <v>7.3000000000000001E-3</v>
      </c>
      <c r="F1687" s="26">
        <f t="shared" si="658"/>
        <v>70.32050000000001</v>
      </c>
      <c r="G1687" s="26">
        <f t="shared" si="659"/>
        <v>0.51</v>
      </c>
      <c r="H1687" s="374">
        <v>70.32050000000001</v>
      </c>
      <c r="J1687" s="374"/>
      <c r="K1687" s="237"/>
    </row>
    <row r="1688" spans="1:11" s="45" customFormat="1">
      <c r="A1688" s="24">
        <v>7468</v>
      </c>
      <c r="B1688" s="78" t="s">
        <v>2522</v>
      </c>
      <c r="C1688" s="25" t="s">
        <v>44</v>
      </c>
      <c r="D1688" s="25" t="s">
        <v>52</v>
      </c>
      <c r="E1688" s="26">
        <v>1.1000000000000001</v>
      </c>
      <c r="F1688" s="26">
        <f t="shared" ref="F1688:F1691" si="660">H1688</f>
        <v>52.835999999999999</v>
      </c>
      <c r="G1688" s="26">
        <f t="shared" ref="G1688:G1691" si="661">ROUND(F1688*E1688,2)</f>
        <v>58.12</v>
      </c>
      <c r="H1688" s="364">
        <v>52.835999999999999</v>
      </c>
      <c r="I1688" s="45" t="e">
        <f>IF(A1688&lt;&gt;0,VLOOKUP(A1688,#REF!,2,FALSE),"")</f>
        <v>#REF!</v>
      </c>
      <c r="J1688" s="364"/>
      <c r="K1688" s="237"/>
    </row>
    <row r="1689" spans="1:11" ht="30">
      <c r="A1689" s="24">
        <v>88267</v>
      </c>
      <c r="B1689" s="78" t="s">
        <v>472</v>
      </c>
      <c r="C1689" s="25" t="s">
        <v>12</v>
      </c>
      <c r="D1689" s="25" t="s">
        <v>19</v>
      </c>
      <c r="E1689" s="26">
        <v>0.4</v>
      </c>
      <c r="F1689" s="26">
        <f t="shared" si="660"/>
        <v>14.7135</v>
      </c>
      <c r="G1689" s="26">
        <f t="shared" si="661"/>
        <v>5.89</v>
      </c>
      <c r="H1689" s="375">
        <v>14.7135</v>
      </c>
      <c r="I1689" s="28" t="e">
        <f>IF(A1689&lt;&gt;0,VLOOKUP(A1689,#REF!,2,FALSE),"")</f>
        <v>#REF!</v>
      </c>
      <c r="K1689" s="237"/>
    </row>
    <row r="1690" spans="1:11" ht="45">
      <c r="A1690" s="24">
        <v>88248</v>
      </c>
      <c r="B1690" s="78" t="s">
        <v>473</v>
      </c>
      <c r="C1690" s="25" t="s">
        <v>12</v>
      </c>
      <c r="D1690" s="25" t="s">
        <v>19</v>
      </c>
      <c r="E1690" s="26">
        <v>0.4</v>
      </c>
      <c r="F1690" s="26">
        <f t="shared" si="660"/>
        <v>11.483499999999999</v>
      </c>
      <c r="G1690" s="26">
        <f t="shared" si="661"/>
        <v>4.59</v>
      </c>
      <c r="H1690" s="375">
        <v>11.483499999999999</v>
      </c>
      <c r="I1690" s="28" t="e">
        <f>IF(A1690&lt;&gt;0,VLOOKUP(A1690,#REF!,2,FALSE),"")</f>
        <v>#REF!</v>
      </c>
      <c r="K1690" s="237"/>
    </row>
    <row r="1691" spans="1:11" s="45" customFormat="1" ht="30">
      <c r="A1691" s="24">
        <v>7581</v>
      </c>
      <c r="B1691" s="78" t="s">
        <v>617</v>
      </c>
      <c r="C1691" s="25" t="s">
        <v>44</v>
      </c>
      <c r="D1691" s="25" t="s">
        <v>52</v>
      </c>
      <c r="E1691" s="26">
        <v>1.1000000000000001</v>
      </c>
      <c r="F1691" s="26">
        <f t="shared" si="660"/>
        <v>1.768</v>
      </c>
      <c r="G1691" s="26">
        <f t="shared" si="661"/>
        <v>1.94</v>
      </c>
      <c r="H1691" s="364">
        <v>1.768</v>
      </c>
      <c r="I1691" s="45" t="e">
        <f>IF(A1691&lt;&gt;0,VLOOKUP(A1691,#REF!,2,FALSE),"")</f>
        <v>#REF!</v>
      </c>
      <c r="J1691" s="364"/>
      <c r="K1691" s="237"/>
    </row>
    <row r="1692" spans="1:11" ht="15" customHeight="1">
      <c r="A1692" s="917" t="s">
        <v>1894</v>
      </c>
      <c r="B1692" s="918"/>
      <c r="C1692" s="918"/>
      <c r="D1692" s="918"/>
      <c r="E1692" s="918"/>
      <c r="F1692" s="926"/>
      <c r="G1692" s="79">
        <f>ROUND(SUM(G1684:G1691),2)</f>
        <v>76.02</v>
      </c>
      <c r="K1692" s="237"/>
    </row>
    <row r="1693" spans="1:11" ht="23.25" customHeight="1">
      <c r="A1693" s="80"/>
      <c r="B1693" s="80"/>
      <c r="C1693" s="965"/>
      <c r="D1693" s="966"/>
      <c r="E1693" s="80"/>
      <c r="F1693" s="80"/>
      <c r="G1693" s="80"/>
      <c r="K1693" s="237"/>
    </row>
    <row r="1694" spans="1:11" ht="31.5" customHeight="1">
      <c r="A1694" s="920" t="s">
        <v>2521</v>
      </c>
      <c r="B1694" s="921"/>
      <c r="C1694" s="921"/>
      <c r="D1694" s="921"/>
      <c r="E1694" s="922"/>
      <c r="F1694" s="77" t="s">
        <v>70</v>
      </c>
      <c r="G1694" s="88"/>
      <c r="K1694" s="237"/>
    </row>
    <row r="1695" spans="1:11" ht="28.5">
      <c r="A1695" s="984" t="s">
        <v>364</v>
      </c>
      <c r="B1695" s="985"/>
      <c r="C1695" s="77" t="s">
        <v>3</v>
      </c>
      <c r="D1695" s="77" t="s">
        <v>4</v>
      </c>
      <c r="E1695" s="77" t="s">
        <v>1826</v>
      </c>
      <c r="F1695" s="77" t="s">
        <v>367</v>
      </c>
      <c r="G1695" s="77" t="s">
        <v>368</v>
      </c>
      <c r="K1695" s="237"/>
    </row>
    <row r="1696" spans="1:11" s="28" customFormat="1">
      <c r="A1696" s="25" t="s">
        <v>610</v>
      </c>
      <c r="B1696" s="78" t="s">
        <v>611</v>
      </c>
      <c r="C1696" s="25" t="s">
        <v>70</v>
      </c>
      <c r="D1696" s="25" t="s">
        <v>52</v>
      </c>
      <c r="E1696" s="26">
        <v>1.5</v>
      </c>
      <c r="F1696" s="26">
        <f t="shared" ref="F1696" si="662">H1696</f>
        <v>2.5499999999999998</v>
      </c>
      <c r="G1696" s="26">
        <f t="shared" ref="G1696" si="663">ROUND(F1696*E1696,2)</f>
        <v>3.83</v>
      </c>
      <c r="H1696" s="374">
        <v>2.5499999999999998</v>
      </c>
      <c r="J1696" s="374"/>
      <c r="K1696" s="237"/>
    </row>
    <row r="1697" spans="1:11">
      <c r="A1697" s="100">
        <v>25862</v>
      </c>
      <c r="B1697" s="78" t="s">
        <v>612</v>
      </c>
      <c r="C1697" s="25" t="s">
        <v>12</v>
      </c>
      <c r="D1697" s="25" t="s">
        <v>26</v>
      </c>
      <c r="E1697" s="26">
        <v>8.7800000000000003E-2</v>
      </c>
      <c r="F1697" s="26">
        <f t="shared" ref="F1697:F1699" si="664">H1697</f>
        <v>14.297000000000001</v>
      </c>
      <c r="G1697" s="26">
        <f t="shared" ref="G1697:G1699" si="665">ROUND(F1697*E1697,2)</f>
        <v>1.26</v>
      </c>
      <c r="H1697" s="375">
        <v>14.297000000000001</v>
      </c>
      <c r="I1697" s="28" t="e">
        <f>IF(A1697&lt;&gt;0,VLOOKUP(A1697,#REF!,2,FALSE),"")</f>
        <v>#REF!</v>
      </c>
      <c r="K1697" s="237"/>
    </row>
    <row r="1698" spans="1:11">
      <c r="A1698" s="100">
        <v>39897</v>
      </c>
      <c r="B1698" s="78" t="s">
        <v>613</v>
      </c>
      <c r="C1698" s="25" t="s">
        <v>12</v>
      </c>
      <c r="D1698" s="25" t="s">
        <v>17</v>
      </c>
      <c r="E1698" s="26">
        <v>1.1999999999999999E-3</v>
      </c>
      <c r="F1698" s="26">
        <f t="shared" si="664"/>
        <v>44.0045</v>
      </c>
      <c r="G1698" s="26">
        <f t="shared" si="665"/>
        <v>0.05</v>
      </c>
      <c r="H1698" s="375">
        <v>44.0045</v>
      </c>
      <c r="I1698" s="28" t="e">
        <f>IF(A1698&lt;&gt;0,VLOOKUP(A1698,#REF!,2,FALSE),"")</f>
        <v>#REF!</v>
      </c>
      <c r="K1698" s="237"/>
    </row>
    <row r="1699" spans="1:11" s="28" customFormat="1">
      <c r="A1699" s="25" t="s">
        <v>614</v>
      </c>
      <c r="B1699" s="78" t="s">
        <v>615</v>
      </c>
      <c r="C1699" s="25" t="s">
        <v>70</v>
      </c>
      <c r="D1699" s="25" t="s">
        <v>45</v>
      </c>
      <c r="E1699" s="26">
        <v>8.3999999999999995E-3</v>
      </c>
      <c r="F1699" s="26">
        <f t="shared" si="664"/>
        <v>70.32050000000001</v>
      </c>
      <c r="G1699" s="26">
        <f t="shared" si="665"/>
        <v>0.59</v>
      </c>
      <c r="H1699" s="374">
        <v>70.32050000000001</v>
      </c>
      <c r="J1699" s="374"/>
      <c r="K1699" s="237"/>
    </row>
    <row r="1700" spans="1:11" s="45" customFormat="1">
      <c r="A1700" s="24">
        <v>7469</v>
      </c>
      <c r="B1700" s="78" t="s">
        <v>2519</v>
      </c>
      <c r="C1700" s="25" t="s">
        <v>44</v>
      </c>
      <c r="D1700" s="25" t="s">
        <v>52</v>
      </c>
      <c r="E1700" s="26">
        <v>1.1000000000000001</v>
      </c>
      <c r="F1700" s="26">
        <f t="shared" ref="F1700" si="666">H1700</f>
        <v>41.726500000000001</v>
      </c>
      <c r="G1700" s="26">
        <f t="shared" ref="G1700" si="667">ROUND(F1700*E1700,2)</f>
        <v>45.9</v>
      </c>
      <c r="H1700" s="364">
        <v>41.726500000000001</v>
      </c>
      <c r="I1700" s="45" t="e">
        <f>IF(A1700&lt;&gt;0,VLOOKUP(A1700,#REF!,2,FALSE),"")</f>
        <v>#REF!</v>
      </c>
      <c r="J1700" s="364"/>
      <c r="K1700" s="237"/>
    </row>
    <row r="1701" spans="1:11" ht="30">
      <c r="A1701" s="24">
        <v>88267</v>
      </c>
      <c r="B1701" s="78" t="s">
        <v>472</v>
      </c>
      <c r="C1701" s="25" t="s">
        <v>12</v>
      </c>
      <c r="D1701" s="25" t="s">
        <v>19</v>
      </c>
      <c r="E1701" s="26">
        <v>0.45</v>
      </c>
      <c r="F1701" s="26">
        <f t="shared" ref="F1701:F1702" si="668">H1701</f>
        <v>14.7135</v>
      </c>
      <c r="G1701" s="26">
        <f t="shared" ref="G1701:G1702" si="669">ROUND(F1701*E1701,2)</f>
        <v>6.62</v>
      </c>
      <c r="H1701" s="375">
        <v>14.7135</v>
      </c>
      <c r="I1701" s="28" t="e">
        <f>IF(A1701&lt;&gt;0,VLOOKUP(A1701,#REF!,2,FALSE),"")</f>
        <v>#REF!</v>
      </c>
      <c r="K1701" s="237"/>
    </row>
    <row r="1702" spans="1:11" ht="45">
      <c r="A1702" s="24">
        <v>88248</v>
      </c>
      <c r="B1702" s="78" t="s">
        <v>473</v>
      </c>
      <c r="C1702" s="25" t="s">
        <v>12</v>
      </c>
      <c r="D1702" s="25" t="s">
        <v>19</v>
      </c>
      <c r="E1702" s="26">
        <v>0.45</v>
      </c>
      <c r="F1702" s="26">
        <f t="shared" si="668"/>
        <v>11.483499999999999</v>
      </c>
      <c r="G1702" s="26">
        <f t="shared" si="669"/>
        <v>5.17</v>
      </c>
      <c r="H1702" s="375">
        <v>11.483499999999999</v>
      </c>
      <c r="I1702" s="28" t="e">
        <f>IF(A1702&lt;&gt;0,VLOOKUP(A1702,#REF!,2,FALSE),"")</f>
        <v>#REF!</v>
      </c>
      <c r="K1702" s="237"/>
    </row>
    <row r="1703" spans="1:11" s="45" customFormat="1" ht="30">
      <c r="A1703" s="24">
        <v>8114</v>
      </c>
      <c r="B1703" s="78" t="s">
        <v>618</v>
      </c>
      <c r="C1703" s="25" t="s">
        <v>44</v>
      </c>
      <c r="D1703" s="25" t="s">
        <v>52</v>
      </c>
      <c r="E1703" s="26">
        <v>1.1000000000000001</v>
      </c>
      <c r="F1703" s="26">
        <f t="shared" ref="F1703" si="670">H1703</f>
        <v>1.9209999999999998</v>
      </c>
      <c r="G1703" s="26">
        <f t="shared" ref="G1703" si="671">ROUND(F1703*E1703,2)</f>
        <v>2.11</v>
      </c>
      <c r="H1703" s="364">
        <v>1.9209999999999998</v>
      </c>
      <c r="I1703" s="45" t="e">
        <f>IF(A1703&lt;&gt;0,VLOOKUP(A1703,#REF!,2,FALSE),"")</f>
        <v>#REF!</v>
      </c>
      <c r="J1703" s="364"/>
      <c r="K1703" s="237"/>
    </row>
    <row r="1704" spans="1:11" ht="15" customHeight="1">
      <c r="A1704" s="917" t="s">
        <v>1894</v>
      </c>
      <c r="B1704" s="918"/>
      <c r="C1704" s="918"/>
      <c r="D1704" s="918"/>
      <c r="E1704" s="918"/>
      <c r="F1704" s="926"/>
      <c r="G1704" s="79">
        <f>ROUND(SUM(G1696:G1703),2)</f>
        <v>65.53</v>
      </c>
      <c r="K1704" s="237"/>
    </row>
    <row r="1705" spans="1:11" ht="27" customHeight="1">
      <c r="A1705" s="80"/>
      <c r="B1705" s="80"/>
      <c r="C1705" s="965"/>
      <c r="D1705" s="966"/>
      <c r="E1705" s="80"/>
      <c r="F1705" s="80"/>
      <c r="G1705" s="80"/>
      <c r="K1705" s="237"/>
    </row>
    <row r="1706" spans="1:11" ht="34.5" customHeight="1">
      <c r="A1706" s="920" t="s">
        <v>2580</v>
      </c>
      <c r="B1706" s="921"/>
      <c r="C1706" s="921"/>
      <c r="D1706" s="921"/>
      <c r="E1706" s="921"/>
      <c r="F1706" s="77" t="s">
        <v>1915</v>
      </c>
      <c r="G1706" s="101"/>
      <c r="K1706" s="237"/>
    </row>
    <row r="1707" spans="1:11" ht="28.5">
      <c r="A1707" s="984" t="s">
        <v>1917</v>
      </c>
      <c r="B1707" s="985"/>
      <c r="C1707" s="77" t="s">
        <v>3</v>
      </c>
      <c r="D1707" s="77" t="s">
        <v>4</v>
      </c>
      <c r="E1707" s="77" t="s">
        <v>1826</v>
      </c>
      <c r="F1707" s="77" t="s">
        <v>367</v>
      </c>
      <c r="G1707" s="77" t="s">
        <v>368</v>
      </c>
      <c r="K1707" s="237"/>
    </row>
    <row r="1708" spans="1:11" ht="45">
      <c r="A1708" s="24">
        <v>7319</v>
      </c>
      <c r="B1708" s="78" t="s">
        <v>619</v>
      </c>
      <c r="C1708" s="25" t="s">
        <v>12</v>
      </c>
      <c r="D1708" s="25" t="s">
        <v>381</v>
      </c>
      <c r="E1708" s="26">
        <v>0.4</v>
      </c>
      <c r="F1708" s="26">
        <f t="shared" ref="F1708" si="672">H1708</f>
        <v>9.3330000000000002</v>
      </c>
      <c r="G1708" s="26">
        <f t="shared" ref="G1708" si="673">ROUND(F1708*E1708,2)</f>
        <v>3.73</v>
      </c>
      <c r="H1708" s="375">
        <v>9.3330000000000002</v>
      </c>
      <c r="I1708" s="28" t="e">
        <f>IF(A1708&lt;&gt;0,VLOOKUP(A1708,#REF!,2,FALSE),"")</f>
        <v>#REF!</v>
      </c>
      <c r="K1708" s="237"/>
    </row>
    <row r="1709" spans="1:11">
      <c r="A1709" s="24">
        <v>88316</v>
      </c>
      <c r="B1709" s="78" t="e">
        <f>I1709</f>
        <v>#REF!</v>
      </c>
      <c r="C1709" s="25" t="s">
        <v>12</v>
      </c>
      <c r="D1709" s="25" t="s">
        <v>19</v>
      </c>
      <c r="E1709" s="26">
        <v>0.4</v>
      </c>
      <c r="F1709" s="26">
        <f t="shared" ref="F1709" si="674">H1709</f>
        <v>11.798000000000002</v>
      </c>
      <c r="G1709" s="26">
        <f t="shared" ref="G1709" si="675">ROUND(F1709*E1709,2)</f>
        <v>4.72</v>
      </c>
      <c r="H1709" s="375">
        <v>11.798000000000002</v>
      </c>
      <c r="I1709" s="28" t="e">
        <f>IF(A1709&lt;&gt;0,VLOOKUP(A1709,#REF!,2,FALSE),"")</f>
        <v>#REF!</v>
      </c>
      <c r="K1709" s="237"/>
    </row>
    <row r="1710" spans="1:11" ht="15" customHeight="1">
      <c r="A1710" s="917" t="s">
        <v>1894</v>
      </c>
      <c r="B1710" s="918"/>
      <c r="C1710" s="918"/>
      <c r="D1710" s="918"/>
      <c r="E1710" s="918"/>
      <c r="F1710" s="926"/>
      <c r="G1710" s="79">
        <f>ROUND(SUM(G1708:G1709),2)</f>
        <v>8.4499999999999993</v>
      </c>
      <c r="K1710" s="237"/>
    </row>
    <row r="1711" spans="1:11" ht="27.75" customHeight="1">
      <c r="A1711" s="80"/>
      <c r="B1711" s="80"/>
      <c r="C1711" s="965"/>
      <c r="D1711" s="966"/>
      <c r="E1711" s="80"/>
      <c r="F1711" s="80"/>
      <c r="G1711" s="80"/>
      <c r="K1711" s="237"/>
    </row>
    <row r="1712" spans="1:11" ht="36" customHeight="1">
      <c r="A1712" s="920" t="s">
        <v>2126</v>
      </c>
      <c r="B1712" s="921"/>
      <c r="C1712" s="921"/>
      <c r="D1712" s="921"/>
      <c r="E1712" s="921"/>
      <c r="F1712" s="77" t="s">
        <v>1915</v>
      </c>
      <c r="G1712" s="88"/>
      <c r="K1712" s="237"/>
    </row>
    <row r="1713" spans="1:11" ht="28.5">
      <c r="A1713" s="984" t="s">
        <v>1917</v>
      </c>
      <c r="B1713" s="985"/>
      <c r="C1713" s="77" t="s">
        <v>3</v>
      </c>
      <c r="D1713" s="77" t="s">
        <v>4</v>
      </c>
      <c r="E1713" s="77" t="s">
        <v>1826</v>
      </c>
      <c r="F1713" s="77" t="s">
        <v>367</v>
      </c>
      <c r="G1713" s="77" t="s">
        <v>368</v>
      </c>
      <c r="K1713" s="237"/>
    </row>
    <row r="1714" spans="1:11" ht="45">
      <c r="A1714" s="24">
        <v>123</v>
      </c>
      <c r="B1714" s="78" t="s">
        <v>391</v>
      </c>
      <c r="C1714" s="25" t="s">
        <v>12</v>
      </c>
      <c r="D1714" s="25" t="s">
        <v>45</v>
      </c>
      <c r="E1714" s="26">
        <v>0.37840000000000001</v>
      </c>
      <c r="F1714" s="26">
        <f t="shared" ref="F1714" si="676">H1714</f>
        <v>5.8650000000000002</v>
      </c>
      <c r="G1714" s="26">
        <f t="shared" ref="G1714" si="677">ROUND(F1714*E1714,2)</f>
        <v>2.2200000000000002</v>
      </c>
      <c r="H1714" s="375">
        <v>5.8650000000000002</v>
      </c>
      <c r="I1714" s="28" t="e">
        <f>IF(A1714&lt;&gt;0,VLOOKUP(A1714,#REF!,2,FALSE),"")</f>
        <v>#REF!</v>
      </c>
      <c r="K1714" s="237"/>
    </row>
    <row r="1715" spans="1:11" ht="45">
      <c r="A1715" s="24">
        <v>87298</v>
      </c>
      <c r="B1715" s="78" t="s">
        <v>1796</v>
      </c>
      <c r="C1715" s="25" t="s">
        <v>12</v>
      </c>
      <c r="D1715" s="25" t="s">
        <v>35</v>
      </c>
      <c r="E1715" s="26">
        <v>0.02</v>
      </c>
      <c r="F1715" s="26">
        <f t="shared" ref="F1715:F1717" si="678">H1715</f>
        <v>467.32149999999996</v>
      </c>
      <c r="G1715" s="26">
        <f t="shared" ref="G1715:G1717" si="679">ROUND(F1715*E1715,2)</f>
        <v>9.35</v>
      </c>
      <c r="H1715" s="375">
        <v>467.32149999999996</v>
      </c>
      <c r="I1715" s="28" t="e">
        <f>IF(A1715&lt;&gt;0,VLOOKUP(A1715,#REF!,2,FALSE),"")</f>
        <v>#REF!</v>
      </c>
      <c r="K1715" s="237"/>
    </row>
    <row r="1716" spans="1:11" ht="30">
      <c r="A1716" s="24">
        <v>88309</v>
      </c>
      <c r="B1716" s="78" t="s">
        <v>390</v>
      </c>
      <c r="C1716" s="25" t="s">
        <v>12</v>
      </c>
      <c r="D1716" s="25" t="s">
        <v>19</v>
      </c>
      <c r="E1716" s="26">
        <v>0.75</v>
      </c>
      <c r="F1716" s="26">
        <f t="shared" si="678"/>
        <v>15.121499999999999</v>
      </c>
      <c r="G1716" s="26">
        <f t="shared" si="679"/>
        <v>11.34</v>
      </c>
      <c r="H1716" s="375">
        <v>15.121499999999999</v>
      </c>
      <c r="I1716" s="28" t="e">
        <f>IF(A1716&lt;&gt;0,VLOOKUP(A1716,#REF!,2,FALSE),"")</f>
        <v>#REF!</v>
      </c>
      <c r="K1716" s="237"/>
    </row>
    <row r="1717" spans="1:11" ht="30">
      <c r="A1717" s="24">
        <v>88316</v>
      </c>
      <c r="B1717" s="78" t="s">
        <v>377</v>
      </c>
      <c r="C1717" s="25" t="s">
        <v>12</v>
      </c>
      <c r="D1717" s="25" t="s">
        <v>19</v>
      </c>
      <c r="E1717" s="26">
        <v>0.75</v>
      </c>
      <c r="F1717" s="26">
        <f t="shared" si="678"/>
        <v>11.798000000000002</v>
      </c>
      <c r="G1717" s="26">
        <f t="shared" si="679"/>
        <v>8.85</v>
      </c>
      <c r="H1717" s="375">
        <v>11.798000000000002</v>
      </c>
      <c r="I1717" s="28" t="e">
        <f>IF(A1717&lt;&gt;0,VLOOKUP(A1717,#REF!,2,FALSE),"")</f>
        <v>#REF!</v>
      </c>
      <c r="K1717" s="237"/>
    </row>
    <row r="1718" spans="1:11" ht="15" customHeight="1">
      <c r="A1718" s="917" t="s">
        <v>1894</v>
      </c>
      <c r="B1718" s="918"/>
      <c r="C1718" s="918"/>
      <c r="D1718" s="918"/>
      <c r="E1718" s="918"/>
      <c r="F1718" s="926"/>
      <c r="G1718" s="79">
        <f>ROUND(SUM(G1714:G1717),2)</f>
        <v>31.76</v>
      </c>
      <c r="K1718" s="237"/>
    </row>
    <row r="1719" spans="1:11" ht="28.5" customHeight="1">
      <c r="A1719" s="80"/>
      <c r="B1719" s="80"/>
      <c r="C1719" s="965"/>
      <c r="D1719" s="966"/>
      <c r="E1719" s="80"/>
      <c r="F1719" s="80"/>
      <c r="G1719" s="80"/>
      <c r="K1719" s="237"/>
    </row>
    <row r="1720" spans="1:11" ht="50.25" customHeight="1">
      <c r="A1720" s="920" t="s">
        <v>2581</v>
      </c>
      <c r="B1720" s="921"/>
      <c r="C1720" s="921"/>
      <c r="D1720" s="921"/>
      <c r="E1720" s="921"/>
      <c r="F1720" s="77" t="s">
        <v>1915</v>
      </c>
      <c r="G1720" s="88"/>
      <c r="K1720" s="237"/>
    </row>
    <row r="1721" spans="1:11" ht="28.5">
      <c r="A1721" s="984" t="s">
        <v>1917</v>
      </c>
      <c r="B1721" s="985"/>
      <c r="C1721" s="77" t="s">
        <v>3</v>
      </c>
      <c r="D1721" s="77" t="s">
        <v>4</v>
      </c>
      <c r="E1721" s="77" t="s">
        <v>1826</v>
      </c>
      <c r="F1721" s="77" t="s">
        <v>367</v>
      </c>
      <c r="G1721" s="77" t="s">
        <v>368</v>
      </c>
      <c r="K1721" s="237"/>
    </row>
    <row r="1722" spans="1:11" ht="75">
      <c r="A1722" s="24">
        <v>626</v>
      </c>
      <c r="B1722" s="78" t="s">
        <v>620</v>
      </c>
      <c r="C1722" s="25" t="s">
        <v>12</v>
      </c>
      <c r="D1722" s="25" t="s">
        <v>45</v>
      </c>
      <c r="E1722" s="26">
        <v>0.1108</v>
      </c>
      <c r="F1722" s="26">
        <f t="shared" ref="F1722" si="680">H1722</f>
        <v>14.653999999999998</v>
      </c>
      <c r="G1722" s="26">
        <f t="shared" ref="G1722" si="681">ROUND(F1722*E1722,2)</f>
        <v>1.62</v>
      </c>
      <c r="H1722" s="375">
        <v>14.653999999999998</v>
      </c>
      <c r="I1722" s="28" t="e">
        <f>IF(A1722&lt;&gt;0,VLOOKUP(A1722,#REF!,2,FALSE),"")</f>
        <v>#REF!</v>
      </c>
      <c r="K1722" s="237"/>
    </row>
    <row r="1723" spans="1:11" ht="45">
      <c r="A1723" s="24">
        <v>11621</v>
      </c>
      <c r="B1723" s="78" t="s">
        <v>621</v>
      </c>
      <c r="C1723" s="25" t="s">
        <v>12</v>
      </c>
      <c r="D1723" s="25" t="s">
        <v>26</v>
      </c>
      <c r="E1723" s="26">
        <v>1.1000000000000001</v>
      </c>
      <c r="F1723" s="26">
        <f t="shared" ref="F1723:F1725" si="682">H1723</f>
        <v>41.344000000000001</v>
      </c>
      <c r="G1723" s="26">
        <f t="shared" ref="G1723:G1725" si="683">ROUND(F1723*E1723,2)</f>
        <v>45.48</v>
      </c>
      <c r="H1723" s="375">
        <v>41.344000000000001</v>
      </c>
      <c r="I1723" s="28" t="e">
        <f>IF(A1723&lt;&gt;0,VLOOKUP(A1723,#REF!,2,FALSE),"")</f>
        <v>#REF!</v>
      </c>
      <c r="K1723" s="237"/>
    </row>
    <row r="1724" spans="1:11" ht="30">
      <c r="A1724" s="24">
        <v>88270</v>
      </c>
      <c r="B1724" s="78" t="s">
        <v>622</v>
      </c>
      <c r="C1724" s="25" t="s">
        <v>12</v>
      </c>
      <c r="D1724" s="25" t="s">
        <v>19</v>
      </c>
      <c r="E1724" s="26">
        <v>1</v>
      </c>
      <c r="F1724" s="26">
        <f t="shared" si="682"/>
        <v>15.121499999999999</v>
      </c>
      <c r="G1724" s="26">
        <f t="shared" si="683"/>
        <v>15.12</v>
      </c>
      <c r="H1724" s="375">
        <v>15.121499999999999</v>
      </c>
      <c r="I1724" s="28" t="e">
        <f>IF(A1724&lt;&gt;0,VLOOKUP(A1724,#REF!,2,FALSE),"")</f>
        <v>#REF!</v>
      </c>
      <c r="K1724" s="237"/>
    </row>
    <row r="1725" spans="1:11" ht="30">
      <c r="A1725" s="24">
        <v>88316</v>
      </c>
      <c r="B1725" s="78" t="s">
        <v>377</v>
      </c>
      <c r="C1725" s="25" t="s">
        <v>12</v>
      </c>
      <c r="D1725" s="25" t="s">
        <v>19</v>
      </c>
      <c r="E1725" s="26">
        <v>1.18</v>
      </c>
      <c r="F1725" s="26">
        <f t="shared" si="682"/>
        <v>11.798000000000002</v>
      </c>
      <c r="G1725" s="26">
        <f t="shared" si="683"/>
        <v>13.92</v>
      </c>
      <c r="H1725" s="375">
        <v>11.798000000000002</v>
      </c>
      <c r="I1725" s="28" t="e">
        <f>IF(A1725&lt;&gt;0,VLOOKUP(A1725,#REF!,2,FALSE),"")</f>
        <v>#REF!</v>
      </c>
      <c r="K1725" s="237"/>
    </row>
    <row r="1726" spans="1:11" ht="15" customHeight="1">
      <c r="A1726" s="917" t="s">
        <v>1894</v>
      </c>
      <c r="B1726" s="918"/>
      <c r="C1726" s="918"/>
      <c r="D1726" s="918"/>
      <c r="E1726" s="918"/>
      <c r="F1726" s="926"/>
      <c r="G1726" s="79">
        <f>ROUND(SUM(G1722:G1725),2)</f>
        <v>76.14</v>
      </c>
      <c r="K1726" s="237"/>
    </row>
    <row r="1727" spans="1:11" ht="28.5" customHeight="1">
      <c r="A1727" s="80"/>
      <c r="B1727" s="80"/>
      <c r="C1727" s="965"/>
      <c r="D1727" s="966"/>
      <c r="E1727" s="80"/>
      <c r="F1727" s="80"/>
      <c r="G1727" s="80"/>
      <c r="K1727" s="237"/>
    </row>
    <row r="1728" spans="1:11" ht="22.5" customHeight="1">
      <c r="A1728" s="920" t="s">
        <v>2418</v>
      </c>
      <c r="B1728" s="921"/>
      <c r="C1728" s="921"/>
      <c r="D1728" s="921"/>
      <c r="E1728" s="922"/>
      <c r="F1728" s="77" t="s">
        <v>1915</v>
      </c>
      <c r="G1728" s="88"/>
      <c r="K1728" s="237"/>
    </row>
    <row r="1729" spans="1:11" ht="28.5">
      <c r="A1729" s="984" t="s">
        <v>364</v>
      </c>
      <c r="B1729" s="985"/>
      <c r="C1729" s="77" t="s">
        <v>3</v>
      </c>
      <c r="D1729" s="77" t="s">
        <v>4</v>
      </c>
      <c r="E1729" s="77" t="s">
        <v>1826</v>
      </c>
      <c r="F1729" s="77" t="s">
        <v>367</v>
      </c>
      <c r="G1729" s="77" t="s">
        <v>368</v>
      </c>
      <c r="K1729" s="237"/>
    </row>
    <row r="1730" spans="1:11">
      <c r="A1730" s="24">
        <v>1337</v>
      </c>
      <c r="B1730" s="78" t="s">
        <v>624</v>
      </c>
      <c r="C1730" s="25" t="s">
        <v>89</v>
      </c>
      <c r="D1730" s="25" t="s">
        <v>45</v>
      </c>
      <c r="E1730" s="26">
        <v>4.9400000000000004</v>
      </c>
      <c r="F1730" s="26">
        <f t="shared" ref="F1730" si="684">H1730</f>
        <v>8.9589999999999996</v>
      </c>
      <c r="G1730" s="26">
        <f t="shared" ref="G1730" si="685">ROUND(F1730*E1730,2)</f>
        <v>44.26</v>
      </c>
      <c r="H1730" s="375">
        <v>8.9589999999999996</v>
      </c>
      <c r="I1730" s="28" t="e">
        <f>IF(A1730&lt;&gt;0,VLOOKUP(A1730,#REF!,2,FALSE),"")</f>
        <v>#REF!</v>
      </c>
      <c r="K1730" s="237"/>
    </row>
    <row r="1731" spans="1:11" ht="30">
      <c r="A1731" s="24">
        <v>1319</v>
      </c>
      <c r="B1731" s="78" t="s">
        <v>625</v>
      </c>
      <c r="C1731" s="25" t="s">
        <v>12</v>
      </c>
      <c r="D1731" s="25" t="s">
        <v>45</v>
      </c>
      <c r="E1731" s="26">
        <v>16.312999999999999</v>
      </c>
      <c r="F1731" s="26">
        <f t="shared" ref="F1731" si="686">H1731</f>
        <v>7.1995000000000005</v>
      </c>
      <c r="G1731" s="26">
        <f t="shared" ref="G1731" si="687">ROUND(F1731*E1731,2)</f>
        <v>117.45</v>
      </c>
      <c r="H1731" s="375">
        <v>7.1995000000000005</v>
      </c>
      <c r="I1731" s="28" t="e">
        <f>IF(A1731&lt;&gt;0,VLOOKUP(A1731,#REF!,2,FALSE),"")</f>
        <v>#REF!</v>
      </c>
      <c r="K1731" s="237"/>
    </row>
    <row r="1732" spans="1:11" ht="30">
      <c r="A1732" s="24">
        <v>7691</v>
      </c>
      <c r="B1732" s="78" t="s">
        <v>626</v>
      </c>
      <c r="C1732" s="25" t="s">
        <v>12</v>
      </c>
      <c r="D1732" s="25" t="s">
        <v>52</v>
      </c>
      <c r="E1732" s="26">
        <v>21.315999999999999</v>
      </c>
      <c r="F1732" s="26">
        <f t="shared" ref="F1732" si="688">H1732</f>
        <v>19.158999999999999</v>
      </c>
      <c r="G1732" s="26">
        <f t="shared" ref="G1732" si="689">ROUND(F1732*E1732,2)</f>
        <v>408.39</v>
      </c>
      <c r="H1732" s="375">
        <v>19.158999999999999</v>
      </c>
      <c r="I1732" s="28" t="e">
        <f>IF(A1732&lt;&gt;0,VLOOKUP(A1732,#REF!,2,FALSE),"")</f>
        <v>#REF!</v>
      </c>
      <c r="K1732" s="237"/>
    </row>
    <row r="1733" spans="1:11" ht="30">
      <c r="A1733" s="24">
        <v>88315</v>
      </c>
      <c r="B1733" s="78" t="s">
        <v>420</v>
      </c>
      <c r="C1733" s="25" t="s">
        <v>12</v>
      </c>
      <c r="D1733" s="25" t="s">
        <v>19</v>
      </c>
      <c r="E1733" s="26">
        <v>0.92800000000000005</v>
      </c>
      <c r="F1733" s="26">
        <f t="shared" ref="F1733:F1734" si="690">H1733</f>
        <v>15.045</v>
      </c>
      <c r="G1733" s="26">
        <f t="shared" ref="G1733:G1734" si="691">ROUND(F1733*E1733,2)</f>
        <v>13.96</v>
      </c>
      <c r="H1733" s="375">
        <v>15.045</v>
      </c>
      <c r="I1733" s="28" t="e">
        <f>IF(A1733&lt;&gt;0,VLOOKUP(A1733,#REF!,2,FALSE),"")</f>
        <v>#REF!</v>
      </c>
      <c r="K1733" s="237"/>
    </row>
    <row r="1734" spans="1:11" ht="30">
      <c r="A1734" s="24">
        <v>88251</v>
      </c>
      <c r="B1734" s="78" t="s">
        <v>445</v>
      </c>
      <c r="C1734" s="25" t="s">
        <v>12</v>
      </c>
      <c r="D1734" s="25" t="s">
        <v>19</v>
      </c>
      <c r="E1734" s="26">
        <v>0.92800000000000005</v>
      </c>
      <c r="F1734" s="26">
        <f t="shared" si="690"/>
        <v>12.2485</v>
      </c>
      <c r="G1734" s="26">
        <f t="shared" si="691"/>
        <v>11.37</v>
      </c>
      <c r="H1734" s="375">
        <v>12.2485</v>
      </c>
      <c r="I1734" s="28" t="e">
        <f>IF(A1734&lt;&gt;0,VLOOKUP(A1734,#REF!,2,FALSE),"")</f>
        <v>#REF!</v>
      </c>
      <c r="K1734" s="237"/>
    </row>
    <row r="1735" spans="1:11" ht="15" customHeight="1">
      <c r="A1735" s="917" t="s">
        <v>1894</v>
      </c>
      <c r="B1735" s="918"/>
      <c r="C1735" s="918"/>
      <c r="D1735" s="918"/>
      <c r="E1735" s="918"/>
      <c r="F1735" s="926"/>
      <c r="G1735" s="79">
        <f>ROUND(SUM(G1730:G1734),2)</f>
        <v>595.42999999999995</v>
      </c>
      <c r="K1735" s="237"/>
    </row>
    <row r="1736" spans="1:11" ht="24" customHeight="1">
      <c r="A1736" s="80"/>
      <c r="B1736" s="80"/>
      <c r="C1736" s="965"/>
      <c r="D1736" s="966"/>
      <c r="E1736" s="80"/>
      <c r="F1736" s="80"/>
      <c r="G1736" s="80"/>
      <c r="K1736" s="237"/>
    </row>
    <row r="1737" spans="1:11" ht="27.75" customHeight="1">
      <c r="A1737" s="920" t="s">
        <v>2127</v>
      </c>
      <c r="B1737" s="921"/>
      <c r="C1737" s="921"/>
      <c r="D1737" s="921"/>
      <c r="E1737" s="922"/>
      <c r="F1737" s="77" t="s">
        <v>1915</v>
      </c>
      <c r="G1737" s="88"/>
      <c r="K1737" s="237"/>
    </row>
    <row r="1738" spans="1:11" ht="28.5">
      <c r="A1738" s="984" t="s">
        <v>364</v>
      </c>
      <c r="B1738" s="985"/>
      <c r="C1738" s="77" t="s">
        <v>3</v>
      </c>
      <c r="D1738" s="77" t="s">
        <v>4</v>
      </c>
      <c r="E1738" s="77" t="s">
        <v>1826</v>
      </c>
      <c r="F1738" s="77" t="s">
        <v>367</v>
      </c>
      <c r="G1738" s="77" t="s">
        <v>368</v>
      </c>
      <c r="K1738" s="237"/>
    </row>
    <row r="1739" spans="1:11" ht="30">
      <c r="A1739" s="24">
        <v>13284</v>
      </c>
      <c r="B1739" s="78" t="s">
        <v>443</v>
      </c>
      <c r="C1739" s="25" t="s">
        <v>12</v>
      </c>
      <c r="D1739" s="25" t="s">
        <v>45</v>
      </c>
      <c r="E1739" s="26">
        <v>0.4</v>
      </c>
      <c r="F1739" s="26">
        <f t="shared" ref="F1739:F1740" si="692">H1739</f>
        <v>0.60349999999999993</v>
      </c>
      <c r="G1739" s="26">
        <f t="shared" ref="G1739:G1740" si="693">ROUND(F1739*E1739,2)</f>
        <v>0.24</v>
      </c>
      <c r="H1739" s="375">
        <v>0.60349999999999993</v>
      </c>
      <c r="I1739" s="28" t="e">
        <f>IF(A1739&lt;&gt;0,VLOOKUP(A1739,#REF!,2,FALSE),"")</f>
        <v>#REF!</v>
      </c>
      <c r="K1739" s="237"/>
    </row>
    <row r="1740" spans="1:11" ht="45">
      <c r="A1740" s="24">
        <v>367</v>
      </c>
      <c r="B1740" s="78" t="s">
        <v>444</v>
      </c>
      <c r="C1740" s="25" t="s">
        <v>12</v>
      </c>
      <c r="D1740" s="25" t="s">
        <v>35</v>
      </c>
      <c r="E1740" s="26">
        <v>1E-3</v>
      </c>
      <c r="F1740" s="26">
        <f t="shared" si="692"/>
        <v>43.919499999999999</v>
      </c>
      <c r="G1740" s="26">
        <f t="shared" si="693"/>
        <v>0.04</v>
      </c>
      <c r="H1740" s="375">
        <v>43.919499999999999</v>
      </c>
      <c r="I1740" s="28" t="e">
        <f>IF(A1740&lt;&gt;0,VLOOKUP(A1740,#REF!,2,FALSE),"")</f>
        <v>#REF!</v>
      </c>
      <c r="K1740" s="237"/>
    </row>
    <row r="1741" spans="1:11" s="45" customFormat="1" ht="30">
      <c r="A1741" s="24">
        <v>10084</v>
      </c>
      <c r="B1741" s="78" t="s">
        <v>627</v>
      </c>
      <c r="C1741" s="25" t="s">
        <v>44</v>
      </c>
      <c r="D1741" s="25" t="s">
        <v>52</v>
      </c>
      <c r="E1741" s="26">
        <v>1</v>
      </c>
      <c r="F1741" s="26">
        <f t="shared" ref="F1741" si="694">H1741</f>
        <v>1281.307</v>
      </c>
      <c r="G1741" s="26">
        <f t="shared" ref="G1741" si="695">ROUND(F1741*E1741,2)</f>
        <v>1281.31</v>
      </c>
      <c r="H1741" s="364">
        <v>1281.307</v>
      </c>
      <c r="I1741" s="45" t="e">
        <f>IF(A1741&lt;&gt;0,VLOOKUP(A1741,#REF!,2,FALSE),"")</f>
        <v>#REF!</v>
      </c>
      <c r="J1741" s="364"/>
      <c r="K1741" s="237"/>
    </row>
    <row r="1742" spans="1:11" ht="30">
      <c r="A1742" s="24">
        <v>88315</v>
      </c>
      <c r="B1742" s="78" t="s">
        <v>420</v>
      </c>
      <c r="C1742" s="25" t="s">
        <v>12</v>
      </c>
      <c r="D1742" s="25" t="s">
        <v>19</v>
      </c>
      <c r="E1742" s="26">
        <v>0.41</v>
      </c>
      <c r="F1742" s="26">
        <f t="shared" ref="F1742:F1743" si="696">H1742</f>
        <v>15.045</v>
      </c>
      <c r="G1742" s="26">
        <f t="shared" ref="G1742:G1743" si="697">ROUND(F1742*E1742,2)</f>
        <v>6.17</v>
      </c>
      <c r="H1742" s="375">
        <v>15.045</v>
      </c>
      <c r="I1742" s="28" t="e">
        <f>IF(A1742&lt;&gt;0,VLOOKUP(A1742,#REF!,2,FALSE),"")</f>
        <v>#REF!</v>
      </c>
      <c r="K1742" s="237"/>
    </row>
    <row r="1743" spans="1:11" ht="30">
      <c r="A1743" s="24">
        <v>88251</v>
      </c>
      <c r="B1743" s="78" t="s">
        <v>445</v>
      </c>
      <c r="C1743" s="25" t="s">
        <v>12</v>
      </c>
      <c r="D1743" s="25" t="s">
        <v>19</v>
      </c>
      <c r="E1743" s="26">
        <v>0.41</v>
      </c>
      <c r="F1743" s="26">
        <f t="shared" si="696"/>
        <v>12.2485</v>
      </c>
      <c r="G1743" s="26">
        <f t="shared" si="697"/>
        <v>5.0199999999999996</v>
      </c>
      <c r="H1743" s="375">
        <v>12.2485</v>
      </c>
      <c r="I1743" s="28" t="e">
        <f>IF(A1743&lt;&gt;0,VLOOKUP(A1743,#REF!,2,FALSE),"")</f>
        <v>#REF!</v>
      </c>
      <c r="K1743" s="237"/>
    </row>
    <row r="1744" spans="1:11" ht="15" customHeight="1">
      <c r="A1744" s="917" t="s">
        <v>1894</v>
      </c>
      <c r="B1744" s="918"/>
      <c r="C1744" s="918"/>
      <c r="D1744" s="918"/>
      <c r="E1744" s="918"/>
      <c r="F1744" s="926"/>
      <c r="G1744" s="79">
        <f>ROUND(SUM(G1739:G1743),2)</f>
        <v>1292.78</v>
      </c>
      <c r="K1744" s="237"/>
    </row>
    <row r="1745" spans="1:11">
      <c r="A1745" s="80"/>
      <c r="B1745" s="80"/>
      <c r="C1745" s="965"/>
      <c r="D1745" s="966"/>
      <c r="E1745" s="80"/>
      <c r="F1745" s="80"/>
      <c r="G1745" s="80"/>
      <c r="K1745" s="237"/>
    </row>
    <row r="1746" spans="1:11">
      <c r="A1746" s="80"/>
      <c r="B1746" s="80"/>
      <c r="C1746" s="965"/>
      <c r="D1746" s="966"/>
      <c r="E1746" s="80"/>
      <c r="F1746" s="80"/>
      <c r="G1746" s="80"/>
      <c r="K1746" s="237"/>
    </row>
    <row r="1747" spans="1:11" ht="33.75" customHeight="1">
      <c r="A1747" s="920" t="s">
        <v>2543</v>
      </c>
      <c r="B1747" s="921"/>
      <c r="C1747" s="921"/>
      <c r="D1747" s="921"/>
      <c r="E1747" s="922"/>
      <c r="F1747" s="77" t="s">
        <v>44</v>
      </c>
      <c r="G1747" s="95">
        <v>12041</v>
      </c>
      <c r="K1747" s="237"/>
    </row>
    <row r="1748" spans="1:11" ht="28.5">
      <c r="A1748" s="984" t="s">
        <v>364</v>
      </c>
      <c r="B1748" s="985"/>
      <c r="C1748" s="77" t="s">
        <v>3</v>
      </c>
      <c r="D1748" s="77" t="s">
        <v>4</v>
      </c>
      <c r="E1748" s="77" t="s">
        <v>1826</v>
      </c>
      <c r="F1748" s="77" t="s">
        <v>367</v>
      </c>
      <c r="G1748" s="77" t="s">
        <v>368</v>
      </c>
      <c r="K1748" s="237"/>
    </row>
    <row r="1749" spans="1:11" s="45" customFormat="1">
      <c r="A1749" s="24">
        <v>12896</v>
      </c>
      <c r="B1749" s="78" t="s">
        <v>2652</v>
      </c>
      <c r="C1749" s="25" t="s">
        <v>44</v>
      </c>
      <c r="D1749" s="25" t="s">
        <v>17</v>
      </c>
      <c r="E1749" s="26">
        <v>1</v>
      </c>
      <c r="F1749" s="26">
        <f t="shared" ref="F1749:F1750" si="698">H1749</f>
        <v>42.585000000000001</v>
      </c>
      <c r="G1749" s="26">
        <f t="shared" ref="G1749:G1750" si="699">ROUND(F1749*E1749,2)</f>
        <v>42.59</v>
      </c>
      <c r="H1749" s="364">
        <v>42.585000000000001</v>
      </c>
      <c r="I1749" s="45" t="e">
        <f>IF(A1749&lt;&gt;0,VLOOKUP(A1749,#REF!,2,FALSE),"")</f>
        <v>#REF!</v>
      </c>
      <c r="J1749" s="364"/>
      <c r="K1749" s="237"/>
    </row>
    <row r="1750" spans="1:11" ht="30">
      <c r="A1750" s="24">
        <v>88309</v>
      </c>
      <c r="B1750" s="78" t="s">
        <v>390</v>
      </c>
      <c r="C1750" s="25" t="s">
        <v>12</v>
      </c>
      <c r="D1750" s="25" t="s">
        <v>19</v>
      </c>
      <c r="E1750" s="26">
        <v>0.25</v>
      </c>
      <c r="F1750" s="26">
        <f t="shared" si="698"/>
        <v>15.121499999999999</v>
      </c>
      <c r="G1750" s="26">
        <f t="shared" si="699"/>
        <v>3.78</v>
      </c>
      <c r="H1750" s="375">
        <v>15.121499999999999</v>
      </c>
      <c r="I1750" s="28" t="e">
        <f>IF(A1750&lt;&gt;0,VLOOKUP(A1750,#REF!,2,FALSE),"")</f>
        <v>#REF!</v>
      </c>
      <c r="K1750" s="237"/>
    </row>
    <row r="1751" spans="1:11" ht="15" customHeight="1">
      <c r="A1751" s="917" t="s">
        <v>1894</v>
      </c>
      <c r="B1751" s="918"/>
      <c r="C1751" s="918"/>
      <c r="D1751" s="918"/>
      <c r="E1751" s="918"/>
      <c r="F1751" s="926"/>
      <c r="G1751" s="79">
        <f>ROUND(SUM(G1749:G1750),2)</f>
        <v>46.37</v>
      </c>
      <c r="K1751" s="237"/>
    </row>
    <row r="1752" spans="1:11" ht="23.25" customHeight="1">
      <c r="A1752" s="80"/>
      <c r="B1752" s="80"/>
      <c r="C1752" s="965"/>
      <c r="D1752" s="966"/>
      <c r="E1752" s="80"/>
      <c r="F1752" s="80"/>
      <c r="G1752" s="80"/>
      <c r="K1752" s="237"/>
    </row>
    <row r="1753" spans="1:11" ht="27" customHeight="1">
      <c r="A1753" s="920" t="s">
        <v>2579</v>
      </c>
      <c r="B1753" s="921"/>
      <c r="C1753" s="921"/>
      <c r="D1753" s="921"/>
      <c r="E1753" s="922"/>
      <c r="F1753" s="77" t="s">
        <v>1915</v>
      </c>
      <c r="G1753" s="90"/>
      <c r="K1753" s="237"/>
    </row>
    <row r="1754" spans="1:11" ht="28.5">
      <c r="A1754" s="1131" t="s">
        <v>364</v>
      </c>
      <c r="B1754" s="1132"/>
      <c r="C1754" s="77" t="s">
        <v>3</v>
      </c>
      <c r="D1754" s="77" t="s">
        <v>4</v>
      </c>
      <c r="E1754" s="77" t="s">
        <v>1826</v>
      </c>
      <c r="F1754" s="77" t="s">
        <v>367</v>
      </c>
      <c r="G1754" s="77" t="s">
        <v>368</v>
      </c>
      <c r="K1754" s="237"/>
    </row>
    <row r="1755" spans="1:11" ht="30">
      <c r="A1755" s="24">
        <v>10853</v>
      </c>
      <c r="B1755" s="78" t="s">
        <v>628</v>
      </c>
      <c r="C1755" s="25" t="s">
        <v>12</v>
      </c>
      <c r="D1755" s="25" t="s">
        <v>17</v>
      </c>
      <c r="E1755" s="26">
        <v>1.5</v>
      </c>
      <c r="F1755" s="26">
        <f t="shared" ref="F1755:F1756" si="700">H1755</f>
        <v>54.280999999999999</v>
      </c>
      <c r="G1755" s="26">
        <f t="shared" ref="G1755:G1756" si="701">ROUND(F1755*E1755,2)</f>
        <v>81.42</v>
      </c>
      <c r="H1755" s="375">
        <v>54.280999999999999</v>
      </c>
      <c r="I1755" s="28" t="e">
        <f>IF(A1755&lt;&gt;0,VLOOKUP(A1755,#REF!,2,FALSE),"")</f>
        <v>#REF!</v>
      </c>
      <c r="K1755" s="237"/>
    </row>
    <row r="1756" spans="1:11" ht="30">
      <c r="A1756" s="24">
        <v>88309</v>
      </c>
      <c r="B1756" s="78" t="s">
        <v>390</v>
      </c>
      <c r="C1756" s="25" t="s">
        <v>12</v>
      </c>
      <c r="D1756" s="25" t="s">
        <v>19</v>
      </c>
      <c r="E1756" s="26">
        <v>0.35</v>
      </c>
      <c r="F1756" s="26">
        <f t="shared" si="700"/>
        <v>15.121499999999999</v>
      </c>
      <c r="G1756" s="26">
        <f t="shared" si="701"/>
        <v>5.29</v>
      </c>
      <c r="H1756" s="375">
        <v>15.121499999999999</v>
      </c>
      <c r="I1756" s="28" t="e">
        <f>IF(A1756&lt;&gt;0,VLOOKUP(A1756,#REF!,2,FALSE),"")</f>
        <v>#REF!</v>
      </c>
      <c r="K1756" s="237"/>
    </row>
    <row r="1757" spans="1:11" ht="15" customHeight="1">
      <c r="A1757" s="917" t="s">
        <v>1894</v>
      </c>
      <c r="B1757" s="918"/>
      <c r="C1757" s="918"/>
      <c r="D1757" s="918"/>
      <c r="E1757" s="918"/>
      <c r="F1757" s="926"/>
      <c r="G1757" s="79">
        <f>ROUND(SUM(G1755:G1756),2)</f>
        <v>86.71</v>
      </c>
      <c r="K1757" s="237"/>
    </row>
    <row r="1758" spans="1:11" ht="24.75" customHeight="1">
      <c r="A1758" s="80"/>
      <c r="B1758" s="80"/>
      <c r="C1758" s="1130"/>
      <c r="D1758" s="1130"/>
      <c r="E1758" s="80"/>
      <c r="F1758" s="80"/>
      <c r="G1758" s="80"/>
      <c r="K1758" s="237"/>
    </row>
    <row r="1759" spans="1:11" ht="27.75" customHeight="1">
      <c r="A1759" s="920" t="s">
        <v>2545</v>
      </c>
      <c r="B1759" s="921"/>
      <c r="C1759" s="921"/>
      <c r="D1759" s="921"/>
      <c r="E1759" s="922"/>
      <c r="F1759" s="77" t="s">
        <v>44</v>
      </c>
      <c r="G1759" s="95">
        <v>12047</v>
      </c>
      <c r="K1759" s="237"/>
    </row>
    <row r="1760" spans="1:11" ht="28.5">
      <c r="A1760" s="984" t="s">
        <v>364</v>
      </c>
      <c r="B1760" s="985"/>
      <c r="C1760" s="77" t="s">
        <v>3</v>
      </c>
      <c r="D1760" s="77" t="s">
        <v>4</v>
      </c>
      <c r="E1760" s="77" t="s">
        <v>1826</v>
      </c>
      <c r="F1760" s="77" t="s">
        <v>367</v>
      </c>
      <c r="G1760" s="77" t="s">
        <v>368</v>
      </c>
      <c r="K1760" s="237"/>
    </row>
    <row r="1761" spans="1:11" s="45" customFormat="1">
      <c r="A1761" s="24">
        <v>7646</v>
      </c>
      <c r="B1761" s="78" t="s">
        <v>2651</v>
      </c>
      <c r="C1761" s="25" t="s">
        <v>44</v>
      </c>
      <c r="D1761" s="25" t="s">
        <v>17</v>
      </c>
      <c r="E1761" s="26">
        <v>1</v>
      </c>
      <c r="F1761" s="26">
        <f t="shared" ref="F1761:F1762" si="702">H1761</f>
        <v>212.95050000000001</v>
      </c>
      <c r="G1761" s="26">
        <f t="shared" ref="G1761:G1762" si="703">ROUND(F1761*E1761,2)</f>
        <v>212.95</v>
      </c>
      <c r="H1761" s="364">
        <v>212.95050000000001</v>
      </c>
      <c r="I1761" s="45" t="e">
        <f>IF(A1761&lt;&gt;0,VLOOKUP(A1761,#REF!,2,FALSE),"")</f>
        <v>#REF!</v>
      </c>
      <c r="J1761" s="364"/>
      <c r="K1761" s="237"/>
    </row>
    <row r="1762" spans="1:11" ht="30">
      <c r="A1762" s="24">
        <v>88309</v>
      </c>
      <c r="B1762" s="78" t="s">
        <v>390</v>
      </c>
      <c r="C1762" s="25" t="s">
        <v>12</v>
      </c>
      <c r="D1762" s="25" t="s">
        <v>19</v>
      </c>
      <c r="E1762" s="26">
        <v>0.8</v>
      </c>
      <c r="F1762" s="26">
        <f t="shared" si="702"/>
        <v>15.121499999999999</v>
      </c>
      <c r="G1762" s="26">
        <f t="shared" si="703"/>
        <v>12.1</v>
      </c>
      <c r="H1762" s="375">
        <v>15.121499999999999</v>
      </c>
      <c r="I1762" s="28" t="e">
        <f>IF(A1762&lt;&gt;0,VLOOKUP(A1762,#REF!,2,FALSE),"")</f>
        <v>#REF!</v>
      </c>
      <c r="K1762" s="237"/>
    </row>
    <row r="1763" spans="1:11" ht="15" customHeight="1">
      <c r="A1763" s="917" t="s">
        <v>1894</v>
      </c>
      <c r="B1763" s="918"/>
      <c r="C1763" s="918"/>
      <c r="D1763" s="918"/>
      <c r="E1763" s="918"/>
      <c r="F1763" s="926"/>
      <c r="G1763" s="79">
        <f>ROUND(SUM(G1761:G1762),2)</f>
        <v>225.05</v>
      </c>
      <c r="K1763" s="237"/>
    </row>
    <row r="1764" spans="1:11" ht="23.25" customHeight="1">
      <c r="A1764" s="80"/>
      <c r="B1764" s="80"/>
      <c r="C1764" s="965"/>
      <c r="D1764" s="966"/>
      <c r="E1764" s="80"/>
      <c r="F1764" s="80"/>
      <c r="G1764" s="80"/>
      <c r="K1764" s="237"/>
    </row>
    <row r="1765" spans="1:11" ht="15" customHeight="1">
      <c r="A1765" s="920" t="s">
        <v>2420</v>
      </c>
      <c r="B1765" s="921"/>
      <c r="C1765" s="921"/>
      <c r="D1765" s="921"/>
      <c r="E1765" s="922"/>
      <c r="F1765" s="77" t="s">
        <v>44</v>
      </c>
      <c r="G1765" s="88"/>
      <c r="K1765" s="237"/>
    </row>
    <row r="1766" spans="1:11" ht="28.5">
      <c r="A1766" s="984" t="s">
        <v>363</v>
      </c>
      <c r="B1766" s="985"/>
      <c r="C1766" s="985"/>
      <c r="D1766" s="77" t="s">
        <v>4</v>
      </c>
      <c r="E1766" s="77" t="s">
        <v>371</v>
      </c>
      <c r="F1766" s="77" t="s">
        <v>629</v>
      </c>
      <c r="G1766" s="77" t="s">
        <v>630</v>
      </c>
      <c r="K1766" s="237"/>
    </row>
    <row r="1767" spans="1:11" ht="30">
      <c r="A1767" s="24">
        <v>88597</v>
      </c>
      <c r="B1767" s="102" t="s">
        <v>1912</v>
      </c>
      <c r="C1767" s="25" t="s">
        <v>12</v>
      </c>
      <c r="D1767" s="25" t="s">
        <v>19</v>
      </c>
      <c r="E1767" s="103">
        <v>5.8000000000000003E-2</v>
      </c>
      <c r="F1767" s="26">
        <f t="shared" ref="F1767" si="704">H1767</f>
        <v>26.826000000000001</v>
      </c>
      <c r="G1767" s="26">
        <f t="shared" ref="G1767" si="705">ROUND(F1767*E1767,2)</f>
        <v>1.56</v>
      </c>
      <c r="H1767" s="375">
        <v>26.826000000000001</v>
      </c>
      <c r="I1767" s="28" t="e">
        <f>IF(A1767&lt;&gt;0,VLOOKUP(A1767,#REF!,2,FALSE),"")</f>
        <v>#REF!</v>
      </c>
      <c r="K1767" s="237"/>
    </row>
    <row r="1768" spans="1:11" ht="15" customHeight="1">
      <c r="A1768" s="917" t="s">
        <v>1894</v>
      </c>
      <c r="B1768" s="918"/>
      <c r="C1768" s="918"/>
      <c r="D1768" s="918"/>
      <c r="E1768" s="918"/>
      <c r="F1768" s="926"/>
      <c r="G1768" s="79">
        <f>ROUND(SUM(G1767),2)</f>
        <v>1.56</v>
      </c>
      <c r="K1768" s="237"/>
    </row>
    <row r="1769" spans="1:11" ht="26.25" customHeight="1">
      <c r="A1769" s="80"/>
      <c r="B1769" s="80"/>
      <c r="C1769" s="965"/>
      <c r="D1769" s="966"/>
      <c r="E1769" s="80"/>
      <c r="F1769" s="80"/>
      <c r="G1769" s="80"/>
      <c r="K1769" s="237"/>
    </row>
    <row r="1770" spans="1:11" ht="15" customHeight="1">
      <c r="A1770" s="920" t="s">
        <v>2421</v>
      </c>
      <c r="B1770" s="921"/>
      <c r="C1770" s="921"/>
      <c r="D1770" s="921"/>
      <c r="E1770" s="922"/>
      <c r="F1770" s="77" t="s">
        <v>1915</v>
      </c>
      <c r="G1770" s="88"/>
      <c r="K1770" s="237"/>
    </row>
    <row r="1771" spans="1:11" ht="28.5">
      <c r="A1771" s="984" t="s">
        <v>364</v>
      </c>
      <c r="B1771" s="985"/>
      <c r="C1771" s="77" t="s">
        <v>3</v>
      </c>
      <c r="D1771" s="77" t="s">
        <v>4</v>
      </c>
      <c r="E1771" s="77" t="s">
        <v>1826</v>
      </c>
      <c r="F1771" s="77" t="s">
        <v>367</v>
      </c>
      <c r="G1771" s="77" t="s">
        <v>368</v>
      </c>
      <c r="K1771" s="237"/>
    </row>
    <row r="1772" spans="1:11" ht="30">
      <c r="A1772" s="24">
        <v>3</v>
      </c>
      <c r="B1772" s="78" t="s">
        <v>631</v>
      </c>
      <c r="C1772" s="25" t="s">
        <v>12</v>
      </c>
      <c r="D1772" s="25" t="s">
        <v>381</v>
      </c>
      <c r="E1772" s="26">
        <v>0.05</v>
      </c>
      <c r="F1772" s="26">
        <f t="shared" ref="F1772:F1773" si="706">H1772</f>
        <v>5.7970000000000006</v>
      </c>
      <c r="G1772" s="26">
        <f t="shared" ref="G1772:G1773" si="707">ROUND(F1772*E1772,2)</f>
        <v>0.28999999999999998</v>
      </c>
      <c r="H1772" s="375">
        <v>5.7970000000000006</v>
      </c>
      <c r="I1772" s="28" t="e">
        <f>IF(A1772&lt;&gt;0,VLOOKUP(A1772,#REF!,2,FALSE),"")</f>
        <v>#REF!</v>
      </c>
      <c r="K1772" s="237"/>
    </row>
    <row r="1773" spans="1:11" ht="30">
      <c r="A1773" s="24">
        <v>88316</v>
      </c>
      <c r="B1773" s="78" t="s">
        <v>377</v>
      </c>
      <c r="C1773" s="25" t="s">
        <v>12</v>
      </c>
      <c r="D1773" s="25" t="s">
        <v>19</v>
      </c>
      <c r="E1773" s="26">
        <v>0.14000000000000001</v>
      </c>
      <c r="F1773" s="26">
        <f t="shared" si="706"/>
        <v>11.798000000000002</v>
      </c>
      <c r="G1773" s="26">
        <f t="shared" si="707"/>
        <v>1.65</v>
      </c>
      <c r="H1773" s="375">
        <v>11.798000000000002</v>
      </c>
      <c r="I1773" s="28" t="e">
        <f>IF(A1773&lt;&gt;0,VLOOKUP(A1773,#REF!,2,FALSE),"")</f>
        <v>#REF!</v>
      </c>
      <c r="K1773" s="237"/>
    </row>
    <row r="1774" spans="1:11" ht="15" customHeight="1">
      <c r="A1774" s="917" t="s">
        <v>1894</v>
      </c>
      <c r="B1774" s="918"/>
      <c r="C1774" s="918"/>
      <c r="D1774" s="918"/>
      <c r="E1774" s="918"/>
      <c r="F1774" s="926"/>
      <c r="G1774" s="79">
        <f>ROUND(SUM(G1772:G1773),2)</f>
        <v>1.94</v>
      </c>
      <c r="K1774" s="237"/>
    </row>
    <row r="1775" spans="1:11" ht="24" customHeight="1">
      <c r="A1775" s="104"/>
      <c r="B1775" s="104"/>
      <c r="C1775" s="104"/>
      <c r="D1775" s="104"/>
      <c r="E1775" s="105"/>
      <c r="F1775" s="106"/>
      <c r="G1775" s="107"/>
      <c r="K1775" s="237"/>
    </row>
    <row r="1776" spans="1:11" ht="36.75" customHeight="1">
      <c r="A1776" s="920" t="s">
        <v>2377</v>
      </c>
      <c r="B1776" s="921"/>
      <c r="C1776" s="921"/>
      <c r="D1776" s="921"/>
      <c r="E1776" s="929"/>
      <c r="F1776" s="75" t="s">
        <v>44</v>
      </c>
      <c r="G1776" s="88"/>
      <c r="K1776" s="237"/>
    </row>
    <row r="1777" spans="1:11" ht="28.5">
      <c r="A1777" s="984" t="s">
        <v>1917</v>
      </c>
      <c r="B1777" s="985"/>
      <c r="C1777" s="77" t="s">
        <v>3</v>
      </c>
      <c r="D1777" s="77" t="s">
        <v>4</v>
      </c>
      <c r="E1777" s="77" t="s">
        <v>1826</v>
      </c>
      <c r="F1777" s="77" t="s">
        <v>367</v>
      </c>
      <c r="G1777" s="77" t="s">
        <v>368</v>
      </c>
      <c r="K1777" s="237"/>
    </row>
    <row r="1778" spans="1:11" s="45" customFormat="1" ht="30">
      <c r="A1778" s="24">
        <v>13569</v>
      </c>
      <c r="B1778" s="78" t="s">
        <v>2669</v>
      </c>
      <c r="C1778" s="25" t="s">
        <v>44</v>
      </c>
      <c r="D1778" s="25" t="s">
        <v>17</v>
      </c>
      <c r="E1778" s="26">
        <v>1</v>
      </c>
      <c r="F1778" s="26">
        <f t="shared" ref="F1778:F1780" si="708">H1778</f>
        <v>329.17949999999996</v>
      </c>
      <c r="G1778" s="26">
        <f t="shared" ref="G1778:G1780" si="709">ROUND(F1778*E1778,2)</f>
        <v>329.18</v>
      </c>
      <c r="H1778" s="364">
        <v>329.17949999999996</v>
      </c>
      <c r="I1778" s="45" t="e">
        <f>IF(A1778&lt;&gt;0,VLOOKUP(A1778,#REF!,2,FALSE),"")</f>
        <v>#REF!</v>
      </c>
      <c r="J1778" s="364"/>
      <c r="K1778" s="237"/>
    </row>
    <row r="1779" spans="1:11" ht="30">
      <c r="A1779" s="24">
        <v>88264</v>
      </c>
      <c r="B1779" s="78" t="s">
        <v>379</v>
      </c>
      <c r="C1779" s="25" t="s">
        <v>12</v>
      </c>
      <c r="D1779" s="25" t="s">
        <v>19</v>
      </c>
      <c r="E1779" s="26">
        <v>6</v>
      </c>
      <c r="F1779" s="26">
        <f t="shared" si="708"/>
        <v>15.249000000000001</v>
      </c>
      <c r="G1779" s="26">
        <f t="shared" si="709"/>
        <v>91.49</v>
      </c>
      <c r="H1779" s="375">
        <v>15.249000000000001</v>
      </c>
      <c r="I1779" s="28" t="e">
        <f>IF(A1779&lt;&gt;0,VLOOKUP(A1779,#REF!,2,FALSE),"")</f>
        <v>#REF!</v>
      </c>
      <c r="K1779" s="237"/>
    </row>
    <row r="1780" spans="1:11" ht="30">
      <c r="A1780" s="24">
        <v>88316</v>
      </c>
      <c r="B1780" s="78" t="s">
        <v>377</v>
      </c>
      <c r="C1780" s="25" t="s">
        <v>12</v>
      </c>
      <c r="D1780" s="25" t="s">
        <v>19</v>
      </c>
      <c r="E1780" s="26">
        <v>6</v>
      </c>
      <c r="F1780" s="26">
        <f t="shared" si="708"/>
        <v>11.798000000000002</v>
      </c>
      <c r="G1780" s="26">
        <f t="shared" si="709"/>
        <v>70.790000000000006</v>
      </c>
      <c r="H1780" s="375">
        <v>11.798000000000002</v>
      </c>
      <c r="I1780" s="28" t="e">
        <f>IF(A1780&lt;&gt;0,VLOOKUP(A1780,#REF!,2,FALSE),"")</f>
        <v>#REF!</v>
      </c>
      <c r="K1780" s="237"/>
    </row>
    <row r="1781" spans="1:11">
      <c r="A1781" s="986" t="s">
        <v>1894</v>
      </c>
      <c r="B1781" s="986"/>
      <c r="C1781" s="986"/>
      <c r="D1781" s="986"/>
      <c r="E1781" s="986"/>
      <c r="F1781" s="986"/>
      <c r="G1781" s="79">
        <f>ROUND(SUM(G1778:G1780),2)</f>
        <v>491.46</v>
      </c>
      <c r="K1781" s="237"/>
    </row>
    <row r="1782" spans="1:11">
      <c r="A1782" s="27"/>
      <c r="B1782" s="27"/>
      <c r="C1782" s="27"/>
      <c r="D1782" s="27"/>
      <c r="E1782" s="27"/>
      <c r="F1782" s="27"/>
      <c r="G1782" s="27"/>
      <c r="K1782" s="237"/>
    </row>
    <row r="1783" spans="1:11">
      <c r="A1783" s="27"/>
      <c r="B1783" s="27"/>
      <c r="C1783" s="27"/>
      <c r="D1783" s="27"/>
      <c r="E1783" s="27"/>
      <c r="F1783" s="27"/>
      <c r="G1783" s="27"/>
      <c r="K1783" s="237"/>
    </row>
    <row r="1784" spans="1:11" ht="46.5" customHeight="1">
      <c r="A1784" s="920" t="s">
        <v>2379</v>
      </c>
      <c r="B1784" s="921"/>
      <c r="C1784" s="921"/>
      <c r="D1784" s="921"/>
      <c r="E1784" s="929"/>
      <c r="F1784" s="75" t="s">
        <v>44</v>
      </c>
      <c r="G1784" s="88"/>
      <c r="K1784" s="237"/>
    </row>
    <row r="1785" spans="1:11" ht="28.5">
      <c r="A1785" s="984" t="s">
        <v>1917</v>
      </c>
      <c r="B1785" s="985"/>
      <c r="C1785" s="77" t="s">
        <v>3</v>
      </c>
      <c r="D1785" s="77" t="s">
        <v>4</v>
      </c>
      <c r="E1785" s="77" t="s">
        <v>1826</v>
      </c>
      <c r="F1785" s="77" t="s">
        <v>367</v>
      </c>
      <c r="G1785" s="77" t="s">
        <v>368</v>
      </c>
      <c r="K1785" s="237"/>
    </row>
    <row r="1786" spans="1:11" s="45" customFormat="1" ht="45">
      <c r="A1786" s="24">
        <v>11103</v>
      </c>
      <c r="B1786" s="78" t="s">
        <v>2378</v>
      </c>
      <c r="C1786" s="25" t="s">
        <v>44</v>
      </c>
      <c r="D1786" s="25" t="s">
        <v>17</v>
      </c>
      <c r="E1786" s="26">
        <v>1</v>
      </c>
      <c r="F1786" s="26">
        <f t="shared" ref="F1786" si="710">H1786</f>
        <v>7342.1640000000007</v>
      </c>
      <c r="G1786" s="26">
        <f t="shared" ref="G1786" si="711">ROUND(F1786*E1786,2)</f>
        <v>7342.16</v>
      </c>
      <c r="H1786" s="364">
        <v>7342.1640000000007</v>
      </c>
      <c r="I1786" s="45" t="e">
        <f>IF(A1786&lt;&gt;0,VLOOKUP(A1786,#REF!,2,FALSE),"")</f>
        <v>#REF!</v>
      </c>
      <c r="J1786" s="364"/>
      <c r="K1786" s="237"/>
    </row>
    <row r="1787" spans="1:11">
      <c r="A1787" s="986" t="s">
        <v>1894</v>
      </c>
      <c r="B1787" s="986"/>
      <c r="C1787" s="986"/>
      <c r="D1787" s="986"/>
      <c r="E1787" s="986"/>
      <c r="F1787" s="986"/>
      <c r="G1787" s="79">
        <f>ROUND(SUM(G1786:G1786),2)</f>
        <v>7342.16</v>
      </c>
      <c r="K1787" s="237"/>
    </row>
    <row r="1788" spans="1:11">
      <c r="A1788" s="27"/>
      <c r="B1788" s="27"/>
      <c r="C1788" s="27"/>
      <c r="D1788" s="27"/>
      <c r="E1788" s="27"/>
      <c r="F1788" s="27"/>
      <c r="G1788" s="27"/>
      <c r="K1788" s="237"/>
    </row>
    <row r="1789" spans="1:11">
      <c r="A1789" s="27"/>
      <c r="B1789" s="27"/>
      <c r="C1789" s="27"/>
      <c r="D1789" s="27"/>
      <c r="E1789" s="27"/>
      <c r="F1789" s="27"/>
      <c r="G1789" s="27"/>
      <c r="K1789" s="237"/>
    </row>
    <row r="1790" spans="1:11" ht="39.75" customHeight="1">
      <c r="A1790" s="920" t="s">
        <v>2380</v>
      </c>
      <c r="B1790" s="921"/>
      <c r="C1790" s="921"/>
      <c r="D1790" s="921"/>
      <c r="E1790" s="929"/>
      <c r="F1790" s="75" t="s">
        <v>44</v>
      </c>
      <c r="G1790" s="347"/>
      <c r="K1790" s="237"/>
    </row>
    <row r="1791" spans="1:11" ht="28.5">
      <c r="A1791" s="77" t="s">
        <v>1917</v>
      </c>
      <c r="B1791" s="347"/>
      <c r="C1791" s="77" t="s">
        <v>3</v>
      </c>
      <c r="D1791" s="77" t="s">
        <v>4</v>
      </c>
      <c r="E1791" s="77" t="s">
        <v>1826</v>
      </c>
      <c r="F1791" s="77" t="s">
        <v>367</v>
      </c>
      <c r="G1791" s="77" t="s">
        <v>368</v>
      </c>
      <c r="K1791" s="237"/>
    </row>
    <row r="1792" spans="1:11" ht="30">
      <c r="A1792" s="24">
        <v>370</v>
      </c>
      <c r="B1792" s="78" t="s">
        <v>396</v>
      </c>
      <c r="C1792" s="25" t="s">
        <v>12</v>
      </c>
      <c r="D1792" s="25" t="s">
        <v>35</v>
      </c>
      <c r="E1792" s="91">
        <v>3.0000000000000001E-3</v>
      </c>
      <c r="F1792" s="26">
        <f t="shared" ref="F1792:F1798" si="712">H1792</f>
        <v>42.5</v>
      </c>
      <c r="G1792" s="26">
        <f t="shared" ref="G1792:G1798" si="713">ROUND(F1792*E1792,2)</f>
        <v>0.13</v>
      </c>
      <c r="H1792" s="375">
        <v>42.5</v>
      </c>
      <c r="I1792" s="28" t="e">
        <f>IF(A1792&lt;&gt;0,VLOOKUP(A1792,#REF!,2,FALSE),"")</f>
        <v>#REF!</v>
      </c>
      <c r="K1792" s="237"/>
    </row>
    <row r="1793" spans="1:11" ht="30">
      <c r="A1793" s="24">
        <v>1337</v>
      </c>
      <c r="B1793" s="78" t="s">
        <v>1850</v>
      </c>
      <c r="C1793" s="25" t="s">
        <v>12</v>
      </c>
      <c r="D1793" s="25" t="s">
        <v>45</v>
      </c>
      <c r="E1793" s="26">
        <v>34.9</v>
      </c>
      <c r="F1793" s="26">
        <f t="shared" ref="F1793" si="714">H1793</f>
        <v>8.9589999999999996</v>
      </c>
      <c r="G1793" s="26">
        <f t="shared" ref="G1793" si="715">ROUND(F1793*E1793,2)</f>
        <v>312.67</v>
      </c>
      <c r="H1793" s="375">
        <v>8.9589999999999996</v>
      </c>
      <c r="I1793" s="28" t="e">
        <f>IF(A1793&lt;&gt;0,VLOOKUP(A1793,#REF!,2,FALSE),"")</f>
        <v>#REF!</v>
      </c>
      <c r="K1793" s="237"/>
    </row>
    <row r="1794" spans="1:11">
      <c r="A1794" s="24">
        <v>1379</v>
      </c>
      <c r="B1794" s="78" t="s">
        <v>397</v>
      </c>
      <c r="C1794" s="25" t="s">
        <v>12</v>
      </c>
      <c r="D1794" s="25" t="s">
        <v>45</v>
      </c>
      <c r="E1794" s="26">
        <v>1.17</v>
      </c>
      <c r="F1794" s="26">
        <f t="shared" si="712"/>
        <v>0.60349999999999993</v>
      </c>
      <c r="G1794" s="26">
        <f t="shared" si="713"/>
        <v>0.71</v>
      </c>
      <c r="H1794" s="375">
        <v>0.60349999999999993</v>
      </c>
      <c r="I1794" s="28" t="e">
        <f>IF(A1794&lt;&gt;0,VLOOKUP(A1794,#REF!,2,FALSE),"")</f>
        <v>#REF!</v>
      </c>
      <c r="K1794" s="237"/>
    </row>
    <row r="1795" spans="1:11" s="45" customFormat="1" ht="30">
      <c r="A1795" s="24">
        <v>4898</v>
      </c>
      <c r="B1795" s="78" t="s">
        <v>2381</v>
      </c>
      <c r="C1795" s="25" t="s">
        <v>44</v>
      </c>
      <c r="D1795" s="25" t="s">
        <v>45</v>
      </c>
      <c r="E1795" s="26">
        <v>11.62</v>
      </c>
      <c r="F1795" s="26">
        <f t="shared" si="712"/>
        <v>6.2560000000000002</v>
      </c>
      <c r="G1795" s="26">
        <f t="shared" si="713"/>
        <v>72.69</v>
      </c>
      <c r="H1795" s="364">
        <v>6.2560000000000002</v>
      </c>
      <c r="I1795" s="45" t="e">
        <f>IF(A1795&lt;&gt;0,VLOOKUP(A1795,#REF!,2,FALSE),"")</f>
        <v>#REF!</v>
      </c>
      <c r="J1795" s="364"/>
      <c r="K1795" s="237"/>
    </row>
    <row r="1796" spans="1:11" ht="30">
      <c r="A1796" s="24">
        <v>88317</v>
      </c>
      <c r="B1796" s="78" t="s">
        <v>415</v>
      </c>
      <c r="C1796" s="25" t="s">
        <v>12</v>
      </c>
      <c r="D1796" s="25" t="s">
        <v>19</v>
      </c>
      <c r="E1796" s="26">
        <v>0.6</v>
      </c>
      <c r="F1796" s="26">
        <f t="shared" ref="F1796" si="716">H1796</f>
        <v>15.606</v>
      </c>
      <c r="G1796" s="26">
        <f t="shared" ref="G1796" si="717">ROUND(F1796*E1796,2)</f>
        <v>9.36</v>
      </c>
      <c r="H1796" s="375">
        <v>15.606</v>
      </c>
      <c r="I1796" s="28" t="e">
        <f>IF(A1796&lt;&gt;0,VLOOKUP(A1796,#REF!,2,FALSE),"")</f>
        <v>#REF!</v>
      </c>
      <c r="K1796" s="237"/>
    </row>
    <row r="1797" spans="1:11" ht="30">
      <c r="A1797" s="24">
        <v>88309</v>
      </c>
      <c r="B1797" s="78" t="s">
        <v>390</v>
      </c>
      <c r="C1797" s="25" t="s">
        <v>12</v>
      </c>
      <c r="D1797" s="25" t="s">
        <v>19</v>
      </c>
      <c r="E1797" s="26">
        <v>0.5</v>
      </c>
      <c r="F1797" s="26">
        <f t="shared" si="712"/>
        <v>15.121499999999999</v>
      </c>
      <c r="G1797" s="26">
        <f t="shared" si="713"/>
        <v>7.56</v>
      </c>
      <c r="H1797" s="375">
        <v>15.121499999999999</v>
      </c>
      <c r="I1797" s="28" t="e">
        <f>IF(A1797&lt;&gt;0,VLOOKUP(A1797,#REF!,2,FALSE),"")</f>
        <v>#REF!</v>
      </c>
      <c r="K1797" s="237"/>
    </row>
    <row r="1798" spans="1:11" ht="30">
      <c r="A1798" s="24">
        <v>88316</v>
      </c>
      <c r="B1798" s="78" t="s">
        <v>377</v>
      </c>
      <c r="C1798" s="25" t="s">
        <v>12</v>
      </c>
      <c r="D1798" s="25" t="s">
        <v>19</v>
      </c>
      <c r="E1798" s="26">
        <v>0.4</v>
      </c>
      <c r="F1798" s="26">
        <f t="shared" si="712"/>
        <v>11.798000000000002</v>
      </c>
      <c r="G1798" s="26">
        <f t="shared" si="713"/>
        <v>4.72</v>
      </c>
      <c r="H1798" s="375">
        <v>11.798000000000002</v>
      </c>
      <c r="I1798" s="28" t="e">
        <f>IF(A1798&lt;&gt;0,VLOOKUP(A1798,#REF!,2,FALSE),"")</f>
        <v>#REF!</v>
      </c>
      <c r="K1798" s="237"/>
    </row>
    <row r="1799" spans="1:11">
      <c r="A1799" s="986" t="s">
        <v>1894</v>
      </c>
      <c r="B1799" s="986"/>
      <c r="C1799" s="986"/>
      <c r="D1799" s="986"/>
      <c r="E1799" s="986"/>
      <c r="F1799" s="986"/>
      <c r="G1799" s="79">
        <f>ROUND(SUM(G1792:G1798),2)</f>
        <v>407.84</v>
      </c>
      <c r="K1799" s="237"/>
    </row>
    <row r="1800" spans="1:11">
      <c r="A1800" s="27"/>
      <c r="B1800" s="27"/>
      <c r="C1800" s="27"/>
      <c r="D1800" s="27"/>
      <c r="E1800" s="27"/>
      <c r="F1800" s="27"/>
      <c r="G1800" s="27"/>
      <c r="K1800" s="237"/>
    </row>
    <row r="1801" spans="1:11">
      <c r="A1801" s="27"/>
      <c r="B1801" s="27"/>
      <c r="C1801" s="27"/>
      <c r="D1801" s="27"/>
      <c r="E1801" s="27"/>
      <c r="F1801" s="27"/>
      <c r="G1801" s="27"/>
      <c r="K1801" s="237"/>
    </row>
    <row r="1802" spans="1:11" ht="51" customHeight="1">
      <c r="A1802" s="920" t="s">
        <v>2384</v>
      </c>
      <c r="B1802" s="921"/>
      <c r="C1802" s="921"/>
      <c r="D1802" s="921"/>
      <c r="E1802" s="929"/>
      <c r="F1802" s="75" t="s">
        <v>44</v>
      </c>
      <c r="G1802" s="88"/>
      <c r="K1802" s="237"/>
    </row>
    <row r="1803" spans="1:11" ht="28.5">
      <c r="A1803" s="77" t="s">
        <v>1917</v>
      </c>
      <c r="B1803" s="347"/>
      <c r="C1803" s="77" t="s">
        <v>3</v>
      </c>
      <c r="D1803" s="77" t="s">
        <v>4</v>
      </c>
      <c r="E1803" s="77" t="s">
        <v>1826</v>
      </c>
      <c r="F1803" s="77" t="s">
        <v>367</v>
      </c>
      <c r="G1803" s="77" t="s">
        <v>368</v>
      </c>
      <c r="K1803" s="237"/>
    </row>
    <row r="1804" spans="1:11" s="45" customFormat="1" ht="60">
      <c r="A1804" s="24">
        <v>12955</v>
      </c>
      <c r="B1804" s="78" t="s">
        <v>2383</v>
      </c>
      <c r="C1804" s="25" t="s">
        <v>44</v>
      </c>
      <c r="D1804" s="25" t="s">
        <v>17</v>
      </c>
      <c r="E1804" s="26">
        <v>1</v>
      </c>
      <c r="F1804" s="26">
        <f t="shared" ref="F1804" si="718">H1804</f>
        <v>5100</v>
      </c>
      <c r="G1804" s="26">
        <f t="shared" ref="G1804" si="719">ROUND(F1804*E1804,2)</f>
        <v>5100</v>
      </c>
      <c r="H1804" s="364">
        <v>5100</v>
      </c>
      <c r="I1804" s="45" t="e">
        <f>IF(A1804&lt;&gt;0,VLOOKUP(A1804,#REF!,2,FALSE),"")</f>
        <v>#REF!</v>
      </c>
      <c r="J1804" s="364"/>
      <c r="K1804" s="237"/>
    </row>
    <row r="1805" spans="1:11">
      <c r="A1805" s="986" t="s">
        <v>1894</v>
      </c>
      <c r="B1805" s="986"/>
      <c r="C1805" s="986"/>
      <c r="D1805" s="986"/>
      <c r="E1805" s="986"/>
      <c r="F1805" s="986"/>
      <c r="G1805" s="79">
        <f>ROUND(SUM(G1804:G1804),2)</f>
        <v>5100</v>
      </c>
      <c r="K1805" s="237"/>
    </row>
    <row r="1806" spans="1:11">
      <c r="A1806" s="27"/>
      <c r="B1806" s="27"/>
      <c r="C1806" s="27"/>
      <c r="D1806" s="27"/>
      <c r="E1806" s="27"/>
      <c r="F1806" s="27"/>
      <c r="G1806" s="27"/>
      <c r="K1806" s="237"/>
    </row>
    <row r="1807" spans="1:11">
      <c r="A1807" s="27"/>
      <c r="B1807" s="27"/>
      <c r="C1807" s="27"/>
      <c r="D1807" s="27"/>
      <c r="E1807" s="27"/>
      <c r="F1807" s="27"/>
      <c r="G1807" s="27"/>
      <c r="K1807" s="237"/>
    </row>
    <row r="1808" spans="1:11" ht="28.5" customHeight="1">
      <c r="A1808" s="920" t="s">
        <v>2492</v>
      </c>
      <c r="B1808" s="1136"/>
      <c r="C1808" s="921"/>
      <c r="D1808" s="921"/>
      <c r="E1808" s="929"/>
      <c r="F1808" s="75" t="s">
        <v>1915</v>
      </c>
      <c r="G1808" s="88" t="s">
        <v>2491</v>
      </c>
      <c r="K1808" s="237"/>
    </row>
    <row r="1809" spans="1:11" ht="28.5">
      <c r="A1809" s="342" t="s">
        <v>1917</v>
      </c>
      <c r="B1809" s="97"/>
      <c r="C1809" s="343" t="s">
        <v>3</v>
      </c>
      <c r="D1809" s="77" t="s">
        <v>4</v>
      </c>
      <c r="E1809" s="77" t="s">
        <v>1826</v>
      </c>
      <c r="F1809" s="77" t="s">
        <v>367</v>
      </c>
      <c r="G1809" s="77" t="s">
        <v>368</v>
      </c>
      <c r="K1809" s="237"/>
    </row>
    <row r="1810" spans="1:11" s="34" customFormat="1">
      <c r="A1810" s="24" t="s">
        <v>1920</v>
      </c>
      <c r="B1810" s="252" t="s">
        <v>2490</v>
      </c>
      <c r="C1810" s="25" t="s">
        <v>2015</v>
      </c>
      <c r="D1810" s="25" t="s">
        <v>17</v>
      </c>
      <c r="E1810" s="26">
        <v>1</v>
      </c>
      <c r="F1810" s="26">
        <f t="shared" ref="F1810" si="720">H1810</f>
        <v>971.08249999999998</v>
      </c>
      <c r="G1810" s="26">
        <f t="shared" ref="G1810" si="721">ROUND(F1810*E1810,2)</f>
        <v>971.08</v>
      </c>
      <c r="H1810" s="378">
        <v>971.08249999999998</v>
      </c>
      <c r="J1810" s="378"/>
      <c r="K1810" s="237"/>
    </row>
    <row r="1811" spans="1:11">
      <c r="A1811" s="986" t="s">
        <v>1894</v>
      </c>
      <c r="B1811" s="986"/>
      <c r="C1811" s="986"/>
      <c r="D1811" s="986"/>
      <c r="E1811" s="986"/>
      <c r="F1811" s="986"/>
      <c r="G1811" s="79">
        <f>ROUND(SUM(G1810:G1810),2)</f>
        <v>971.08</v>
      </c>
      <c r="K1811" s="237"/>
    </row>
    <row r="1812" spans="1:11">
      <c r="A1812" s="27"/>
      <c r="B1812" s="27"/>
      <c r="C1812" s="27"/>
      <c r="D1812" s="27"/>
      <c r="E1812" s="27"/>
      <c r="F1812" s="27"/>
      <c r="G1812" s="27"/>
      <c r="K1812" s="237"/>
    </row>
    <row r="1813" spans="1:11">
      <c r="A1813" s="27"/>
      <c r="B1813" s="27"/>
      <c r="C1813" s="27"/>
      <c r="D1813" s="27"/>
      <c r="E1813" s="27"/>
      <c r="F1813" s="27"/>
      <c r="G1813" s="27"/>
      <c r="K1813" s="237"/>
    </row>
    <row r="1814" spans="1:11" ht="45.75" customHeight="1">
      <c r="A1814" s="920" t="s">
        <v>2403</v>
      </c>
      <c r="B1814" s="921"/>
      <c r="C1814" s="921"/>
      <c r="D1814" s="921"/>
      <c r="E1814" s="929"/>
      <c r="F1814" s="75" t="s">
        <v>1915</v>
      </c>
      <c r="G1814" s="347"/>
      <c r="K1814" s="237"/>
    </row>
    <row r="1815" spans="1:11" ht="28.5">
      <c r="A1815" s="77" t="s">
        <v>1917</v>
      </c>
      <c r="B1815" s="347"/>
      <c r="C1815" s="77" t="s">
        <v>3</v>
      </c>
      <c r="D1815" s="77" t="s">
        <v>4</v>
      </c>
      <c r="E1815" s="77" t="s">
        <v>1826</v>
      </c>
      <c r="F1815" s="77" t="s">
        <v>367</v>
      </c>
      <c r="G1815" s="77" t="s">
        <v>368</v>
      </c>
      <c r="K1815" s="237"/>
    </row>
    <row r="1816" spans="1:11">
      <c r="A1816" s="24" t="s">
        <v>2395</v>
      </c>
      <c r="B1816" s="78" t="s">
        <v>2386</v>
      </c>
      <c r="C1816" s="24" t="s">
        <v>2015</v>
      </c>
      <c r="D1816" s="25" t="s">
        <v>17</v>
      </c>
      <c r="E1816" s="26">
        <v>1</v>
      </c>
      <c r="F1816" s="26">
        <f t="shared" ref="F1816:F1822" si="722">H1816</f>
        <v>736.26150000000007</v>
      </c>
      <c r="G1816" s="26">
        <f t="shared" ref="G1816:G1822" si="723">ROUND(F1816*E1816,2)</f>
        <v>736.26</v>
      </c>
      <c r="H1816" s="375">
        <v>736.26150000000007</v>
      </c>
      <c r="I1816" s="28"/>
      <c r="K1816" s="237"/>
    </row>
    <row r="1817" spans="1:11">
      <c r="A1817" s="24" t="s">
        <v>2396</v>
      </c>
      <c r="B1817" s="78" t="s">
        <v>2385</v>
      </c>
      <c r="C1817" s="24" t="s">
        <v>2015</v>
      </c>
      <c r="D1817" s="25" t="s">
        <v>17</v>
      </c>
      <c r="E1817" s="26">
        <v>1</v>
      </c>
      <c r="F1817" s="26">
        <f t="shared" si="722"/>
        <v>110.71250000000001</v>
      </c>
      <c r="G1817" s="26">
        <f t="shared" si="723"/>
        <v>110.71</v>
      </c>
      <c r="H1817" s="375">
        <v>110.71250000000001</v>
      </c>
      <c r="I1817" s="28"/>
      <c r="K1817" s="237"/>
    </row>
    <row r="1818" spans="1:11" ht="60">
      <c r="A1818" s="24" t="s">
        <v>2397</v>
      </c>
      <c r="B1818" s="78" t="s">
        <v>2387</v>
      </c>
      <c r="C1818" s="24" t="s">
        <v>2015</v>
      </c>
      <c r="D1818" s="25" t="s">
        <v>17</v>
      </c>
      <c r="E1818" s="26">
        <v>2</v>
      </c>
      <c r="F1818" s="26">
        <f t="shared" si="722"/>
        <v>873.24749999999995</v>
      </c>
      <c r="G1818" s="26">
        <f t="shared" si="723"/>
        <v>1746.5</v>
      </c>
      <c r="H1818" s="375">
        <v>873.24749999999995</v>
      </c>
      <c r="I1818" s="28"/>
      <c r="K1818" s="237"/>
    </row>
    <row r="1819" spans="1:11" ht="30">
      <c r="A1819" s="24" t="s">
        <v>2398</v>
      </c>
      <c r="B1819" s="78" t="s">
        <v>2388</v>
      </c>
      <c r="C1819" s="24" t="s">
        <v>2015</v>
      </c>
      <c r="D1819" s="25" t="s">
        <v>17</v>
      </c>
      <c r="E1819" s="26">
        <v>1</v>
      </c>
      <c r="F1819" s="26">
        <f t="shared" si="722"/>
        <v>401.36149999999998</v>
      </c>
      <c r="G1819" s="26">
        <f t="shared" si="723"/>
        <v>401.36</v>
      </c>
      <c r="H1819" s="375">
        <v>401.36149999999998</v>
      </c>
      <c r="I1819" s="28"/>
      <c r="K1819" s="237"/>
    </row>
    <row r="1820" spans="1:11" ht="30">
      <c r="A1820" s="24" t="s">
        <v>2399</v>
      </c>
      <c r="B1820" s="78" t="s">
        <v>2389</v>
      </c>
      <c r="C1820" s="24" t="s">
        <v>2015</v>
      </c>
      <c r="D1820" s="25" t="s">
        <v>17</v>
      </c>
      <c r="E1820" s="26">
        <v>2</v>
      </c>
      <c r="F1820" s="26">
        <f t="shared" si="722"/>
        <v>36.856000000000002</v>
      </c>
      <c r="G1820" s="26">
        <f t="shared" si="723"/>
        <v>73.709999999999994</v>
      </c>
      <c r="H1820" s="375">
        <v>36.856000000000002</v>
      </c>
      <c r="I1820" s="28"/>
      <c r="K1820" s="237"/>
    </row>
    <row r="1821" spans="1:11">
      <c r="A1821" s="24">
        <v>88266</v>
      </c>
      <c r="B1821" s="78" t="e">
        <f>I1821</f>
        <v>#REF!</v>
      </c>
      <c r="C1821" s="25" t="s">
        <v>12</v>
      </c>
      <c r="D1821" s="25" t="s">
        <v>19</v>
      </c>
      <c r="E1821" s="26">
        <v>1</v>
      </c>
      <c r="F1821" s="26">
        <f t="shared" ref="F1821" si="724">H1821</f>
        <v>25.6785</v>
      </c>
      <c r="G1821" s="26">
        <f t="shared" ref="G1821" si="725">ROUND(F1821*E1821,2)</f>
        <v>25.68</v>
      </c>
      <c r="H1821" s="375">
        <v>25.6785</v>
      </c>
      <c r="I1821" s="28" t="e">
        <f>IF(A1821&lt;&gt;0,VLOOKUP(A1821,#REF!,2,FALSE),"")</f>
        <v>#REF!</v>
      </c>
      <c r="K1821" s="237"/>
    </row>
    <row r="1822" spans="1:11" ht="30">
      <c r="A1822" s="24">
        <v>88264</v>
      </c>
      <c r="B1822" s="78" t="s">
        <v>379</v>
      </c>
      <c r="C1822" s="25" t="s">
        <v>12</v>
      </c>
      <c r="D1822" s="25" t="s">
        <v>19</v>
      </c>
      <c r="E1822" s="26">
        <v>1</v>
      </c>
      <c r="F1822" s="26">
        <f t="shared" si="722"/>
        <v>15.249000000000001</v>
      </c>
      <c r="G1822" s="26">
        <f t="shared" si="723"/>
        <v>15.25</v>
      </c>
      <c r="H1822" s="375">
        <v>15.249000000000001</v>
      </c>
      <c r="I1822" s="28" t="e">
        <f>IF(A1822&lt;&gt;0,VLOOKUP(A1822,#REF!,2,FALSE),"")</f>
        <v>#REF!</v>
      </c>
      <c r="K1822" s="237"/>
    </row>
    <row r="1823" spans="1:11">
      <c r="A1823" s="986" t="s">
        <v>1894</v>
      </c>
      <c r="B1823" s="986"/>
      <c r="C1823" s="986"/>
      <c r="D1823" s="986"/>
      <c r="E1823" s="986"/>
      <c r="F1823" s="986"/>
      <c r="G1823" s="79">
        <f>ROUND(SUM(G1816:G1822),2)</f>
        <v>3109.47</v>
      </c>
      <c r="K1823" s="237"/>
    </row>
    <row r="1824" spans="1:11">
      <c r="A1824" s="27"/>
      <c r="B1824" s="27"/>
      <c r="C1824" s="27"/>
      <c r="D1824" s="27"/>
      <c r="E1824" s="27"/>
      <c r="F1824" s="27"/>
      <c r="G1824" s="27"/>
      <c r="K1824" s="237"/>
    </row>
    <row r="1825" spans="1:11">
      <c r="A1825" s="27"/>
      <c r="B1825" s="27"/>
      <c r="C1825" s="27"/>
      <c r="D1825" s="27"/>
      <c r="E1825" s="27"/>
      <c r="F1825" s="27"/>
      <c r="G1825" s="27"/>
      <c r="K1825" s="237"/>
    </row>
    <row r="1826" spans="1:11" ht="33" customHeight="1">
      <c r="A1826" s="920" t="s">
        <v>2402</v>
      </c>
      <c r="B1826" s="921"/>
      <c r="C1826" s="921"/>
      <c r="D1826" s="921"/>
      <c r="E1826" s="929"/>
      <c r="F1826" s="75" t="s">
        <v>1915</v>
      </c>
      <c r="G1826" s="347"/>
      <c r="K1826" s="237"/>
    </row>
    <row r="1827" spans="1:11" ht="28.5">
      <c r="A1827" s="77" t="s">
        <v>1917</v>
      </c>
      <c r="B1827" s="347"/>
      <c r="C1827" s="77" t="s">
        <v>3</v>
      </c>
      <c r="D1827" s="77" t="s">
        <v>4</v>
      </c>
      <c r="E1827" s="77" t="s">
        <v>1826</v>
      </c>
      <c r="F1827" s="77" t="s">
        <v>367</v>
      </c>
      <c r="G1827" s="77" t="s">
        <v>368</v>
      </c>
      <c r="K1827" s="237"/>
    </row>
    <row r="1828" spans="1:11" ht="30">
      <c r="A1828" s="24"/>
      <c r="B1828" s="78" t="s">
        <v>2404</v>
      </c>
      <c r="C1828" s="24" t="s">
        <v>2015</v>
      </c>
      <c r="D1828" s="25" t="s">
        <v>17</v>
      </c>
      <c r="E1828" s="26">
        <v>1</v>
      </c>
      <c r="F1828" s="26">
        <f t="shared" ref="F1828:F1829" si="726">H1828</f>
        <v>133.23750000000001</v>
      </c>
      <c r="G1828" s="26">
        <f t="shared" ref="G1828:G1829" si="727">ROUND(F1828*E1828,2)</f>
        <v>133.24</v>
      </c>
      <c r="H1828" s="375">
        <v>133.23750000000001</v>
      </c>
      <c r="K1828" s="237"/>
    </row>
    <row r="1829" spans="1:11" ht="30">
      <c r="A1829" s="24">
        <v>88264</v>
      </c>
      <c r="B1829" s="78" t="s">
        <v>379</v>
      </c>
      <c r="C1829" s="25" t="s">
        <v>12</v>
      </c>
      <c r="D1829" s="25" t="s">
        <v>19</v>
      </c>
      <c r="E1829" s="26">
        <v>0.2</v>
      </c>
      <c r="F1829" s="26">
        <f t="shared" si="726"/>
        <v>15.249000000000001</v>
      </c>
      <c r="G1829" s="26">
        <f t="shared" si="727"/>
        <v>3.05</v>
      </c>
      <c r="H1829" s="375">
        <v>15.249000000000001</v>
      </c>
      <c r="I1829" s="28" t="e">
        <f>IF(A1829&lt;&gt;0,VLOOKUP(A1829,#REF!,2,FALSE),"")</f>
        <v>#REF!</v>
      </c>
      <c r="K1829" s="237"/>
    </row>
    <row r="1830" spans="1:11">
      <c r="A1830" s="986" t="s">
        <v>1894</v>
      </c>
      <c r="B1830" s="986"/>
      <c r="C1830" s="986"/>
      <c r="D1830" s="986"/>
      <c r="E1830" s="986"/>
      <c r="F1830" s="986"/>
      <c r="G1830" s="79">
        <f>ROUND(SUM(G1828:G1829),2)</f>
        <v>136.29</v>
      </c>
      <c r="K1830" s="237"/>
    </row>
    <row r="1831" spans="1:11">
      <c r="A1831" s="27"/>
      <c r="B1831" s="27"/>
      <c r="C1831" s="27"/>
      <c r="D1831" s="27"/>
      <c r="E1831" s="27"/>
      <c r="F1831" s="27"/>
      <c r="G1831" s="27"/>
      <c r="K1831" s="237"/>
    </row>
    <row r="1832" spans="1:11">
      <c r="A1832" s="27"/>
      <c r="B1832" s="27"/>
      <c r="C1832" s="27"/>
      <c r="D1832" s="27"/>
      <c r="E1832" s="27"/>
      <c r="F1832" s="27"/>
      <c r="G1832" s="27"/>
      <c r="K1832" s="237"/>
    </row>
    <row r="1833" spans="1:11" ht="30.75" customHeight="1">
      <c r="A1833" s="920" t="s">
        <v>2405</v>
      </c>
      <c r="B1833" s="921"/>
      <c r="C1833" s="921"/>
      <c r="D1833" s="921"/>
      <c r="E1833" s="929"/>
      <c r="F1833" s="75" t="s">
        <v>1915</v>
      </c>
      <c r="G1833" s="347"/>
      <c r="K1833" s="237"/>
    </row>
    <row r="1834" spans="1:11" ht="28.5">
      <c r="A1834" s="77" t="s">
        <v>1917</v>
      </c>
      <c r="B1834" s="347"/>
      <c r="C1834" s="77" t="s">
        <v>3</v>
      </c>
      <c r="D1834" s="77" t="s">
        <v>4</v>
      </c>
      <c r="E1834" s="77" t="s">
        <v>1826</v>
      </c>
      <c r="F1834" s="77" t="s">
        <v>367</v>
      </c>
      <c r="G1834" s="77" t="s">
        <v>368</v>
      </c>
      <c r="K1834" s="237"/>
    </row>
    <row r="1835" spans="1:11" ht="30">
      <c r="A1835" s="24"/>
      <c r="B1835" s="78" t="s">
        <v>2406</v>
      </c>
      <c r="C1835" s="24" t="s">
        <v>2015</v>
      </c>
      <c r="D1835" s="25" t="s">
        <v>52</v>
      </c>
      <c r="E1835" s="26">
        <v>1</v>
      </c>
      <c r="F1835" s="26">
        <f t="shared" ref="F1835:F1837" si="728">H1835</f>
        <v>59.032499999999999</v>
      </c>
      <c r="G1835" s="26">
        <f t="shared" ref="G1835:G1837" si="729">ROUND(F1835*E1835,2)</f>
        <v>59.03</v>
      </c>
      <c r="H1835" s="375">
        <v>59.032499999999999</v>
      </c>
      <c r="K1835" s="237"/>
    </row>
    <row r="1836" spans="1:11" ht="30">
      <c r="A1836" s="24">
        <v>88316</v>
      </c>
      <c r="B1836" s="78" t="s">
        <v>377</v>
      </c>
      <c r="C1836" s="25" t="s">
        <v>12</v>
      </c>
      <c r="D1836" s="25" t="s">
        <v>19</v>
      </c>
      <c r="E1836" s="26">
        <v>0.1</v>
      </c>
      <c r="F1836" s="26">
        <f t="shared" ref="F1836" si="730">H1836</f>
        <v>11.798000000000002</v>
      </c>
      <c r="G1836" s="26">
        <f t="shared" ref="G1836" si="731">ROUND(F1836*E1836,2)</f>
        <v>1.18</v>
      </c>
      <c r="H1836" s="375">
        <v>11.798000000000002</v>
      </c>
      <c r="I1836" s="28" t="e">
        <f>IF(A1836&lt;&gt;0,VLOOKUP(A1836,#REF!,2,FALSE),"")</f>
        <v>#REF!</v>
      </c>
      <c r="K1836" s="237"/>
    </row>
    <row r="1837" spans="1:11" ht="30">
      <c r="A1837" s="24">
        <v>88264</v>
      </c>
      <c r="B1837" s="78" t="s">
        <v>379</v>
      </c>
      <c r="C1837" s="25" t="s">
        <v>12</v>
      </c>
      <c r="D1837" s="25" t="s">
        <v>19</v>
      </c>
      <c r="E1837" s="26">
        <v>0.1</v>
      </c>
      <c r="F1837" s="26">
        <f t="shared" si="728"/>
        <v>15.249000000000001</v>
      </c>
      <c r="G1837" s="26">
        <f t="shared" si="729"/>
        <v>1.52</v>
      </c>
      <c r="H1837" s="375">
        <v>15.249000000000001</v>
      </c>
      <c r="I1837" s="28" t="e">
        <f>IF(A1837&lt;&gt;0,VLOOKUP(A1837,#REF!,2,FALSE),"")</f>
        <v>#REF!</v>
      </c>
      <c r="K1837" s="237"/>
    </row>
    <row r="1838" spans="1:11">
      <c r="A1838" s="986" t="s">
        <v>1894</v>
      </c>
      <c r="B1838" s="986"/>
      <c r="C1838" s="986"/>
      <c r="D1838" s="986"/>
      <c r="E1838" s="986"/>
      <c r="F1838" s="986"/>
      <c r="G1838" s="79">
        <f>ROUND(SUM(G1835:G1837),2)</f>
        <v>61.73</v>
      </c>
      <c r="K1838" s="237"/>
    </row>
    <row r="1839" spans="1:11">
      <c r="A1839" s="27"/>
      <c r="B1839" s="27"/>
      <c r="C1839" s="27"/>
      <c r="D1839" s="27"/>
      <c r="E1839" s="27"/>
      <c r="F1839" s="27"/>
      <c r="G1839" s="27"/>
      <c r="K1839" s="237"/>
    </row>
    <row r="1840" spans="1:11">
      <c r="A1840" s="27"/>
      <c r="B1840" s="27"/>
      <c r="C1840" s="27"/>
      <c r="D1840" s="27"/>
      <c r="E1840" s="27"/>
      <c r="F1840" s="27"/>
      <c r="G1840" s="27"/>
      <c r="K1840" s="237"/>
    </row>
    <row r="1841" spans="1:11" ht="15" customHeight="1">
      <c r="A1841" s="953" t="s">
        <v>1914</v>
      </c>
      <c r="B1841" s="954"/>
      <c r="C1841" s="954"/>
      <c r="D1841" s="954"/>
      <c r="E1841" s="955"/>
      <c r="F1841" s="351" t="s">
        <v>1915</v>
      </c>
      <c r="G1841" s="351" t="s">
        <v>2038</v>
      </c>
      <c r="I1841" s="29"/>
      <c r="K1841" s="237"/>
    </row>
    <row r="1842" spans="1:11" ht="28.5">
      <c r="A1842" s="77" t="s">
        <v>1917</v>
      </c>
      <c r="B1842" s="347"/>
      <c r="C1842" s="77" t="s">
        <v>3</v>
      </c>
      <c r="D1842" s="77" t="s">
        <v>4</v>
      </c>
      <c r="E1842" s="77" t="s">
        <v>1826</v>
      </c>
      <c r="F1842" s="77" t="s">
        <v>367</v>
      </c>
      <c r="G1842" s="77" t="s">
        <v>368</v>
      </c>
      <c r="I1842" s="30"/>
      <c r="K1842" s="237"/>
    </row>
    <row r="1843" spans="1:11">
      <c r="A1843" s="108" t="s">
        <v>1920</v>
      </c>
      <c r="B1843" s="109" t="s">
        <v>1921</v>
      </c>
      <c r="C1843" s="110" t="s">
        <v>1919</v>
      </c>
      <c r="D1843" s="111" t="s">
        <v>238</v>
      </c>
      <c r="E1843" s="112">
        <v>1</v>
      </c>
      <c r="F1843" s="113">
        <v>233.94</v>
      </c>
      <c r="G1843" s="114">
        <f>ROUND((E1843*F1843),2)</f>
        <v>233.94</v>
      </c>
      <c r="H1843" s="375">
        <v>198.84899999999999</v>
      </c>
      <c r="I1843" s="29"/>
      <c r="K1843" s="237"/>
    </row>
    <row r="1844" spans="1:11">
      <c r="A1844" s="1123" t="s">
        <v>1894</v>
      </c>
      <c r="B1844" s="1124"/>
      <c r="C1844" s="1124"/>
      <c r="D1844" s="1124"/>
      <c r="E1844" s="1124"/>
      <c r="F1844" s="1125"/>
      <c r="G1844" s="115">
        <f>ROUND(SUM(G1843:G1843),2)</f>
        <v>233.94</v>
      </c>
      <c r="I1844" s="31"/>
      <c r="K1844" s="237"/>
    </row>
    <row r="1845" spans="1:11" ht="21" customHeight="1">
      <c r="A1845" s="116"/>
      <c r="B1845" s="116"/>
      <c r="C1845" s="116"/>
      <c r="D1845" s="116"/>
      <c r="E1845" s="116"/>
      <c r="F1845" s="116"/>
      <c r="G1845" s="117"/>
      <c r="I1845" s="31"/>
      <c r="K1845" s="237"/>
    </row>
    <row r="1846" spans="1:11" ht="15" customHeight="1">
      <c r="A1846" s="972" t="s">
        <v>25</v>
      </c>
      <c r="B1846" s="973"/>
      <c r="C1846" s="973"/>
      <c r="D1846" s="973"/>
      <c r="E1846" s="974"/>
      <c r="F1846" s="351" t="s">
        <v>44</v>
      </c>
      <c r="G1846" s="118">
        <v>51</v>
      </c>
      <c r="I1846" s="29"/>
      <c r="K1846" s="237"/>
    </row>
    <row r="1847" spans="1:11" ht="28.5">
      <c r="A1847" s="77" t="s">
        <v>1917</v>
      </c>
      <c r="B1847" s="347"/>
      <c r="C1847" s="77" t="s">
        <v>3</v>
      </c>
      <c r="D1847" s="77" t="s">
        <v>4</v>
      </c>
      <c r="E1847" s="77" t="s">
        <v>1826</v>
      </c>
      <c r="F1847" s="77" t="s">
        <v>367</v>
      </c>
      <c r="G1847" s="77" t="s">
        <v>368</v>
      </c>
      <c r="I1847" s="30"/>
      <c r="K1847" s="237"/>
    </row>
    <row r="1848" spans="1:11" ht="45">
      <c r="A1848" s="119">
        <v>4417</v>
      </c>
      <c r="B1848" s="109" t="s">
        <v>373</v>
      </c>
      <c r="C1848" s="25" t="s">
        <v>12</v>
      </c>
      <c r="D1848" s="120" t="s">
        <v>52</v>
      </c>
      <c r="E1848" s="121">
        <v>1</v>
      </c>
      <c r="F1848" s="122">
        <f t="shared" ref="F1848:F1854" si="732">H1848</f>
        <v>4.6240000000000006</v>
      </c>
      <c r="G1848" s="123">
        <f t="shared" ref="G1848:G1854" si="733">ROUND((E1848*F1848),2)</f>
        <v>4.62</v>
      </c>
      <c r="H1848" s="375">
        <v>4.6240000000000006</v>
      </c>
      <c r="I1848" s="28" t="e">
        <f>IF(A1848&lt;&gt;0,VLOOKUP(A1848,#REF!,2,FALSE),"")</f>
        <v>#REF!</v>
      </c>
      <c r="K1848" s="237"/>
    </row>
    <row r="1849" spans="1:11" ht="45">
      <c r="A1849" s="119">
        <v>4491</v>
      </c>
      <c r="B1849" s="109" t="s">
        <v>1922</v>
      </c>
      <c r="C1849" s="25" t="s">
        <v>12</v>
      </c>
      <c r="D1849" s="120" t="s">
        <v>52</v>
      </c>
      <c r="E1849" s="121">
        <v>4</v>
      </c>
      <c r="F1849" s="122">
        <f t="shared" si="732"/>
        <v>5.4654999999999996</v>
      </c>
      <c r="G1849" s="123">
        <f t="shared" si="733"/>
        <v>21.86</v>
      </c>
      <c r="H1849" s="375">
        <v>5.4654999999999996</v>
      </c>
      <c r="I1849" s="28" t="e">
        <f>IF(A1849&lt;&gt;0,VLOOKUP(A1849,#REF!,2,FALSE),"")</f>
        <v>#REF!</v>
      </c>
      <c r="K1849" s="237"/>
    </row>
    <row r="1850" spans="1:11" ht="45">
      <c r="A1850" s="119">
        <v>4813</v>
      </c>
      <c r="B1850" s="109" t="s">
        <v>374</v>
      </c>
      <c r="C1850" s="25" t="s">
        <v>12</v>
      </c>
      <c r="D1850" s="120" t="s">
        <v>26</v>
      </c>
      <c r="E1850" s="121">
        <v>1</v>
      </c>
      <c r="F1850" s="122">
        <f t="shared" si="732"/>
        <v>191.25</v>
      </c>
      <c r="G1850" s="123">
        <f t="shared" si="733"/>
        <v>191.25</v>
      </c>
      <c r="H1850" s="375">
        <v>191.25</v>
      </c>
      <c r="I1850" s="28" t="e">
        <f>IF(A1850&lt;&gt;0,VLOOKUP(A1850,#REF!,2,FALSE),"")</f>
        <v>#REF!</v>
      </c>
      <c r="K1850" s="237"/>
    </row>
    <row r="1851" spans="1:11" ht="30">
      <c r="A1851" s="119">
        <v>5075</v>
      </c>
      <c r="B1851" s="109" t="s">
        <v>375</v>
      </c>
      <c r="C1851" s="25" t="s">
        <v>12</v>
      </c>
      <c r="D1851" s="120" t="s">
        <v>45</v>
      </c>
      <c r="E1851" s="121">
        <v>0.15</v>
      </c>
      <c r="F1851" s="122">
        <f t="shared" si="732"/>
        <v>15.997</v>
      </c>
      <c r="G1851" s="123">
        <f t="shared" si="733"/>
        <v>2.4</v>
      </c>
      <c r="H1851" s="375">
        <v>15.997</v>
      </c>
      <c r="I1851" s="28" t="e">
        <f>IF(A1851&lt;&gt;0,VLOOKUP(A1851,#REF!,2,FALSE),"")</f>
        <v>#REF!</v>
      </c>
      <c r="K1851" s="237"/>
    </row>
    <row r="1852" spans="1:11" ht="60">
      <c r="A1852" s="119">
        <v>94962</v>
      </c>
      <c r="B1852" s="109" t="s">
        <v>1903</v>
      </c>
      <c r="C1852" s="25" t="s">
        <v>12</v>
      </c>
      <c r="D1852" s="120" t="s">
        <v>35</v>
      </c>
      <c r="E1852" s="121">
        <v>0.01</v>
      </c>
      <c r="F1852" s="122">
        <f t="shared" si="732"/>
        <v>258.9015</v>
      </c>
      <c r="G1852" s="123">
        <f t="shared" si="733"/>
        <v>2.59</v>
      </c>
      <c r="H1852" s="375">
        <v>258.9015</v>
      </c>
      <c r="I1852" s="28" t="e">
        <f>IF(A1852&lt;&gt;0,VLOOKUP(A1852,#REF!,2,FALSE),"")</f>
        <v>#REF!</v>
      </c>
      <c r="K1852" s="237"/>
    </row>
    <row r="1853" spans="1:11" ht="30">
      <c r="A1853" s="119">
        <v>88262</v>
      </c>
      <c r="B1853" s="109" t="s">
        <v>376</v>
      </c>
      <c r="C1853" s="25" t="s">
        <v>12</v>
      </c>
      <c r="D1853" s="111" t="s">
        <v>19</v>
      </c>
      <c r="E1853" s="124">
        <v>1</v>
      </c>
      <c r="F1853" s="122">
        <f t="shared" si="732"/>
        <v>14.96</v>
      </c>
      <c r="G1853" s="123">
        <f t="shared" si="733"/>
        <v>14.96</v>
      </c>
      <c r="H1853" s="375">
        <v>14.96</v>
      </c>
      <c r="I1853" s="28" t="e">
        <f>IF(A1853&lt;&gt;0,VLOOKUP(A1853,#REF!,2,FALSE),"")</f>
        <v>#REF!</v>
      </c>
      <c r="K1853" s="237"/>
    </row>
    <row r="1854" spans="1:11" ht="30">
      <c r="A1854" s="119">
        <v>88316</v>
      </c>
      <c r="B1854" s="109" t="s">
        <v>377</v>
      </c>
      <c r="C1854" s="25" t="s">
        <v>12</v>
      </c>
      <c r="D1854" s="111" t="s">
        <v>19</v>
      </c>
      <c r="E1854" s="124">
        <v>2</v>
      </c>
      <c r="F1854" s="122">
        <f t="shared" si="732"/>
        <v>11.798000000000002</v>
      </c>
      <c r="G1854" s="123">
        <f t="shared" si="733"/>
        <v>23.6</v>
      </c>
      <c r="H1854" s="375">
        <v>11.798000000000002</v>
      </c>
      <c r="I1854" s="28" t="e">
        <f>IF(A1854&lt;&gt;0,VLOOKUP(A1854,#REF!,2,FALSE),"")</f>
        <v>#REF!</v>
      </c>
      <c r="K1854" s="237"/>
    </row>
    <row r="1855" spans="1:11">
      <c r="A1855" s="956" t="s">
        <v>1894</v>
      </c>
      <c r="B1855" s="957"/>
      <c r="C1855" s="957"/>
      <c r="D1855" s="957"/>
      <c r="E1855" s="957"/>
      <c r="F1855" s="958"/>
      <c r="G1855" s="115">
        <f>ROUND(SUM(G1848:G1854),2)</f>
        <v>261.27999999999997</v>
      </c>
      <c r="I1855" s="29"/>
      <c r="K1855" s="237"/>
    </row>
    <row r="1856" spans="1:11" ht="26.25" customHeight="1">
      <c r="A1856" s="27"/>
      <c r="B1856" s="27"/>
      <c r="C1856" s="27"/>
      <c r="D1856" s="27"/>
      <c r="E1856" s="27"/>
      <c r="F1856" s="27"/>
      <c r="G1856" s="27"/>
      <c r="K1856" s="237"/>
    </row>
    <row r="1857" spans="1:11" ht="23.25" customHeight="1">
      <c r="A1857" s="953" t="s">
        <v>1925</v>
      </c>
      <c r="B1857" s="954"/>
      <c r="C1857" s="954"/>
      <c r="D1857" s="954"/>
      <c r="E1857" s="955"/>
      <c r="F1857" s="351" t="s">
        <v>44</v>
      </c>
      <c r="G1857" s="125">
        <v>9502</v>
      </c>
      <c r="I1857" s="29"/>
      <c r="K1857" s="237"/>
    </row>
    <row r="1858" spans="1:11" ht="28.5">
      <c r="A1858" s="77" t="s">
        <v>1917</v>
      </c>
      <c r="B1858" s="347"/>
      <c r="C1858" s="77" t="s">
        <v>3</v>
      </c>
      <c r="D1858" s="77" t="s">
        <v>4</v>
      </c>
      <c r="E1858" s="77" t="s">
        <v>1826</v>
      </c>
      <c r="F1858" s="77" t="s">
        <v>367</v>
      </c>
      <c r="G1858" s="77" t="s">
        <v>368</v>
      </c>
      <c r="I1858" s="29"/>
      <c r="K1858" s="237"/>
    </row>
    <row r="1859" spans="1:11">
      <c r="A1859" s="100">
        <v>3143</v>
      </c>
      <c r="B1859" s="109" t="s">
        <v>1924</v>
      </c>
      <c r="C1859" s="25" t="s">
        <v>12</v>
      </c>
      <c r="D1859" s="126" t="s">
        <v>52</v>
      </c>
      <c r="E1859" s="127">
        <v>0.42</v>
      </c>
      <c r="F1859" s="122">
        <f>H1859</f>
        <v>6.9614999999999991</v>
      </c>
      <c r="G1859" s="123">
        <f>ROUND((E1859*F1859),2)</f>
        <v>2.92</v>
      </c>
      <c r="H1859" s="375">
        <v>6.9614999999999991</v>
      </c>
      <c r="I1859" s="28" t="e">
        <f>IF(A1859&lt;&gt;0,VLOOKUP(A1859,#REF!,2,FALSE),"")</f>
        <v>#REF!</v>
      </c>
      <c r="K1859" s="237"/>
    </row>
    <row r="1860" spans="1:11">
      <c r="A1860" s="100">
        <v>38189</v>
      </c>
      <c r="B1860" s="109" t="s">
        <v>1926</v>
      </c>
      <c r="C1860" s="25" t="s">
        <v>12</v>
      </c>
      <c r="D1860" s="126" t="s">
        <v>17</v>
      </c>
      <c r="E1860" s="127">
        <v>1</v>
      </c>
      <c r="F1860" s="122">
        <f>H1860</f>
        <v>180.93950000000001</v>
      </c>
      <c r="G1860" s="123">
        <f>ROUND((E1860*F1860),2)</f>
        <v>180.94</v>
      </c>
      <c r="H1860" s="375">
        <v>180.93950000000001</v>
      </c>
      <c r="I1860" s="28" t="e">
        <f>IF(A1860&lt;&gt;0,VLOOKUP(A1860,#REF!,2,FALSE),"")</f>
        <v>#REF!</v>
      </c>
      <c r="K1860" s="237"/>
    </row>
    <row r="1861" spans="1:11" ht="30">
      <c r="A1861" s="100">
        <v>88267</v>
      </c>
      <c r="B1861" s="109" t="s">
        <v>472</v>
      </c>
      <c r="C1861" s="25" t="s">
        <v>12</v>
      </c>
      <c r="D1861" s="126" t="s">
        <v>19</v>
      </c>
      <c r="E1861" s="127">
        <v>0.5</v>
      </c>
      <c r="F1861" s="122">
        <f>H1861</f>
        <v>14.7135</v>
      </c>
      <c r="G1861" s="123">
        <f>ROUND((E1861*F1861),2)</f>
        <v>7.36</v>
      </c>
      <c r="H1861" s="375">
        <v>14.7135</v>
      </c>
      <c r="I1861" s="28" t="e">
        <f>IF(A1861&lt;&gt;0,VLOOKUP(A1861,#REF!,2,FALSE),"")</f>
        <v>#REF!</v>
      </c>
      <c r="K1861" s="237"/>
    </row>
    <row r="1862" spans="1:11">
      <c r="A1862" s="956" t="s">
        <v>1894</v>
      </c>
      <c r="B1862" s="957"/>
      <c r="C1862" s="957"/>
      <c r="D1862" s="957"/>
      <c r="E1862" s="957"/>
      <c r="F1862" s="958"/>
      <c r="G1862" s="115">
        <f>ROUND(SUM(G1859:G1861),2)</f>
        <v>191.22</v>
      </c>
      <c r="I1862" s="29"/>
      <c r="K1862" s="237"/>
    </row>
    <row r="1863" spans="1:11" ht="24.75" customHeight="1">
      <c r="A1863" s="27"/>
      <c r="B1863" s="27"/>
      <c r="C1863" s="27"/>
      <c r="D1863" s="27"/>
      <c r="E1863" s="27"/>
      <c r="F1863" s="27"/>
      <c r="G1863" s="27"/>
      <c r="K1863" s="237"/>
    </row>
    <row r="1864" spans="1:11" ht="15" customHeight="1">
      <c r="A1864" s="972" t="s">
        <v>1927</v>
      </c>
      <c r="B1864" s="973"/>
      <c r="C1864" s="973"/>
      <c r="D1864" s="973"/>
      <c r="E1864" s="974"/>
      <c r="F1864" s="351" t="s">
        <v>44</v>
      </c>
      <c r="G1864" s="118">
        <v>9041</v>
      </c>
      <c r="I1864" s="29"/>
      <c r="K1864" s="237"/>
    </row>
    <row r="1865" spans="1:11" ht="28.5">
      <c r="A1865" s="77" t="s">
        <v>1917</v>
      </c>
      <c r="B1865" s="347"/>
      <c r="C1865" s="77" t="s">
        <v>3</v>
      </c>
      <c r="D1865" s="77" t="s">
        <v>4</v>
      </c>
      <c r="E1865" s="77" t="s">
        <v>1826</v>
      </c>
      <c r="F1865" s="77" t="s">
        <v>367</v>
      </c>
      <c r="G1865" s="77" t="s">
        <v>368</v>
      </c>
      <c r="I1865" s="29"/>
      <c r="K1865" s="237"/>
    </row>
    <row r="1866" spans="1:11" s="45" customFormat="1" ht="30">
      <c r="A1866" s="100">
        <v>9225</v>
      </c>
      <c r="B1866" s="109" t="s">
        <v>1928</v>
      </c>
      <c r="C1866" s="25" t="s">
        <v>44</v>
      </c>
      <c r="D1866" s="126" t="s">
        <v>17</v>
      </c>
      <c r="E1866" s="127">
        <v>1</v>
      </c>
      <c r="F1866" s="128">
        <f>H1866</f>
        <v>89.25</v>
      </c>
      <c r="G1866" s="129">
        <f>ROUND((E1866*F1866),2)</f>
        <v>89.25</v>
      </c>
      <c r="H1866" s="364">
        <v>89.25</v>
      </c>
      <c r="I1866" s="45" t="e">
        <f>IF(A1866&lt;&gt;0,VLOOKUP(A1866,#REF!,2,FALSE),"")</f>
        <v>#REF!</v>
      </c>
      <c r="J1866" s="364"/>
      <c r="K1866" s="237"/>
    </row>
    <row r="1867" spans="1:11" ht="30">
      <c r="A1867" s="100">
        <v>88247</v>
      </c>
      <c r="B1867" s="109" t="s">
        <v>510</v>
      </c>
      <c r="C1867" s="25" t="s">
        <v>12</v>
      </c>
      <c r="D1867" s="126" t="s">
        <v>19</v>
      </c>
      <c r="E1867" s="127">
        <v>0.3</v>
      </c>
      <c r="F1867" s="122">
        <f>H1867</f>
        <v>11.9085</v>
      </c>
      <c r="G1867" s="123">
        <f>ROUND((E1867*F1867),2)</f>
        <v>3.57</v>
      </c>
      <c r="H1867" s="375">
        <v>11.9085</v>
      </c>
      <c r="I1867" s="28" t="e">
        <f>IF(A1867&lt;&gt;0,VLOOKUP(A1867,#REF!,2,FALSE),"")</f>
        <v>#REF!</v>
      </c>
      <c r="K1867" s="237"/>
    </row>
    <row r="1868" spans="1:11" ht="30">
      <c r="A1868" s="100">
        <v>88264</v>
      </c>
      <c r="B1868" s="109" t="s">
        <v>379</v>
      </c>
      <c r="C1868" s="25" t="s">
        <v>12</v>
      </c>
      <c r="D1868" s="126" t="s">
        <v>19</v>
      </c>
      <c r="E1868" s="127">
        <v>0.3</v>
      </c>
      <c r="F1868" s="122">
        <f>H1868</f>
        <v>15.249000000000001</v>
      </c>
      <c r="G1868" s="123">
        <f>ROUND((E1868*F1868),2)</f>
        <v>4.57</v>
      </c>
      <c r="H1868" s="375">
        <v>15.249000000000001</v>
      </c>
      <c r="I1868" s="28" t="e">
        <f>IF(A1868&lt;&gt;0,VLOOKUP(A1868,#REF!,2,FALSE),"")</f>
        <v>#REF!</v>
      </c>
      <c r="K1868" s="237"/>
    </row>
    <row r="1869" spans="1:11">
      <c r="A1869" s="956" t="s">
        <v>1894</v>
      </c>
      <c r="B1869" s="957"/>
      <c r="C1869" s="957"/>
      <c r="D1869" s="957"/>
      <c r="E1869" s="957"/>
      <c r="F1869" s="958"/>
      <c r="G1869" s="130">
        <f>ROUND(SUM(G1866:G1868),2)</f>
        <v>97.39</v>
      </c>
      <c r="I1869" s="29"/>
      <c r="K1869" s="237"/>
    </row>
    <row r="1870" spans="1:11">
      <c r="A1870" s="131"/>
      <c r="B1870" s="132"/>
      <c r="C1870" s="131"/>
      <c r="D1870" s="131"/>
      <c r="E1870" s="131"/>
      <c r="F1870" s="133"/>
      <c r="G1870" s="131"/>
      <c r="I1870" s="29"/>
      <c r="K1870" s="237"/>
    </row>
    <row r="1871" spans="1:11">
      <c r="A1871" s="131"/>
      <c r="B1871" s="132"/>
      <c r="C1871" s="131"/>
      <c r="D1871" s="131"/>
      <c r="E1871" s="131"/>
      <c r="F1871" s="133"/>
      <c r="G1871" s="131"/>
      <c r="I1871" s="29"/>
      <c r="K1871" s="237"/>
    </row>
    <row r="1872" spans="1:11" ht="33" customHeight="1">
      <c r="A1872" s="972" t="s">
        <v>1929</v>
      </c>
      <c r="B1872" s="973"/>
      <c r="C1872" s="973"/>
      <c r="D1872" s="973"/>
      <c r="E1872" s="974"/>
      <c r="F1872" s="351" t="s">
        <v>44</v>
      </c>
      <c r="G1872" s="118">
        <v>7996</v>
      </c>
      <c r="I1872" s="29"/>
      <c r="K1872" s="237"/>
    </row>
    <row r="1873" spans="1:11" ht="28.5">
      <c r="A1873" s="77" t="s">
        <v>1917</v>
      </c>
      <c r="B1873" s="347"/>
      <c r="C1873" s="77" t="s">
        <v>3</v>
      </c>
      <c r="D1873" s="77" t="s">
        <v>4</v>
      </c>
      <c r="E1873" s="77" t="s">
        <v>1826</v>
      </c>
      <c r="F1873" s="77" t="s">
        <v>367</v>
      </c>
      <c r="G1873" s="77" t="s">
        <v>368</v>
      </c>
      <c r="I1873" s="29"/>
      <c r="K1873" s="237"/>
    </row>
    <row r="1874" spans="1:11" s="45" customFormat="1" ht="30">
      <c r="A1874" s="100">
        <v>7943</v>
      </c>
      <c r="B1874" s="109" t="s">
        <v>1930</v>
      </c>
      <c r="C1874" s="25" t="s">
        <v>44</v>
      </c>
      <c r="D1874" s="126" t="s">
        <v>17</v>
      </c>
      <c r="E1874" s="127">
        <v>1</v>
      </c>
      <c r="F1874" s="122">
        <f>H1874</f>
        <v>111.15450000000001</v>
      </c>
      <c r="G1874" s="123">
        <f>ROUND((E1874*F1874),2)</f>
        <v>111.15</v>
      </c>
      <c r="H1874" s="364">
        <v>111.15450000000001</v>
      </c>
      <c r="I1874" s="45" t="e">
        <f>IF(A1874&lt;&gt;0,VLOOKUP(A1874,#REF!,2,FALSE),"")</f>
        <v>#REF!</v>
      </c>
      <c r="J1874" s="364"/>
      <c r="K1874" s="237"/>
    </row>
    <row r="1875" spans="1:11" ht="30">
      <c r="A1875" s="100">
        <v>88247</v>
      </c>
      <c r="B1875" s="109" t="s">
        <v>510</v>
      </c>
      <c r="C1875" s="25" t="s">
        <v>12</v>
      </c>
      <c r="D1875" s="126" t="s">
        <v>19</v>
      </c>
      <c r="E1875" s="127">
        <v>0.6</v>
      </c>
      <c r="F1875" s="122">
        <f>H1875</f>
        <v>11.9085</v>
      </c>
      <c r="G1875" s="123">
        <f>ROUND((E1875*F1875),2)</f>
        <v>7.15</v>
      </c>
      <c r="H1875" s="375">
        <v>11.9085</v>
      </c>
      <c r="I1875" s="28" t="e">
        <f>IF(A1875&lt;&gt;0,VLOOKUP(A1875,#REF!,2,FALSE),"")</f>
        <v>#REF!</v>
      </c>
      <c r="K1875" s="237"/>
    </row>
    <row r="1876" spans="1:11" ht="30">
      <c r="A1876" s="100">
        <v>88264</v>
      </c>
      <c r="B1876" s="109" t="s">
        <v>379</v>
      </c>
      <c r="C1876" s="25" t="s">
        <v>12</v>
      </c>
      <c r="D1876" s="126" t="s">
        <v>19</v>
      </c>
      <c r="E1876" s="127">
        <v>0.6</v>
      </c>
      <c r="F1876" s="122">
        <f>H1876</f>
        <v>15.249000000000001</v>
      </c>
      <c r="G1876" s="123">
        <f>ROUND((E1876*F1876),2)</f>
        <v>9.15</v>
      </c>
      <c r="H1876" s="375">
        <v>15.249000000000001</v>
      </c>
      <c r="I1876" s="28" t="e">
        <f>IF(A1876&lt;&gt;0,VLOOKUP(A1876,#REF!,2,FALSE),"")</f>
        <v>#REF!</v>
      </c>
      <c r="K1876" s="237"/>
    </row>
    <row r="1877" spans="1:11">
      <c r="A1877" s="956" t="s">
        <v>1894</v>
      </c>
      <c r="B1877" s="957"/>
      <c r="C1877" s="957"/>
      <c r="D1877" s="957"/>
      <c r="E1877" s="957"/>
      <c r="F1877" s="958"/>
      <c r="G1877" s="130">
        <f>ROUND(SUM(G1874:G1876),2)</f>
        <v>127.45</v>
      </c>
      <c r="I1877" s="29"/>
      <c r="K1877" s="237"/>
    </row>
    <row r="1878" spans="1:11">
      <c r="A1878" s="131"/>
      <c r="B1878" s="132"/>
      <c r="C1878" s="131"/>
      <c r="D1878" s="131"/>
      <c r="E1878" s="131"/>
      <c r="F1878" s="133"/>
      <c r="G1878" s="131"/>
      <c r="I1878" s="29"/>
      <c r="K1878" s="237"/>
    </row>
    <row r="1879" spans="1:11">
      <c r="A1879" s="131"/>
      <c r="B1879" s="132"/>
      <c r="C1879" s="131"/>
      <c r="D1879" s="131"/>
      <c r="E1879" s="131"/>
      <c r="F1879" s="133"/>
      <c r="G1879" s="131"/>
      <c r="I1879" s="29"/>
      <c r="K1879" s="237"/>
    </row>
    <row r="1880" spans="1:11" ht="27" customHeight="1">
      <c r="A1880" s="953" t="s">
        <v>1931</v>
      </c>
      <c r="B1880" s="954"/>
      <c r="C1880" s="954"/>
      <c r="D1880" s="954"/>
      <c r="E1880" s="955"/>
      <c r="F1880" s="351" t="s">
        <v>44</v>
      </c>
      <c r="G1880" s="118">
        <v>539</v>
      </c>
      <c r="I1880" s="29"/>
      <c r="K1880" s="237"/>
    </row>
    <row r="1881" spans="1:11" ht="28.5">
      <c r="A1881" s="77" t="s">
        <v>1917</v>
      </c>
      <c r="B1881" s="347"/>
      <c r="C1881" s="77" t="s">
        <v>3</v>
      </c>
      <c r="D1881" s="77" t="s">
        <v>4</v>
      </c>
      <c r="E1881" s="77" t="s">
        <v>1826</v>
      </c>
      <c r="F1881" s="77" t="s">
        <v>367</v>
      </c>
      <c r="G1881" s="77" t="s">
        <v>368</v>
      </c>
      <c r="I1881" s="29"/>
      <c r="K1881" s="237"/>
    </row>
    <row r="1882" spans="1:11">
      <c r="A1882" s="100">
        <v>39387</v>
      </c>
      <c r="B1882" s="109" t="s">
        <v>1932</v>
      </c>
      <c r="C1882" s="25" t="s">
        <v>12</v>
      </c>
      <c r="D1882" s="126" t="s">
        <v>17</v>
      </c>
      <c r="E1882" s="127">
        <v>2</v>
      </c>
      <c r="F1882" s="122">
        <f>H1882</f>
        <v>17.765000000000001</v>
      </c>
      <c r="G1882" s="129">
        <f>ROUND((E1882*F1882),2)</f>
        <v>35.53</v>
      </c>
      <c r="H1882" s="375">
        <v>17.765000000000001</v>
      </c>
      <c r="I1882" s="28" t="e">
        <f>IF(A1882&lt;&gt;0,VLOOKUP(A1882,#REF!,2,FALSE),"")</f>
        <v>#REF!</v>
      </c>
      <c r="K1882" s="237"/>
    </row>
    <row r="1883" spans="1:11" s="45" customFormat="1" ht="30">
      <c r="A1883" s="100">
        <v>1366</v>
      </c>
      <c r="B1883" s="109" t="s">
        <v>1933</v>
      </c>
      <c r="C1883" s="25" t="s">
        <v>44</v>
      </c>
      <c r="D1883" s="126" t="s">
        <v>17</v>
      </c>
      <c r="E1883" s="127">
        <v>1</v>
      </c>
      <c r="F1883" s="122">
        <f>H1883</f>
        <v>126.58199999999999</v>
      </c>
      <c r="G1883" s="123">
        <f>ROUND((E1883*F1883),2)</f>
        <v>126.58</v>
      </c>
      <c r="H1883" s="364">
        <v>126.58199999999999</v>
      </c>
      <c r="I1883" s="45" t="e">
        <f>IF(A1883&lt;&gt;0,VLOOKUP(A1883,#REF!,2,FALSE),"")</f>
        <v>#REF!</v>
      </c>
      <c r="J1883" s="364"/>
      <c r="K1883" s="237"/>
    </row>
    <row r="1884" spans="1:11" ht="30">
      <c r="A1884" s="100">
        <v>88247</v>
      </c>
      <c r="B1884" s="109" t="s">
        <v>510</v>
      </c>
      <c r="C1884" s="25" t="s">
        <v>12</v>
      </c>
      <c r="D1884" s="126" t="s">
        <v>19</v>
      </c>
      <c r="E1884" s="127">
        <v>1</v>
      </c>
      <c r="F1884" s="122">
        <f>H1884</f>
        <v>11.9085</v>
      </c>
      <c r="G1884" s="123">
        <f>ROUND((E1884*F1884),2)</f>
        <v>11.91</v>
      </c>
      <c r="H1884" s="375">
        <v>11.9085</v>
      </c>
      <c r="I1884" s="28" t="e">
        <f>IF(A1884&lt;&gt;0,VLOOKUP(A1884,#REF!,2,FALSE),"")</f>
        <v>#REF!</v>
      </c>
      <c r="K1884" s="237"/>
    </row>
    <row r="1885" spans="1:11" ht="30">
      <c r="A1885" s="100">
        <v>88264</v>
      </c>
      <c r="B1885" s="109" t="s">
        <v>379</v>
      </c>
      <c r="C1885" s="25" t="s">
        <v>12</v>
      </c>
      <c r="D1885" s="126" t="s">
        <v>19</v>
      </c>
      <c r="E1885" s="127">
        <v>1</v>
      </c>
      <c r="F1885" s="122">
        <f>H1885</f>
        <v>15.249000000000001</v>
      </c>
      <c r="G1885" s="123">
        <f>ROUND((E1885*F1885),2)</f>
        <v>15.25</v>
      </c>
      <c r="H1885" s="375">
        <v>15.249000000000001</v>
      </c>
      <c r="I1885" s="28" t="e">
        <f>IF(A1885&lt;&gt;0,VLOOKUP(A1885,#REF!,2,FALSE),"")</f>
        <v>#REF!</v>
      </c>
      <c r="K1885" s="237"/>
    </row>
    <row r="1886" spans="1:11">
      <c r="A1886" s="1123" t="s">
        <v>1894</v>
      </c>
      <c r="B1886" s="1124"/>
      <c r="C1886" s="1124"/>
      <c r="D1886" s="1124"/>
      <c r="E1886" s="1124"/>
      <c r="F1886" s="1125"/>
      <c r="G1886" s="130">
        <f>ROUND(SUM(G1882:G1885),2)</f>
        <v>189.27</v>
      </c>
      <c r="I1886" s="29"/>
      <c r="K1886" s="237"/>
    </row>
    <row r="1887" spans="1:11" ht="30.75" customHeight="1">
      <c r="A1887" s="27"/>
      <c r="B1887" s="27"/>
      <c r="C1887" s="27"/>
      <c r="D1887" s="27"/>
      <c r="E1887" s="27"/>
      <c r="F1887" s="27"/>
      <c r="G1887" s="27"/>
      <c r="K1887" s="237"/>
    </row>
    <row r="1888" spans="1:11" ht="48" customHeight="1">
      <c r="A1888" s="972" t="s">
        <v>1934</v>
      </c>
      <c r="B1888" s="973"/>
      <c r="C1888" s="973"/>
      <c r="D1888" s="973"/>
      <c r="E1888" s="974"/>
      <c r="F1888" s="351" t="s">
        <v>44</v>
      </c>
      <c r="G1888" s="118">
        <v>12233</v>
      </c>
      <c r="I1888" s="29"/>
      <c r="K1888" s="237"/>
    </row>
    <row r="1889" spans="1:11" ht="28.5">
      <c r="A1889" s="77" t="s">
        <v>1917</v>
      </c>
      <c r="B1889" s="347"/>
      <c r="C1889" s="77" t="s">
        <v>3</v>
      </c>
      <c r="D1889" s="77" t="s">
        <v>4</v>
      </c>
      <c r="E1889" s="77" t="s">
        <v>1826</v>
      </c>
      <c r="F1889" s="77" t="s">
        <v>367</v>
      </c>
      <c r="G1889" s="77" t="s">
        <v>368</v>
      </c>
      <c r="I1889" s="29"/>
      <c r="K1889" s="237"/>
    </row>
    <row r="1890" spans="1:11" s="45" customFormat="1" ht="60">
      <c r="A1890" s="100">
        <v>8261</v>
      </c>
      <c r="B1890" s="109" t="s">
        <v>1935</v>
      </c>
      <c r="C1890" s="25" t="s">
        <v>44</v>
      </c>
      <c r="D1890" s="126" t="s">
        <v>17</v>
      </c>
      <c r="E1890" s="134">
        <v>1</v>
      </c>
      <c r="F1890" s="128">
        <f>H1890</f>
        <v>595</v>
      </c>
      <c r="G1890" s="129">
        <f>ROUND((E1890*F1890),2)</f>
        <v>595</v>
      </c>
      <c r="H1890" s="364">
        <v>595</v>
      </c>
      <c r="I1890" s="45" t="e">
        <f>IF(A1890&lt;&gt;0,VLOOKUP(A1890,#REF!,2,FALSE),"")</f>
        <v>#REF!</v>
      </c>
      <c r="J1890" s="364"/>
      <c r="K1890" s="237"/>
    </row>
    <row r="1891" spans="1:11" ht="75">
      <c r="A1891" s="100">
        <v>87296</v>
      </c>
      <c r="B1891" s="109" t="s">
        <v>1936</v>
      </c>
      <c r="C1891" s="25" t="s">
        <v>12</v>
      </c>
      <c r="D1891" s="126" t="s">
        <v>1937</v>
      </c>
      <c r="E1891" s="134">
        <v>2.4E-2</v>
      </c>
      <c r="F1891" s="122">
        <f>H1891</f>
        <v>333.54850000000005</v>
      </c>
      <c r="G1891" s="123">
        <f>ROUND((E1891*F1891),2)</f>
        <v>8.01</v>
      </c>
      <c r="H1891" s="375">
        <v>333.54850000000005</v>
      </c>
      <c r="I1891" s="28" t="e">
        <f>IF(A1891&lt;&gt;0,VLOOKUP(A1891,#REF!,2,FALSE),"")</f>
        <v>#REF!</v>
      </c>
      <c r="K1891" s="237"/>
    </row>
    <row r="1892" spans="1:11" ht="30">
      <c r="A1892" s="100">
        <v>88316</v>
      </c>
      <c r="B1892" s="109" t="s">
        <v>377</v>
      </c>
      <c r="C1892" s="25" t="s">
        <v>12</v>
      </c>
      <c r="D1892" s="126" t="s">
        <v>19</v>
      </c>
      <c r="E1892" s="127">
        <v>5.2</v>
      </c>
      <c r="F1892" s="122">
        <f>H1892</f>
        <v>11.798000000000002</v>
      </c>
      <c r="G1892" s="123">
        <f>ROUND((E1892*F1892),2)</f>
        <v>61.35</v>
      </c>
      <c r="H1892" s="375">
        <v>11.798000000000002</v>
      </c>
      <c r="I1892" s="28" t="e">
        <f>IF(A1892&lt;&gt;0,VLOOKUP(A1892,#REF!,2,FALSE),"")</f>
        <v>#REF!</v>
      </c>
      <c r="K1892" s="237"/>
    </row>
    <row r="1893" spans="1:11" ht="30">
      <c r="A1893" s="100">
        <v>88309</v>
      </c>
      <c r="B1893" s="109" t="s">
        <v>390</v>
      </c>
      <c r="C1893" s="25" t="s">
        <v>12</v>
      </c>
      <c r="D1893" s="126" t="s">
        <v>19</v>
      </c>
      <c r="E1893" s="135">
        <v>3.5</v>
      </c>
      <c r="F1893" s="122">
        <f>H1893</f>
        <v>15.121499999999999</v>
      </c>
      <c r="G1893" s="123">
        <f>ROUND((E1893*F1893),2)</f>
        <v>52.93</v>
      </c>
      <c r="H1893" s="375">
        <v>15.121499999999999</v>
      </c>
      <c r="I1893" s="28" t="e">
        <f>IF(A1893&lt;&gt;0,VLOOKUP(A1893,#REF!,2,FALSE),"")</f>
        <v>#REF!</v>
      </c>
      <c r="K1893" s="237"/>
    </row>
    <row r="1894" spans="1:11" ht="30">
      <c r="A1894" s="100">
        <v>88264</v>
      </c>
      <c r="B1894" s="109" t="s">
        <v>379</v>
      </c>
      <c r="C1894" s="25" t="s">
        <v>12</v>
      </c>
      <c r="D1894" s="126" t="s">
        <v>19</v>
      </c>
      <c r="E1894" s="127">
        <v>14</v>
      </c>
      <c r="F1894" s="122">
        <f>H1894</f>
        <v>15.249000000000001</v>
      </c>
      <c r="G1894" s="123">
        <f>ROUND((E1894*F1894),2)</f>
        <v>213.49</v>
      </c>
      <c r="H1894" s="375">
        <v>15.249000000000001</v>
      </c>
      <c r="I1894" s="28" t="e">
        <f>IF(A1894&lt;&gt;0,VLOOKUP(A1894,#REF!,2,FALSE),"")</f>
        <v>#REF!</v>
      </c>
      <c r="K1894" s="237"/>
    </row>
    <row r="1895" spans="1:11">
      <c r="A1895" s="956" t="s">
        <v>1894</v>
      </c>
      <c r="B1895" s="957"/>
      <c r="C1895" s="957"/>
      <c r="D1895" s="957"/>
      <c r="E1895" s="957"/>
      <c r="F1895" s="958"/>
      <c r="G1895" s="130">
        <f>ROUND(SUM(G1890:G1894),2)</f>
        <v>930.78</v>
      </c>
      <c r="I1895" s="29"/>
      <c r="K1895" s="237"/>
    </row>
    <row r="1896" spans="1:11" ht="28.5" customHeight="1">
      <c r="A1896" s="27"/>
      <c r="B1896" s="27"/>
      <c r="C1896" s="27"/>
      <c r="D1896" s="27"/>
      <c r="E1896" s="27"/>
      <c r="F1896" s="27"/>
      <c r="G1896" s="27"/>
      <c r="K1896" s="237"/>
    </row>
    <row r="1897" spans="1:11" ht="15" customHeight="1">
      <c r="A1897" s="972" t="s">
        <v>1938</v>
      </c>
      <c r="B1897" s="973"/>
      <c r="C1897" s="973"/>
      <c r="D1897" s="973"/>
      <c r="E1897" s="974"/>
      <c r="F1897" s="351" t="s">
        <v>44</v>
      </c>
      <c r="G1897" s="118">
        <v>780</v>
      </c>
      <c r="I1897" s="29"/>
      <c r="K1897" s="237"/>
    </row>
    <row r="1898" spans="1:11" ht="28.5">
      <c r="A1898" s="77" t="s">
        <v>1917</v>
      </c>
      <c r="B1898" s="347"/>
      <c r="C1898" s="77" t="s">
        <v>3</v>
      </c>
      <c r="D1898" s="77" t="s">
        <v>4</v>
      </c>
      <c r="E1898" s="77" t="s">
        <v>1826</v>
      </c>
      <c r="F1898" s="77" t="s">
        <v>367</v>
      </c>
      <c r="G1898" s="77" t="s">
        <v>368</v>
      </c>
      <c r="I1898" s="29"/>
      <c r="K1898" s="237"/>
    </row>
    <row r="1899" spans="1:11" s="45" customFormat="1" ht="30">
      <c r="A1899" s="100">
        <v>9101</v>
      </c>
      <c r="B1899" s="109" t="s">
        <v>1939</v>
      </c>
      <c r="C1899" s="25" t="s">
        <v>44</v>
      </c>
      <c r="D1899" s="126" t="s">
        <v>17</v>
      </c>
      <c r="E1899" s="134">
        <v>1</v>
      </c>
      <c r="F1899" s="128">
        <f>H1899</f>
        <v>36.549999999999997</v>
      </c>
      <c r="G1899" s="129">
        <f>ROUND((E1899*F1899),2)</f>
        <v>36.549999999999997</v>
      </c>
      <c r="H1899" s="364">
        <v>36.549999999999997</v>
      </c>
      <c r="I1899" s="45" t="e">
        <f>IF(A1899&lt;&gt;0,VLOOKUP(A1899,#REF!,2,FALSE),"")</f>
        <v>#REF!</v>
      </c>
      <c r="J1899" s="364"/>
      <c r="K1899" s="237"/>
    </row>
    <row r="1900" spans="1:11" ht="30">
      <c r="A1900" s="100">
        <v>1872</v>
      </c>
      <c r="B1900" s="109" t="s">
        <v>1940</v>
      </c>
      <c r="C1900" s="25" t="s">
        <v>12</v>
      </c>
      <c r="D1900" s="126" t="s">
        <v>17</v>
      </c>
      <c r="E1900" s="134">
        <v>1</v>
      </c>
      <c r="F1900" s="122">
        <f>H1900</f>
        <v>1.7510000000000001</v>
      </c>
      <c r="G1900" s="123">
        <f>ROUND((E1900*F1900),2)</f>
        <v>1.75</v>
      </c>
      <c r="H1900" s="375">
        <v>1.7510000000000001</v>
      </c>
      <c r="I1900" s="28" t="e">
        <f>IF(A1900&lt;&gt;0,VLOOKUP(A1900,#REF!,2,FALSE),"")</f>
        <v>#REF!</v>
      </c>
      <c r="K1900" s="237"/>
    </row>
    <row r="1901" spans="1:11" ht="30">
      <c r="A1901" s="100">
        <v>88316</v>
      </c>
      <c r="B1901" s="109" t="s">
        <v>377</v>
      </c>
      <c r="C1901" s="25" t="s">
        <v>12</v>
      </c>
      <c r="D1901" s="126" t="s">
        <v>19</v>
      </c>
      <c r="E1901" s="127">
        <v>0.7</v>
      </c>
      <c r="F1901" s="122">
        <f>H1901</f>
        <v>11.798000000000002</v>
      </c>
      <c r="G1901" s="123">
        <f>ROUND((E1901*F1901),2)</f>
        <v>8.26</v>
      </c>
      <c r="H1901" s="375">
        <v>11.798000000000002</v>
      </c>
      <c r="I1901" s="28" t="e">
        <f>IF(A1901&lt;&gt;0,VLOOKUP(A1901,#REF!,2,FALSE),"")</f>
        <v>#REF!</v>
      </c>
      <c r="K1901" s="237"/>
    </row>
    <row r="1902" spans="1:11" ht="30">
      <c r="A1902" s="100">
        <v>88264</v>
      </c>
      <c r="B1902" s="109" t="s">
        <v>379</v>
      </c>
      <c r="C1902" s="25" t="s">
        <v>12</v>
      </c>
      <c r="D1902" s="126" t="s">
        <v>19</v>
      </c>
      <c r="E1902" s="127">
        <v>0.7</v>
      </c>
      <c r="F1902" s="122">
        <f>H1902</f>
        <v>15.249000000000001</v>
      </c>
      <c r="G1902" s="123">
        <f>ROUND((E1902*F1902),2)</f>
        <v>10.67</v>
      </c>
      <c r="H1902" s="375">
        <v>15.249000000000001</v>
      </c>
      <c r="I1902" s="28" t="e">
        <f>IF(A1902&lt;&gt;0,VLOOKUP(A1902,#REF!,2,FALSE),"")</f>
        <v>#REF!</v>
      </c>
      <c r="K1902" s="237"/>
    </row>
    <row r="1903" spans="1:11">
      <c r="A1903" s="956" t="s">
        <v>1894</v>
      </c>
      <c r="B1903" s="957"/>
      <c r="C1903" s="957"/>
      <c r="D1903" s="957"/>
      <c r="E1903" s="957"/>
      <c r="F1903" s="958"/>
      <c r="G1903" s="130">
        <f>ROUND(SUM(G1899:G1902),2)</f>
        <v>57.23</v>
      </c>
      <c r="I1903" s="29"/>
      <c r="K1903" s="237"/>
    </row>
    <row r="1904" spans="1:11" ht="23.25" customHeight="1">
      <c r="A1904" s="27"/>
      <c r="B1904" s="27"/>
      <c r="C1904" s="27"/>
      <c r="D1904" s="27"/>
      <c r="E1904" s="27"/>
      <c r="F1904" s="27"/>
      <c r="G1904" s="27"/>
      <c r="K1904" s="237"/>
    </row>
    <row r="1905" spans="1:11" ht="39.75" customHeight="1">
      <c r="A1905" s="972" t="s">
        <v>335</v>
      </c>
      <c r="B1905" s="973"/>
      <c r="C1905" s="973"/>
      <c r="D1905" s="973"/>
      <c r="E1905" s="974"/>
      <c r="F1905" s="351" t="s">
        <v>1923</v>
      </c>
      <c r="G1905" s="125" t="s">
        <v>1941</v>
      </c>
      <c r="I1905" s="29"/>
      <c r="K1905" s="237"/>
    </row>
    <row r="1906" spans="1:11" ht="28.5">
      <c r="A1906" s="77" t="s">
        <v>1917</v>
      </c>
      <c r="B1906" s="347"/>
      <c r="C1906" s="77" t="s">
        <v>3</v>
      </c>
      <c r="D1906" s="77" t="s">
        <v>4</v>
      </c>
      <c r="E1906" s="77" t="s">
        <v>1826</v>
      </c>
      <c r="F1906" s="77" t="s">
        <v>367</v>
      </c>
      <c r="G1906" s="77" t="s">
        <v>368</v>
      </c>
      <c r="I1906" s="29"/>
      <c r="K1906" s="237"/>
    </row>
    <row r="1907" spans="1:11" s="28" customFormat="1">
      <c r="A1907" s="100" t="s">
        <v>610</v>
      </c>
      <c r="B1907" s="253" t="s">
        <v>611</v>
      </c>
      <c r="C1907" s="25" t="s">
        <v>70</v>
      </c>
      <c r="D1907" s="126" t="s">
        <v>52</v>
      </c>
      <c r="E1907" s="136">
        <v>1.5</v>
      </c>
      <c r="F1907" s="122">
        <f t="shared" ref="F1907:F1914" si="734">H1907</f>
        <v>2.5499999999999998</v>
      </c>
      <c r="G1907" s="123">
        <f t="shared" ref="G1907:G1914" si="735">ROUND((E1907*F1907),2)</f>
        <v>3.83</v>
      </c>
      <c r="H1907" s="374">
        <v>2.5499999999999998</v>
      </c>
      <c r="I1907" s="238"/>
      <c r="J1907" s="374"/>
      <c r="K1907" s="237"/>
    </row>
    <row r="1908" spans="1:11">
      <c r="A1908" s="100">
        <v>25862</v>
      </c>
      <c r="B1908" s="109" t="s">
        <v>612</v>
      </c>
      <c r="C1908" s="25" t="s">
        <v>12</v>
      </c>
      <c r="D1908" s="126" t="s">
        <v>26</v>
      </c>
      <c r="E1908" s="136">
        <v>6.5799999999999997E-2</v>
      </c>
      <c r="F1908" s="122">
        <f t="shared" si="734"/>
        <v>14.297000000000001</v>
      </c>
      <c r="G1908" s="123">
        <f t="shared" si="735"/>
        <v>0.94</v>
      </c>
      <c r="H1908" s="375">
        <v>14.297000000000001</v>
      </c>
      <c r="I1908" s="28" t="e">
        <f>IF(A1908&lt;&gt;0,VLOOKUP(A1908,#REF!,2,FALSE),"")</f>
        <v>#REF!</v>
      </c>
      <c r="K1908" s="237"/>
    </row>
    <row r="1909" spans="1:11">
      <c r="A1909" s="100">
        <v>39897</v>
      </c>
      <c r="B1909" s="109" t="e">
        <f>I1909</f>
        <v>#REF!</v>
      </c>
      <c r="C1909" s="25" t="s">
        <v>12</v>
      </c>
      <c r="D1909" s="126" t="s">
        <v>17</v>
      </c>
      <c r="E1909" s="136">
        <v>8.9999999999999998E-4</v>
      </c>
      <c r="F1909" s="122">
        <f t="shared" si="734"/>
        <v>44.0045</v>
      </c>
      <c r="G1909" s="123">
        <f t="shared" si="735"/>
        <v>0.04</v>
      </c>
      <c r="H1909" s="375">
        <v>44.0045</v>
      </c>
      <c r="I1909" s="28" t="e">
        <f>IF(A1909&lt;&gt;0,VLOOKUP(A1909,#REF!,2,FALSE),"")</f>
        <v>#REF!</v>
      </c>
      <c r="K1909" s="237"/>
    </row>
    <row r="1910" spans="1:11" s="28" customFormat="1">
      <c r="A1910" s="100" t="s">
        <v>614</v>
      </c>
      <c r="B1910" s="109" t="s">
        <v>615</v>
      </c>
      <c r="C1910" s="25" t="s">
        <v>70</v>
      </c>
      <c r="D1910" s="126" t="s">
        <v>45</v>
      </c>
      <c r="E1910" s="136">
        <v>6.3E-3</v>
      </c>
      <c r="F1910" s="122">
        <f t="shared" si="734"/>
        <v>70.32050000000001</v>
      </c>
      <c r="G1910" s="123">
        <f t="shared" si="735"/>
        <v>0.44</v>
      </c>
      <c r="H1910" s="374">
        <v>70.32050000000001</v>
      </c>
      <c r="I1910" s="238"/>
      <c r="J1910" s="374"/>
      <c r="K1910" s="237"/>
    </row>
    <row r="1911" spans="1:11">
      <c r="A1911" s="100">
        <v>39666</v>
      </c>
      <c r="B1911" s="109" t="e">
        <f>I1911</f>
        <v>#REF!</v>
      </c>
      <c r="C1911" s="25" t="s">
        <v>12</v>
      </c>
      <c r="D1911" s="126" t="s">
        <v>52</v>
      </c>
      <c r="E1911" s="136">
        <v>1.1000000000000001</v>
      </c>
      <c r="F1911" s="122">
        <f t="shared" si="734"/>
        <v>50.32</v>
      </c>
      <c r="G1911" s="123">
        <f t="shared" si="735"/>
        <v>55.35</v>
      </c>
      <c r="H1911" s="375">
        <v>50.32</v>
      </c>
      <c r="I1911" s="28" t="e">
        <f>IF(A1911&lt;&gt;0,VLOOKUP(A1911,#REF!,2,FALSE),"")</f>
        <v>#REF!</v>
      </c>
      <c r="K1911" s="237"/>
    </row>
    <row r="1912" spans="1:11" s="45" customFormat="1" ht="30">
      <c r="A1912" s="100">
        <v>8535</v>
      </c>
      <c r="B1912" s="109" t="s">
        <v>2525</v>
      </c>
      <c r="C1912" s="25" t="s">
        <v>44</v>
      </c>
      <c r="D1912" s="126" t="s">
        <v>52</v>
      </c>
      <c r="E1912" s="136">
        <v>1.1000000000000001</v>
      </c>
      <c r="F1912" s="122">
        <f t="shared" si="734"/>
        <v>1.3685</v>
      </c>
      <c r="G1912" s="123">
        <f t="shared" si="735"/>
        <v>1.51</v>
      </c>
      <c r="H1912" s="364">
        <v>1.3685</v>
      </c>
      <c r="I1912" s="45" t="e">
        <f>IF(A1912&lt;&gt;0,VLOOKUP(A1912,#REF!,2,FALSE),"")</f>
        <v>#REF!</v>
      </c>
      <c r="J1912" s="364"/>
      <c r="K1912" s="237"/>
    </row>
    <row r="1913" spans="1:11" ht="45">
      <c r="A1913" s="100">
        <v>88248</v>
      </c>
      <c r="B1913" s="109" t="s">
        <v>473</v>
      </c>
      <c r="C1913" s="25" t="s">
        <v>12</v>
      </c>
      <c r="D1913" s="126" t="s">
        <v>19</v>
      </c>
      <c r="E1913" s="100">
        <v>0.36</v>
      </c>
      <c r="F1913" s="122">
        <f t="shared" si="734"/>
        <v>11.483499999999999</v>
      </c>
      <c r="G1913" s="123">
        <f t="shared" si="735"/>
        <v>4.13</v>
      </c>
      <c r="H1913" s="375">
        <v>11.483499999999999</v>
      </c>
      <c r="I1913" s="28" t="e">
        <f>IF(A1913&lt;&gt;0,VLOOKUP(A1913,#REF!,2,FALSE),"")</f>
        <v>#REF!</v>
      </c>
      <c r="K1913" s="237"/>
    </row>
    <row r="1914" spans="1:11" ht="30">
      <c r="A1914" s="100">
        <v>88267</v>
      </c>
      <c r="B1914" s="109" t="s">
        <v>472</v>
      </c>
      <c r="C1914" s="25" t="s">
        <v>12</v>
      </c>
      <c r="D1914" s="126" t="s">
        <v>19</v>
      </c>
      <c r="E1914" s="100">
        <v>0.36</v>
      </c>
      <c r="F1914" s="122">
        <f t="shared" si="734"/>
        <v>14.7135</v>
      </c>
      <c r="G1914" s="123">
        <f t="shared" si="735"/>
        <v>5.3</v>
      </c>
      <c r="H1914" s="375">
        <v>14.7135</v>
      </c>
      <c r="I1914" s="28" t="e">
        <f>IF(A1914&lt;&gt;0,VLOOKUP(A1914,#REF!,2,FALSE),"")</f>
        <v>#REF!</v>
      </c>
      <c r="K1914" s="237"/>
    </row>
    <row r="1915" spans="1:11">
      <c r="A1915" s="956" t="s">
        <v>1894</v>
      </c>
      <c r="B1915" s="957"/>
      <c r="C1915" s="957"/>
      <c r="D1915" s="957"/>
      <c r="E1915" s="957"/>
      <c r="F1915" s="958"/>
      <c r="G1915" s="115">
        <f>ROUND(SUM(G1907:G1914),2)</f>
        <v>71.540000000000006</v>
      </c>
      <c r="I1915" s="29"/>
      <c r="K1915" s="237"/>
    </row>
    <row r="1916" spans="1:11" ht="24.75" customHeight="1">
      <c r="A1916" s="27"/>
      <c r="B1916" s="27"/>
      <c r="C1916" s="27"/>
      <c r="D1916" s="27"/>
      <c r="E1916" s="27"/>
      <c r="F1916" s="27"/>
      <c r="G1916" s="27"/>
      <c r="K1916" s="237"/>
    </row>
    <row r="1917" spans="1:11" ht="15" customHeight="1">
      <c r="A1917" s="953" t="s">
        <v>3046</v>
      </c>
      <c r="B1917" s="954"/>
      <c r="C1917" s="954"/>
      <c r="D1917" s="954"/>
      <c r="E1917" s="955"/>
      <c r="F1917" s="351" t="s">
        <v>44</v>
      </c>
      <c r="G1917" s="125">
        <v>10694</v>
      </c>
      <c r="I1917" s="29"/>
      <c r="K1917" s="237"/>
    </row>
    <row r="1918" spans="1:11" ht="28.5">
      <c r="A1918" s="77" t="s">
        <v>1917</v>
      </c>
      <c r="B1918" s="347"/>
      <c r="C1918" s="77" t="s">
        <v>3</v>
      </c>
      <c r="D1918" s="77" t="s">
        <v>4</v>
      </c>
      <c r="E1918" s="77" t="s">
        <v>1826</v>
      </c>
      <c r="F1918" s="77" t="s">
        <v>367</v>
      </c>
      <c r="G1918" s="77" t="s">
        <v>368</v>
      </c>
      <c r="I1918" s="29"/>
      <c r="K1918" s="237"/>
    </row>
    <row r="1919" spans="1:11" s="45" customFormat="1" ht="30">
      <c r="A1919" s="100">
        <v>11379</v>
      </c>
      <c r="B1919" s="109" t="s">
        <v>3046</v>
      </c>
      <c r="C1919" s="25" t="s">
        <v>44</v>
      </c>
      <c r="D1919" s="126" t="s">
        <v>17</v>
      </c>
      <c r="E1919" s="127">
        <v>1</v>
      </c>
      <c r="F1919" s="122">
        <f>H1919</f>
        <v>18.470500000000001</v>
      </c>
      <c r="G1919" s="254">
        <f>ROUND((E1919*F1919),2)</f>
        <v>18.47</v>
      </c>
      <c r="H1919" s="364">
        <v>18.470500000000001</v>
      </c>
      <c r="I1919" s="45" t="e">
        <f>IF(A1919&lt;&gt;0,VLOOKUP(A1919,#REF!,2,FALSE),"")</f>
        <v>#REF!</v>
      </c>
      <c r="J1919" s="364"/>
      <c r="K1919" s="237"/>
    </row>
    <row r="1920" spans="1:11" ht="30">
      <c r="A1920" s="100">
        <v>88264</v>
      </c>
      <c r="B1920" s="109" t="s">
        <v>379</v>
      </c>
      <c r="C1920" s="25" t="s">
        <v>12</v>
      </c>
      <c r="D1920" s="126" t="s">
        <v>19</v>
      </c>
      <c r="E1920" s="127">
        <v>0.08</v>
      </c>
      <c r="F1920" s="122">
        <f>H1920</f>
        <v>15.249000000000001</v>
      </c>
      <c r="G1920" s="123">
        <f>ROUND((E1920*F1920),2)</f>
        <v>1.22</v>
      </c>
      <c r="H1920" s="375">
        <v>15.249000000000001</v>
      </c>
      <c r="I1920" s="28" t="e">
        <f>IF(A1920&lt;&gt;0,VLOOKUP(A1920,#REF!,2,FALSE),"")</f>
        <v>#REF!</v>
      </c>
      <c r="K1920" s="237"/>
    </row>
    <row r="1921" spans="1:11">
      <c r="A1921" s="1123" t="s">
        <v>1894</v>
      </c>
      <c r="B1921" s="1124"/>
      <c r="C1921" s="1124"/>
      <c r="D1921" s="1124"/>
      <c r="E1921" s="1124"/>
      <c r="F1921" s="1125"/>
      <c r="G1921" s="138">
        <f>ROUND(SUM(G1919:G1920),2)</f>
        <v>19.690000000000001</v>
      </c>
      <c r="I1921" s="29"/>
      <c r="K1921" s="237"/>
    </row>
    <row r="1922" spans="1:11" ht="24" customHeight="1">
      <c r="A1922" s="131"/>
      <c r="B1922" s="132"/>
      <c r="C1922" s="131"/>
      <c r="D1922" s="131"/>
      <c r="E1922" s="131"/>
      <c r="F1922" s="133"/>
      <c r="G1922" s="131"/>
      <c r="I1922" s="29"/>
      <c r="K1922" s="237"/>
    </row>
    <row r="1923" spans="1:11" s="45" customFormat="1" ht="15" customHeight="1">
      <c r="A1923" s="953" t="s">
        <v>1943</v>
      </c>
      <c r="B1923" s="954"/>
      <c r="C1923" s="954"/>
      <c r="D1923" s="954"/>
      <c r="E1923" s="955"/>
      <c r="F1923" s="351" t="s">
        <v>44</v>
      </c>
      <c r="G1923" s="125">
        <v>416</v>
      </c>
      <c r="H1923" s="364"/>
      <c r="I1923" s="166"/>
      <c r="J1923" s="364"/>
      <c r="K1923" s="237"/>
    </row>
    <row r="1924" spans="1:11" s="45" customFormat="1" ht="28.5">
      <c r="A1924" s="77" t="s">
        <v>1917</v>
      </c>
      <c r="B1924" s="347"/>
      <c r="C1924" s="77" t="s">
        <v>3</v>
      </c>
      <c r="D1924" s="77" t="s">
        <v>4</v>
      </c>
      <c r="E1924" s="77" t="s">
        <v>1826</v>
      </c>
      <c r="F1924" s="77" t="s">
        <v>367</v>
      </c>
      <c r="G1924" s="77" t="s">
        <v>368</v>
      </c>
      <c r="H1924" s="364"/>
      <c r="I1924" s="166"/>
      <c r="J1924" s="364"/>
      <c r="K1924" s="237"/>
    </row>
    <row r="1925" spans="1:11" s="45" customFormat="1" ht="45">
      <c r="A1925" s="100">
        <v>11891</v>
      </c>
      <c r="B1925" s="109" t="s">
        <v>1944</v>
      </c>
      <c r="C1925" s="25" t="s">
        <v>12</v>
      </c>
      <c r="D1925" s="126" t="s">
        <v>1945</v>
      </c>
      <c r="E1925" s="100">
        <v>1.05</v>
      </c>
      <c r="F1925" s="122">
        <f>H1925</f>
        <v>4.0374999999999996</v>
      </c>
      <c r="G1925" s="123">
        <f>ROUND((E1925*F1925),2)</f>
        <v>4.24</v>
      </c>
      <c r="H1925" s="364">
        <v>4.0374999999999996</v>
      </c>
      <c r="I1925" s="45" t="e">
        <f>IF(A1925&lt;&gt;0,VLOOKUP(A1925,#REF!,2,FALSE),"")</f>
        <v>#REF!</v>
      </c>
      <c r="J1925" s="364"/>
      <c r="K1925" s="237"/>
    </row>
    <row r="1926" spans="1:11" s="45" customFormat="1" ht="30">
      <c r="A1926" s="100">
        <v>88247</v>
      </c>
      <c r="B1926" s="109" t="s">
        <v>510</v>
      </c>
      <c r="C1926" s="25" t="s">
        <v>12</v>
      </c>
      <c r="D1926" s="126" t="s">
        <v>19</v>
      </c>
      <c r="E1926" s="100">
        <v>0.12</v>
      </c>
      <c r="F1926" s="122">
        <f>H1926</f>
        <v>11.9085</v>
      </c>
      <c r="G1926" s="123">
        <f>ROUND((E1926*F1926),2)</f>
        <v>1.43</v>
      </c>
      <c r="H1926" s="364">
        <v>11.9085</v>
      </c>
      <c r="I1926" s="45" t="e">
        <f>IF(A1926&lt;&gt;0,VLOOKUP(A1926,#REF!,2,FALSE),"")</f>
        <v>#REF!</v>
      </c>
      <c r="J1926" s="364"/>
      <c r="K1926" s="237"/>
    </row>
    <row r="1927" spans="1:11" s="45" customFormat="1" ht="30">
      <c r="A1927" s="100">
        <v>88264</v>
      </c>
      <c r="B1927" s="109" t="s">
        <v>379</v>
      </c>
      <c r="C1927" s="25" t="s">
        <v>12</v>
      </c>
      <c r="D1927" s="126" t="s">
        <v>19</v>
      </c>
      <c r="E1927" s="100">
        <v>0.12</v>
      </c>
      <c r="F1927" s="122">
        <f>H1927</f>
        <v>15.249000000000001</v>
      </c>
      <c r="G1927" s="123">
        <f>ROUND((E1927*F1927),2)</f>
        <v>1.83</v>
      </c>
      <c r="H1927" s="364">
        <v>15.249000000000001</v>
      </c>
      <c r="I1927" s="45" t="e">
        <f>IF(A1927&lt;&gt;0,VLOOKUP(A1927,#REF!,2,FALSE),"")</f>
        <v>#REF!</v>
      </c>
      <c r="J1927" s="364"/>
      <c r="K1927" s="237"/>
    </row>
    <row r="1928" spans="1:11" s="45" customFormat="1">
      <c r="A1928" s="1123" t="s">
        <v>1894</v>
      </c>
      <c r="B1928" s="1124"/>
      <c r="C1928" s="1124"/>
      <c r="D1928" s="1124"/>
      <c r="E1928" s="1124"/>
      <c r="F1928" s="1125"/>
      <c r="G1928" s="115">
        <f>ROUND(SUM(G1925:G1927),2)</f>
        <v>7.5</v>
      </c>
      <c r="H1928" s="364"/>
      <c r="I1928" s="166"/>
      <c r="J1928" s="364"/>
      <c r="K1928" s="237"/>
    </row>
    <row r="1929" spans="1:11" ht="26.25" customHeight="1">
      <c r="A1929" s="131"/>
      <c r="B1929" s="132"/>
      <c r="C1929" s="131"/>
      <c r="D1929" s="131"/>
      <c r="E1929" s="131"/>
      <c r="F1929" s="133"/>
      <c r="G1929" s="131"/>
      <c r="I1929" s="29"/>
      <c r="K1929" s="237"/>
    </row>
    <row r="1930" spans="1:11" s="45" customFormat="1" ht="15" customHeight="1">
      <c r="A1930" s="953" t="s">
        <v>1946</v>
      </c>
      <c r="B1930" s="954"/>
      <c r="C1930" s="954"/>
      <c r="D1930" s="954"/>
      <c r="E1930" s="955"/>
      <c r="F1930" s="351" t="s">
        <v>44</v>
      </c>
      <c r="G1930" s="175">
        <v>11419</v>
      </c>
      <c r="H1930" s="364"/>
      <c r="I1930" s="166"/>
      <c r="J1930" s="364"/>
      <c r="K1930" s="237"/>
    </row>
    <row r="1931" spans="1:11" s="45" customFormat="1" ht="28.5">
      <c r="A1931" s="77" t="s">
        <v>1917</v>
      </c>
      <c r="B1931" s="347"/>
      <c r="C1931" s="77" t="s">
        <v>3</v>
      </c>
      <c r="D1931" s="77" t="s">
        <v>4</v>
      </c>
      <c r="E1931" s="77" t="s">
        <v>1826</v>
      </c>
      <c r="F1931" s="77" t="s">
        <v>367</v>
      </c>
      <c r="G1931" s="77" t="s">
        <v>368</v>
      </c>
      <c r="H1931" s="364"/>
      <c r="I1931" s="166"/>
      <c r="J1931" s="364"/>
      <c r="K1931" s="237"/>
    </row>
    <row r="1932" spans="1:11" s="45" customFormat="1">
      <c r="A1932" s="100">
        <v>6766</v>
      </c>
      <c r="B1932" s="176" t="s">
        <v>1947</v>
      </c>
      <c r="C1932" s="25" t="s">
        <v>44</v>
      </c>
      <c r="D1932" s="126" t="s">
        <v>17</v>
      </c>
      <c r="E1932" s="127">
        <v>1</v>
      </c>
      <c r="F1932" s="255">
        <v>21.15</v>
      </c>
      <c r="G1932" s="123">
        <f>ROUND((E1932*F1932),2)</f>
        <v>21.15</v>
      </c>
      <c r="H1932" s="364">
        <v>17.977499999999999</v>
      </c>
      <c r="I1932" s="45" t="e">
        <f>IF(A1932&lt;&gt;0,VLOOKUP(A1932,#REF!,2,FALSE),"")</f>
        <v>#REF!</v>
      </c>
      <c r="J1932" s="364"/>
      <c r="K1932" s="237"/>
    </row>
    <row r="1933" spans="1:11" s="45" customFormat="1">
      <c r="A1933" s="956" t="s">
        <v>1894</v>
      </c>
      <c r="B1933" s="957"/>
      <c r="C1933" s="957"/>
      <c r="D1933" s="957"/>
      <c r="E1933" s="957"/>
      <c r="F1933" s="958"/>
      <c r="G1933" s="115">
        <f>ROUND(SUM(G1932:G1932),2)</f>
        <v>21.15</v>
      </c>
      <c r="H1933" s="364"/>
      <c r="I1933" s="166"/>
      <c r="J1933" s="364"/>
      <c r="K1933" s="237"/>
    </row>
    <row r="1934" spans="1:11" ht="27.75" customHeight="1">
      <c r="A1934" s="131"/>
      <c r="B1934" s="132"/>
      <c r="C1934" s="131"/>
      <c r="D1934" s="131"/>
      <c r="E1934" s="131"/>
      <c r="F1934" s="133"/>
      <c r="G1934" s="131"/>
      <c r="I1934" s="29"/>
      <c r="K1934" s="237"/>
    </row>
    <row r="1935" spans="1:11" s="45" customFormat="1" ht="15" customHeight="1">
      <c r="A1935" s="953" t="s">
        <v>1948</v>
      </c>
      <c r="B1935" s="954"/>
      <c r="C1935" s="954"/>
      <c r="D1935" s="954"/>
      <c r="E1935" s="955"/>
      <c r="F1935" s="351" t="s">
        <v>44</v>
      </c>
      <c r="G1935" s="175">
        <v>8681</v>
      </c>
      <c r="H1935" s="364"/>
      <c r="I1935" s="166"/>
      <c r="J1935" s="364"/>
      <c r="K1935" s="237"/>
    </row>
    <row r="1936" spans="1:11" s="45" customFormat="1" ht="28.5">
      <c r="A1936" s="77" t="s">
        <v>1917</v>
      </c>
      <c r="B1936" s="347"/>
      <c r="C1936" s="77" t="s">
        <v>3</v>
      </c>
      <c r="D1936" s="77" t="s">
        <v>4</v>
      </c>
      <c r="E1936" s="77" t="s">
        <v>1826</v>
      </c>
      <c r="F1936" s="77" t="s">
        <v>367</v>
      </c>
      <c r="G1936" s="77" t="s">
        <v>368</v>
      </c>
      <c r="H1936" s="364"/>
      <c r="I1936" s="166"/>
      <c r="J1936" s="364"/>
      <c r="K1936" s="237"/>
    </row>
    <row r="1937" spans="1:11" s="45" customFormat="1" ht="30">
      <c r="A1937" s="100">
        <v>8943</v>
      </c>
      <c r="B1937" s="109" t="s">
        <v>1949</v>
      </c>
      <c r="C1937" s="25" t="s">
        <v>44</v>
      </c>
      <c r="D1937" s="126" t="s">
        <v>238</v>
      </c>
      <c r="E1937" s="127">
        <v>1</v>
      </c>
      <c r="F1937" s="122">
        <f>H1937</f>
        <v>312.71499999999997</v>
      </c>
      <c r="G1937" s="123">
        <f>ROUND((E1937*F1937),2)</f>
        <v>312.72000000000003</v>
      </c>
      <c r="H1937" s="364">
        <v>312.71499999999997</v>
      </c>
      <c r="I1937" s="45" t="e">
        <f>IF(A1937&lt;&gt;0,VLOOKUP(A1937,#REF!,2,FALSE),"")</f>
        <v>#REF!</v>
      </c>
      <c r="J1937" s="364"/>
      <c r="K1937" s="237"/>
    </row>
    <row r="1938" spans="1:11" s="45" customFormat="1" ht="30">
      <c r="A1938" s="100">
        <v>88316</v>
      </c>
      <c r="B1938" s="109" t="s">
        <v>377</v>
      </c>
      <c r="C1938" s="25" t="s">
        <v>12</v>
      </c>
      <c r="D1938" s="126" t="s">
        <v>19</v>
      </c>
      <c r="E1938" s="127">
        <v>2</v>
      </c>
      <c r="F1938" s="122">
        <f>H1938</f>
        <v>11.798000000000002</v>
      </c>
      <c r="G1938" s="123">
        <f>ROUND((E1938*F1938),2)</f>
        <v>23.6</v>
      </c>
      <c r="H1938" s="364">
        <v>11.798000000000002</v>
      </c>
      <c r="I1938" s="45" t="e">
        <f>IF(A1938&lt;&gt;0,VLOOKUP(A1938,#REF!,2,FALSE),"")</f>
        <v>#REF!</v>
      </c>
      <c r="J1938" s="364"/>
      <c r="K1938" s="237"/>
    </row>
    <row r="1939" spans="1:11" s="45" customFormat="1" ht="30">
      <c r="A1939" s="100">
        <v>88266</v>
      </c>
      <c r="B1939" s="109" t="s">
        <v>570</v>
      </c>
      <c r="C1939" s="25" t="s">
        <v>12</v>
      </c>
      <c r="D1939" s="126" t="s">
        <v>19</v>
      </c>
      <c r="E1939" s="127">
        <v>2</v>
      </c>
      <c r="F1939" s="122">
        <f>H1939</f>
        <v>25.6785</v>
      </c>
      <c r="G1939" s="123">
        <f>ROUND((E1939*F1939),2)</f>
        <v>51.36</v>
      </c>
      <c r="H1939" s="364">
        <v>25.6785</v>
      </c>
      <c r="I1939" s="45" t="e">
        <f>IF(A1939&lt;&gt;0,VLOOKUP(A1939,#REF!,2,FALSE),"")</f>
        <v>#REF!</v>
      </c>
      <c r="J1939" s="364"/>
      <c r="K1939" s="237"/>
    </row>
    <row r="1940" spans="1:11" s="45" customFormat="1">
      <c r="A1940" s="956" t="s">
        <v>1894</v>
      </c>
      <c r="B1940" s="957"/>
      <c r="C1940" s="957"/>
      <c r="D1940" s="957"/>
      <c r="E1940" s="957"/>
      <c r="F1940" s="958"/>
      <c r="G1940" s="115">
        <f>ROUND(SUM(G1937:G1939),2)</f>
        <v>387.68</v>
      </c>
      <c r="H1940" s="364"/>
      <c r="I1940" s="166"/>
      <c r="J1940" s="364"/>
      <c r="K1940" s="237"/>
    </row>
    <row r="1941" spans="1:11" ht="27.75" customHeight="1">
      <c r="A1941" s="131"/>
      <c r="B1941" s="132"/>
      <c r="C1941" s="131"/>
      <c r="D1941" s="131"/>
      <c r="E1941" s="131"/>
      <c r="F1941" s="133"/>
      <c r="G1941" s="131"/>
      <c r="I1941" s="29"/>
      <c r="K1941" s="237"/>
    </row>
    <row r="1942" spans="1:11" s="45" customFormat="1" ht="19.5" customHeight="1">
      <c r="A1942" s="953" t="s">
        <v>1950</v>
      </c>
      <c r="B1942" s="954"/>
      <c r="C1942" s="954"/>
      <c r="D1942" s="954"/>
      <c r="E1942" s="955"/>
      <c r="F1942" s="351" t="s">
        <v>44</v>
      </c>
      <c r="G1942" s="175">
        <v>4439</v>
      </c>
      <c r="H1942" s="364"/>
      <c r="I1942" s="166"/>
      <c r="J1942" s="364"/>
      <c r="K1942" s="237"/>
    </row>
    <row r="1943" spans="1:11" s="45" customFormat="1" ht="28.5">
      <c r="A1943" s="77" t="s">
        <v>1917</v>
      </c>
      <c r="B1943" s="347"/>
      <c r="C1943" s="77" t="s">
        <v>3</v>
      </c>
      <c r="D1943" s="77" t="s">
        <v>4</v>
      </c>
      <c r="E1943" s="77" t="s">
        <v>1826</v>
      </c>
      <c r="F1943" s="77" t="s">
        <v>367</v>
      </c>
      <c r="G1943" s="77" t="s">
        <v>368</v>
      </c>
      <c r="H1943" s="364"/>
      <c r="I1943" s="166"/>
      <c r="J1943" s="364"/>
      <c r="K1943" s="237"/>
    </row>
    <row r="1944" spans="1:11" s="45" customFormat="1" ht="30">
      <c r="A1944" s="100">
        <v>3963</v>
      </c>
      <c r="B1944" s="109" t="s">
        <v>1951</v>
      </c>
      <c r="C1944" s="25" t="s">
        <v>44</v>
      </c>
      <c r="D1944" s="126" t="s">
        <v>238</v>
      </c>
      <c r="E1944" s="127">
        <v>1</v>
      </c>
      <c r="F1944" s="122">
        <f>H1944</f>
        <v>17.628999999999998</v>
      </c>
      <c r="G1944" s="123">
        <f>ROUND((E1944*F1944),2)</f>
        <v>17.63</v>
      </c>
      <c r="H1944" s="364">
        <v>17.628999999999998</v>
      </c>
      <c r="I1944" s="45" t="e">
        <f>IF(A1944&lt;&gt;0,VLOOKUP(A1944,#REF!,2,FALSE),"")</f>
        <v>#REF!</v>
      </c>
      <c r="J1944" s="364"/>
      <c r="K1944" s="237"/>
    </row>
    <row r="1945" spans="1:11" s="45" customFormat="1" ht="30">
      <c r="A1945" s="120">
        <v>88316</v>
      </c>
      <c r="B1945" s="109" t="s">
        <v>377</v>
      </c>
      <c r="C1945" s="25" t="s">
        <v>12</v>
      </c>
      <c r="D1945" s="111" t="s">
        <v>19</v>
      </c>
      <c r="E1945" s="112">
        <v>2</v>
      </c>
      <c r="F1945" s="122">
        <f>H1945</f>
        <v>11.798000000000002</v>
      </c>
      <c r="G1945" s="123">
        <f>ROUND((E1945*F1945),2)</f>
        <v>23.6</v>
      </c>
      <c r="H1945" s="364">
        <v>11.798000000000002</v>
      </c>
      <c r="I1945" s="45" t="e">
        <f>IF(A1945&lt;&gt;0,VLOOKUP(A1945,#REF!,2,FALSE),"")</f>
        <v>#REF!</v>
      </c>
      <c r="J1945" s="364"/>
      <c r="K1945" s="237"/>
    </row>
    <row r="1946" spans="1:11" s="45" customFormat="1">
      <c r="A1946" s="120">
        <v>88264</v>
      </c>
      <c r="B1946" s="109" t="e">
        <f>I1946</f>
        <v>#REF!</v>
      </c>
      <c r="C1946" s="25" t="s">
        <v>12</v>
      </c>
      <c r="D1946" s="126" t="s">
        <v>19</v>
      </c>
      <c r="E1946" s="112">
        <v>2</v>
      </c>
      <c r="F1946" s="122">
        <f>H1946</f>
        <v>15.249000000000001</v>
      </c>
      <c r="G1946" s="123">
        <f>ROUND((E1946*F1946),2)</f>
        <v>30.5</v>
      </c>
      <c r="H1946" s="364">
        <v>15.249000000000001</v>
      </c>
      <c r="I1946" s="45" t="e">
        <f>IF(A1946&lt;&gt;0,VLOOKUP(A1946,#REF!,2,FALSE),"")</f>
        <v>#REF!</v>
      </c>
      <c r="J1946" s="364"/>
      <c r="K1946" s="237"/>
    </row>
    <row r="1947" spans="1:11" s="45" customFormat="1">
      <c r="A1947" s="1123" t="s">
        <v>1894</v>
      </c>
      <c r="B1947" s="1124"/>
      <c r="C1947" s="1124"/>
      <c r="D1947" s="1124"/>
      <c r="E1947" s="1124"/>
      <c r="F1947" s="1125"/>
      <c r="G1947" s="115">
        <f>ROUND(SUM(G1944:G1946),2)</f>
        <v>71.73</v>
      </c>
      <c r="H1947" s="364"/>
      <c r="I1947" s="166"/>
      <c r="J1947" s="364"/>
      <c r="K1947" s="237"/>
    </row>
    <row r="1948" spans="1:11" ht="32.25" customHeight="1">
      <c r="A1948" s="131"/>
      <c r="B1948" s="132"/>
      <c r="C1948" s="131"/>
      <c r="D1948" s="131"/>
      <c r="E1948" s="131"/>
      <c r="F1948" s="133"/>
      <c r="G1948" s="131"/>
      <c r="I1948" s="29"/>
      <c r="K1948" s="237"/>
    </row>
    <row r="1949" spans="1:11" s="45" customFormat="1" ht="15" customHeight="1">
      <c r="A1949" s="953" t="s">
        <v>1952</v>
      </c>
      <c r="B1949" s="954"/>
      <c r="C1949" s="954"/>
      <c r="D1949" s="954"/>
      <c r="E1949" s="955"/>
      <c r="F1949" s="351" t="s">
        <v>44</v>
      </c>
      <c r="G1949" s="175">
        <v>13247</v>
      </c>
      <c r="H1949" s="364"/>
      <c r="I1949" s="166"/>
      <c r="J1949" s="364"/>
      <c r="K1949" s="237"/>
    </row>
    <row r="1950" spans="1:11" s="45" customFormat="1" ht="28.5">
      <c r="A1950" s="77" t="s">
        <v>1917</v>
      </c>
      <c r="B1950" s="347"/>
      <c r="C1950" s="77" t="s">
        <v>3</v>
      </c>
      <c r="D1950" s="77" t="s">
        <v>4</v>
      </c>
      <c r="E1950" s="77" t="s">
        <v>1826</v>
      </c>
      <c r="F1950" s="77" t="s">
        <v>367</v>
      </c>
      <c r="G1950" s="77" t="s">
        <v>368</v>
      </c>
      <c r="H1950" s="364"/>
      <c r="I1950" s="166"/>
      <c r="J1950" s="364"/>
      <c r="K1950" s="237"/>
    </row>
    <row r="1951" spans="1:11" s="45" customFormat="1" ht="30">
      <c r="A1951" s="100">
        <v>13247</v>
      </c>
      <c r="B1951" s="109" t="s">
        <v>1953</v>
      </c>
      <c r="C1951" s="25" t="s">
        <v>44</v>
      </c>
      <c r="D1951" s="126" t="s">
        <v>238</v>
      </c>
      <c r="E1951" s="127">
        <v>1</v>
      </c>
      <c r="F1951" s="122">
        <f>H1951</f>
        <v>719.63549999999998</v>
      </c>
      <c r="G1951" s="123">
        <f>ROUND((E1951*F1951),2)</f>
        <v>719.64</v>
      </c>
      <c r="H1951" s="364">
        <v>719.63549999999998</v>
      </c>
      <c r="I1951" s="45" t="e">
        <f>IF(A1951&lt;&gt;0,VLOOKUP(A1951,#REF!,2,FALSE),"")</f>
        <v>#REF!</v>
      </c>
      <c r="J1951" s="364"/>
      <c r="K1951" s="237"/>
    </row>
    <row r="1952" spans="1:11" s="45" customFormat="1" ht="30">
      <c r="A1952" s="100">
        <v>88243</v>
      </c>
      <c r="B1952" s="109" t="s">
        <v>416</v>
      </c>
      <c r="C1952" s="25" t="s">
        <v>12</v>
      </c>
      <c r="D1952" s="126" t="s">
        <v>19</v>
      </c>
      <c r="E1952" s="112">
        <v>1</v>
      </c>
      <c r="F1952" s="122">
        <f>H1952</f>
        <v>14.075999999999999</v>
      </c>
      <c r="G1952" s="123">
        <f>ROUND((E1952*F1952),2)</f>
        <v>14.08</v>
      </c>
      <c r="H1952" s="364">
        <v>14.075999999999999</v>
      </c>
      <c r="I1952" s="45" t="e">
        <f>IF(A1952&lt;&gt;0,VLOOKUP(A1952,#REF!,2,FALSE),"")</f>
        <v>#REF!</v>
      </c>
      <c r="J1952" s="364"/>
      <c r="K1952" s="237"/>
    </row>
    <row r="1953" spans="1:11" s="45" customFormat="1" ht="30">
      <c r="A1953" s="100">
        <v>88266</v>
      </c>
      <c r="B1953" s="109" t="s">
        <v>570</v>
      </c>
      <c r="C1953" s="25" t="s">
        <v>12</v>
      </c>
      <c r="D1953" s="126" t="s">
        <v>19</v>
      </c>
      <c r="E1953" s="112">
        <v>1</v>
      </c>
      <c r="F1953" s="122">
        <f>H1953</f>
        <v>25.6785</v>
      </c>
      <c r="G1953" s="123">
        <f>ROUND((E1953*F1953),2)</f>
        <v>25.68</v>
      </c>
      <c r="H1953" s="364">
        <v>25.6785</v>
      </c>
      <c r="I1953" s="45" t="e">
        <f>IF(A1953&lt;&gt;0,VLOOKUP(A1953,#REF!,2,FALSE),"")</f>
        <v>#REF!</v>
      </c>
      <c r="J1953" s="364"/>
      <c r="K1953" s="237"/>
    </row>
    <row r="1954" spans="1:11" s="45" customFormat="1">
      <c r="A1954" s="956" t="s">
        <v>1894</v>
      </c>
      <c r="B1954" s="957"/>
      <c r="C1954" s="957"/>
      <c r="D1954" s="957"/>
      <c r="E1954" s="957"/>
      <c r="F1954" s="958"/>
      <c r="G1954" s="115">
        <f>ROUND(SUM(G1951:G1953),2)</f>
        <v>759.4</v>
      </c>
      <c r="H1954" s="364"/>
      <c r="I1954" s="166"/>
      <c r="J1954" s="364"/>
      <c r="K1954" s="237"/>
    </row>
    <row r="1955" spans="1:11" ht="29.25" customHeight="1">
      <c r="A1955" s="131"/>
      <c r="B1955" s="132"/>
      <c r="C1955" s="131"/>
      <c r="D1955" s="131"/>
      <c r="E1955" s="131"/>
      <c r="F1955" s="133"/>
      <c r="G1955" s="131"/>
      <c r="I1955" s="29"/>
      <c r="K1955" s="237"/>
    </row>
    <row r="1956" spans="1:11" s="45" customFormat="1" ht="15" customHeight="1">
      <c r="A1956" s="953" t="s">
        <v>1954</v>
      </c>
      <c r="B1956" s="954"/>
      <c r="C1956" s="954"/>
      <c r="D1956" s="954"/>
      <c r="E1956" s="955"/>
      <c r="F1956" s="351" t="s">
        <v>44</v>
      </c>
      <c r="G1956" s="175">
        <v>4350</v>
      </c>
      <c r="H1956" s="364"/>
      <c r="I1956" s="166"/>
      <c r="J1956" s="364"/>
      <c r="K1956" s="237"/>
    </row>
    <row r="1957" spans="1:11" s="45" customFormat="1" ht="28.5">
      <c r="A1957" s="77" t="s">
        <v>1917</v>
      </c>
      <c r="B1957" s="347"/>
      <c r="C1957" s="77" t="s">
        <v>3</v>
      </c>
      <c r="D1957" s="77" t="s">
        <v>4</v>
      </c>
      <c r="E1957" s="77" t="s">
        <v>1826</v>
      </c>
      <c r="F1957" s="77" t="s">
        <v>367</v>
      </c>
      <c r="G1957" s="77" t="s">
        <v>368</v>
      </c>
      <c r="H1957" s="364"/>
      <c r="I1957" s="166"/>
      <c r="J1957" s="364"/>
      <c r="K1957" s="237"/>
    </row>
    <row r="1958" spans="1:11" s="45" customFormat="1">
      <c r="A1958" s="100">
        <v>4350</v>
      </c>
      <c r="B1958" s="109" t="s">
        <v>1955</v>
      </c>
      <c r="C1958" s="25" t="s">
        <v>44</v>
      </c>
      <c r="D1958" s="126" t="s">
        <v>238</v>
      </c>
      <c r="E1958" s="127">
        <v>1</v>
      </c>
      <c r="F1958" s="128">
        <f>H1958</f>
        <v>1480.7849999999999</v>
      </c>
      <c r="G1958" s="123">
        <f>ROUND((E1958*F1958),2)</f>
        <v>1480.79</v>
      </c>
      <c r="H1958" s="364">
        <v>1480.7849999999999</v>
      </c>
      <c r="I1958" s="45" t="e">
        <f>IF(A1958&lt;&gt;0,VLOOKUP(A1958,#REF!,2,FALSE),"")</f>
        <v>#REF!</v>
      </c>
      <c r="J1958" s="364"/>
      <c r="K1958" s="237"/>
    </row>
    <row r="1959" spans="1:11" s="45" customFormat="1" ht="30">
      <c r="A1959" s="100">
        <v>88266</v>
      </c>
      <c r="B1959" s="109" t="s">
        <v>570</v>
      </c>
      <c r="C1959" s="25" t="s">
        <v>12</v>
      </c>
      <c r="D1959" s="126" t="s">
        <v>19</v>
      </c>
      <c r="E1959" s="112">
        <v>1</v>
      </c>
      <c r="F1959" s="122">
        <f>H1959</f>
        <v>25.6785</v>
      </c>
      <c r="G1959" s="123">
        <f>ROUND((E1959*F1959),2)</f>
        <v>25.68</v>
      </c>
      <c r="H1959" s="364">
        <v>25.6785</v>
      </c>
      <c r="I1959" s="45" t="e">
        <f>IF(A1959&lt;&gt;0,VLOOKUP(A1959,#REF!,2,FALSE),"")</f>
        <v>#REF!</v>
      </c>
      <c r="J1959" s="364"/>
      <c r="K1959" s="237"/>
    </row>
    <row r="1960" spans="1:11" s="45" customFormat="1">
      <c r="A1960" s="956" t="s">
        <v>1894</v>
      </c>
      <c r="B1960" s="957"/>
      <c r="C1960" s="957"/>
      <c r="D1960" s="957"/>
      <c r="E1960" s="957"/>
      <c r="F1960" s="958"/>
      <c r="G1960" s="115">
        <f>ROUND(SUM(G1958:G1959),2)</f>
        <v>1506.47</v>
      </c>
      <c r="H1960" s="364"/>
      <c r="I1960" s="166"/>
      <c r="J1960" s="364"/>
      <c r="K1960" s="237"/>
    </row>
    <row r="1961" spans="1:11" ht="30.75" customHeight="1">
      <c r="A1961" s="131"/>
      <c r="B1961" s="132"/>
      <c r="C1961" s="131"/>
      <c r="D1961" s="131"/>
      <c r="E1961" s="131"/>
      <c r="F1961" s="133"/>
      <c r="G1961" s="131"/>
      <c r="I1961" s="29"/>
      <c r="K1961" s="237"/>
    </row>
    <row r="1962" spans="1:11" s="45" customFormat="1" ht="15" customHeight="1">
      <c r="A1962" s="953" t="s">
        <v>587</v>
      </c>
      <c r="B1962" s="954"/>
      <c r="C1962" s="954"/>
      <c r="D1962" s="954"/>
      <c r="E1962" s="955"/>
      <c r="F1962" s="351" t="s">
        <v>44</v>
      </c>
      <c r="G1962" s="175">
        <v>11752</v>
      </c>
      <c r="H1962" s="364"/>
      <c r="I1962" s="166"/>
      <c r="J1962" s="364"/>
      <c r="K1962" s="237"/>
    </row>
    <row r="1963" spans="1:11" s="45" customFormat="1" ht="28.5">
      <c r="A1963" s="77" t="s">
        <v>1917</v>
      </c>
      <c r="B1963" s="347"/>
      <c r="C1963" s="77" t="s">
        <v>3</v>
      </c>
      <c r="D1963" s="77" t="s">
        <v>4</v>
      </c>
      <c r="E1963" s="77" t="s">
        <v>1826</v>
      </c>
      <c r="F1963" s="77" t="s">
        <v>367</v>
      </c>
      <c r="G1963" s="77" t="s">
        <v>368</v>
      </c>
      <c r="H1963" s="364"/>
      <c r="I1963" s="166"/>
      <c r="J1963" s="364"/>
      <c r="K1963" s="237"/>
    </row>
    <row r="1964" spans="1:11" s="45" customFormat="1">
      <c r="A1964" s="100">
        <v>12617</v>
      </c>
      <c r="B1964" s="109" t="s">
        <v>1956</v>
      </c>
      <c r="C1964" s="25" t="s">
        <v>44</v>
      </c>
      <c r="D1964" s="126" t="s">
        <v>52</v>
      </c>
      <c r="E1964" s="127">
        <v>1.02</v>
      </c>
      <c r="F1964" s="122">
        <f>H1964</f>
        <v>4.5049999999999999</v>
      </c>
      <c r="G1964" s="123">
        <f>ROUND((E1964*F1964),2)</f>
        <v>4.5999999999999996</v>
      </c>
      <c r="H1964" s="364">
        <v>4.5049999999999999</v>
      </c>
      <c r="I1964" s="45" t="e">
        <f>IF(A1964&lt;&gt;0,VLOOKUP(A1964,#REF!,2,FALSE),"")</f>
        <v>#REF!</v>
      </c>
      <c r="J1964" s="364"/>
      <c r="K1964" s="237"/>
    </row>
    <row r="1965" spans="1:11" s="45" customFormat="1" ht="30">
      <c r="A1965" s="100">
        <v>88316</v>
      </c>
      <c r="B1965" s="109" t="s">
        <v>377</v>
      </c>
      <c r="C1965" s="25" t="s">
        <v>12</v>
      </c>
      <c r="D1965" s="126" t="s">
        <v>19</v>
      </c>
      <c r="E1965" s="127">
        <v>0.13</v>
      </c>
      <c r="F1965" s="122">
        <f>H1965</f>
        <v>11.798000000000002</v>
      </c>
      <c r="G1965" s="123">
        <f>ROUND((E1965*F1965),2)</f>
        <v>1.53</v>
      </c>
      <c r="H1965" s="364">
        <v>11.798000000000002</v>
      </c>
      <c r="I1965" s="45" t="e">
        <f>IF(A1965&lt;&gt;0,VLOOKUP(A1965,#REF!,2,FALSE),"")</f>
        <v>#REF!</v>
      </c>
      <c r="J1965" s="364"/>
      <c r="K1965" s="237"/>
    </row>
    <row r="1966" spans="1:11" s="45" customFormat="1">
      <c r="A1966" s="100">
        <v>88264</v>
      </c>
      <c r="B1966" s="109" t="e">
        <f>I1966</f>
        <v>#REF!</v>
      </c>
      <c r="C1966" s="25" t="s">
        <v>12</v>
      </c>
      <c r="D1966" s="126" t="s">
        <v>19</v>
      </c>
      <c r="E1966" s="127">
        <v>0.13</v>
      </c>
      <c r="F1966" s="122">
        <f>H1966</f>
        <v>15.249000000000001</v>
      </c>
      <c r="G1966" s="123">
        <f>ROUND((E1966*F1966),2)</f>
        <v>1.98</v>
      </c>
      <c r="H1966" s="364">
        <v>15.249000000000001</v>
      </c>
      <c r="I1966" s="45" t="e">
        <f>IF(A1966&lt;&gt;0,VLOOKUP(A1966,#REF!,2,FALSE),"")</f>
        <v>#REF!</v>
      </c>
      <c r="J1966" s="364"/>
      <c r="K1966" s="237"/>
    </row>
    <row r="1967" spans="1:11" s="45" customFormat="1">
      <c r="A1967" s="1123" t="s">
        <v>1894</v>
      </c>
      <c r="B1967" s="1124"/>
      <c r="C1967" s="1124"/>
      <c r="D1967" s="1124"/>
      <c r="E1967" s="1124"/>
      <c r="F1967" s="1125"/>
      <c r="G1967" s="115">
        <f>ROUND(SUM(G1964:G1966),2)</f>
        <v>8.11</v>
      </c>
      <c r="H1967" s="364"/>
      <c r="I1967" s="166"/>
      <c r="J1967" s="364"/>
      <c r="K1967" s="237"/>
    </row>
    <row r="1968" spans="1:11" ht="24.75" customHeight="1">
      <c r="A1968" s="27"/>
      <c r="B1968" s="27"/>
      <c r="C1968" s="27"/>
      <c r="D1968" s="27"/>
      <c r="E1968" s="27"/>
      <c r="F1968" s="27"/>
      <c r="G1968" s="27"/>
      <c r="K1968" s="237"/>
    </row>
    <row r="1969" spans="1:11" s="45" customFormat="1" ht="15" customHeight="1">
      <c r="A1969" s="953" t="s">
        <v>1961</v>
      </c>
      <c r="B1969" s="954"/>
      <c r="C1969" s="954"/>
      <c r="D1969" s="954"/>
      <c r="E1969" s="955"/>
      <c r="F1969" s="351" t="s">
        <v>44</v>
      </c>
      <c r="G1969" s="118">
        <v>758</v>
      </c>
      <c r="H1969" s="364"/>
      <c r="I1969" s="166"/>
      <c r="J1969" s="364"/>
      <c r="K1969" s="237"/>
    </row>
    <row r="1970" spans="1:11" s="45" customFormat="1" ht="28.5">
      <c r="A1970" s="77" t="s">
        <v>1917</v>
      </c>
      <c r="B1970" s="347"/>
      <c r="C1970" s="77" t="s">
        <v>3</v>
      </c>
      <c r="D1970" s="77" t="s">
        <v>4</v>
      </c>
      <c r="E1970" s="77" t="s">
        <v>1826</v>
      </c>
      <c r="F1970" s="77" t="s">
        <v>367</v>
      </c>
      <c r="G1970" s="77" t="s">
        <v>368</v>
      </c>
      <c r="H1970" s="364"/>
      <c r="I1970" s="166"/>
      <c r="J1970" s="364"/>
      <c r="K1970" s="237"/>
    </row>
    <row r="1971" spans="1:11" s="45" customFormat="1">
      <c r="A1971" s="100">
        <v>39603</v>
      </c>
      <c r="B1971" s="109" t="s">
        <v>1962</v>
      </c>
      <c r="C1971" s="25" t="s">
        <v>12</v>
      </c>
      <c r="D1971" s="126" t="s">
        <v>17</v>
      </c>
      <c r="E1971" s="134">
        <v>1</v>
      </c>
      <c r="F1971" s="122">
        <f>H1971</f>
        <v>1.7510000000000001</v>
      </c>
      <c r="G1971" s="123">
        <f>ROUND((E1971*F1971),2)</f>
        <v>1.75</v>
      </c>
      <c r="H1971" s="364">
        <v>1.7510000000000001</v>
      </c>
      <c r="I1971" s="45" t="e">
        <f>IF(A1971&lt;&gt;0,VLOOKUP(A1971,#REF!,2,FALSE),"")</f>
        <v>#REF!</v>
      </c>
      <c r="J1971" s="364"/>
      <c r="K1971" s="237"/>
    </row>
    <row r="1972" spans="1:11" s="45" customFormat="1" ht="30">
      <c r="A1972" s="100">
        <v>88264</v>
      </c>
      <c r="B1972" s="109" t="s">
        <v>379</v>
      </c>
      <c r="C1972" s="25" t="s">
        <v>12</v>
      </c>
      <c r="D1972" s="126" t="s">
        <v>19</v>
      </c>
      <c r="E1972" s="134">
        <v>0.1</v>
      </c>
      <c r="F1972" s="122">
        <f>H1972</f>
        <v>15.249000000000001</v>
      </c>
      <c r="G1972" s="123">
        <f>ROUND((E1972*F1972),2)</f>
        <v>1.52</v>
      </c>
      <c r="H1972" s="364">
        <v>15.249000000000001</v>
      </c>
      <c r="I1972" s="45" t="e">
        <f>IF(A1972&lt;&gt;0,VLOOKUP(A1972,#REF!,2,FALSE),"")</f>
        <v>#REF!</v>
      </c>
      <c r="J1972" s="364"/>
      <c r="K1972" s="237"/>
    </row>
    <row r="1973" spans="1:11" s="45" customFormat="1" ht="30">
      <c r="A1973" s="100">
        <v>88316</v>
      </c>
      <c r="B1973" s="109" t="s">
        <v>377</v>
      </c>
      <c r="C1973" s="25" t="s">
        <v>12</v>
      </c>
      <c r="D1973" s="126" t="s">
        <v>19</v>
      </c>
      <c r="E1973" s="134">
        <v>0.1</v>
      </c>
      <c r="F1973" s="122">
        <f>H1973</f>
        <v>11.798000000000002</v>
      </c>
      <c r="G1973" s="123">
        <f>ROUND((E1973*F1973),2)</f>
        <v>1.18</v>
      </c>
      <c r="H1973" s="364">
        <v>11.798000000000002</v>
      </c>
      <c r="I1973" s="45" t="e">
        <f>IF(A1973&lt;&gt;0,VLOOKUP(A1973,#REF!,2,FALSE),"")</f>
        <v>#REF!</v>
      </c>
      <c r="J1973" s="364"/>
      <c r="K1973" s="237"/>
    </row>
    <row r="1974" spans="1:11" s="45" customFormat="1">
      <c r="A1974" s="956" t="s">
        <v>1894</v>
      </c>
      <c r="B1974" s="957"/>
      <c r="C1974" s="957"/>
      <c r="D1974" s="957"/>
      <c r="E1974" s="957"/>
      <c r="F1974" s="958"/>
      <c r="G1974" s="115">
        <f>ROUND(SUM(G1971:G1973),2)</f>
        <v>4.45</v>
      </c>
      <c r="H1974" s="364"/>
      <c r="I1974" s="166"/>
      <c r="J1974" s="364"/>
      <c r="K1974" s="237"/>
    </row>
    <row r="1975" spans="1:11" ht="29.25" customHeight="1">
      <c r="A1975" s="131"/>
      <c r="B1975" s="132"/>
      <c r="C1975" s="131"/>
      <c r="D1975" s="131"/>
      <c r="E1975" s="131"/>
      <c r="F1975" s="133"/>
      <c r="G1975" s="131"/>
      <c r="I1975" s="29"/>
      <c r="K1975" s="237"/>
    </row>
    <row r="1976" spans="1:11" s="45" customFormat="1" ht="23.25" customHeight="1">
      <c r="A1976" s="953" t="s">
        <v>1963</v>
      </c>
      <c r="B1976" s="954"/>
      <c r="C1976" s="954"/>
      <c r="D1976" s="954"/>
      <c r="E1976" s="955"/>
      <c r="F1976" s="351" t="s">
        <v>44</v>
      </c>
      <c r="G1976" s="175">
        <v>11234</v>
      </c>
      <c r="H1976" s="364"/>
      <c r="I1976" s="166"/>
      <c r="J1976" s="364"/>
      <c r="K1976" s="237"/>
    </row>
    <row r="1977" spans="1:11" s="45" customFormat="1" ht="28.5">
      <c r="A1977" s="77" t="s">
        <v>1917</v>
      </c>
      <c r="B1977" s="347"/>
      <c r="C1977" s="77" t="s">
        <v>3</v>
      </c>
      <c r="D1977" s="77" t="s">
        <v>4</v>
      </c>
      <c r="E1977" s="77" t="s">
        <v>1826</v>
      </c>
      <c r="F1977" s="77" t="s">
        <v>367</v>
      </c>
      <c r="G1977" s="77" t="s">
        <v>368</v>
      </c>
      <c r="H1977" s="364"/>
      <c r="I1977" s="166"/>
      <c r="J1977" s="364"/>
      <c r="K1977" s="237"/>
    </row>
    <row r="1978" spans="1:11" s="45" customFormat="1">
      <c r="A1978" s="100">
        <v>12113</v>
      </c>
      <c r="B1978" s="109" t="s">
        <v>1964</v>
      </c>
      <c r="C1978" s="25" t="s">
        <v>44</v>
      </c>
      <c r="D1978" s="126" t="s">
        <v>238</v>
      </c>
      <c r="E1978" s="127">
        <v>2</v>
      </c>
      <c r="F1978" s="128">
        <f>H1978</f>
        <v>30.175000000000001</v>
      </c>
      <c r="G1978" s="123">
        <f>ROUND((E1978*F1978),2)</f>
        <v>60.35</v>
      </c>
      <c r="H1978" s="364">
        <v>30.175000000000001</v>
      </c>
      <c r="I1978" s="45" t="e">
        <f>IF(A1978&lt;&gt;0,VLOOKUP(A1978,#REF!,2,FALSE),"")</f>
        <v>#REF!</v>
      </c>
      <c r="J1978" s="364"/>
      <c r="K1978" s="237"/>
    </row>
    <row r="1979" spans="1:11" s="45" customFormat="1" ht="30">
      <c r="A1979" s="100">
        <v>1872</v>
      </c>
      <c r="B1979" s="109" t="s">
        <v>1940</v>
      </c>
      <c r="C1979" s="25" t="s">
        <v>12</v>
      </c>
      <c r="D1979" s="126" t="s">
        <v>238</v>
      </c>
      <c r="E1979" s="127">
        <v>1</v>
      </c>
      <c r="F1979" s="128">
        <f>H1979</f>
        <v>1.7510000000000001</v>
      </c>
      <c r="G1979" s="123">
        <f>ROUND((E1979*F1979),2)</f>
        <v>1.75</v>
      </c>
      <c r="H1979" s="364">
        <v>1.7510000000000001</v>
      </c>
      <c r="I1979" s="45" t="e">
        <f>IF(A1979&lt;&gt;0,VLOOKUP(A1979,#REF!,2,FALSE),"")</f>
        <v>#REF!</v>
      </c>
      <c r="J1979" s="364"/>
      <c r="K1979" s="237"/>
    </row>
    <row r="1980" spans="1:11" s="45" customFormat="1">
      <c r="A1980" s="100">
        <v>12114</v>
      </c>
      <c r="B1980" s="109" t="s">
        <v>1965</v>
      </c>
      <c r="C1980" s="25" t="s">
        <v>44</v>
      </c>
      <c r="D1980" s="126" t="s">
        <v>238</v>
      </c>
      <c r="E1980" s="127">
        <v>1</v>
      </c>
      <c r="F1980" s="128">
        <f>H1980</f>
        <v>1.9125000000000001</v>
      </c>
      <c r="G1980" s="123">
        <f>ROUND((E1980*F1980),2)</f>
        <v>1.91</v>
      </c>
      <c r="H1980" s="364">
        <v>1.9125000000000001</v>
      </c>
      <c r="I1980" s="45" t="e">
        <f>IF(A1980&lt;&gt;0,VLOOKUP(A1980,#REF!,2,FALSE),"")</f>
        <v>#REF!</v>
      </c>
      <c r="J1980" s="364"/>
      <c r="K1980" s="237"/>
    </row>
    <row r="1981" spans="1:11" s="45" customFormat="1" ht="30">
      <c r="A1981" s="100">
        <v>88316</v>
      </c>
      <c r="B1981" s="109" t="s">
        <v>377</v>
      </c>
      <c r="C1981" s="25" t="s">
        <v>12</v>
      </c>
      <c r="D1981" s="126" t="s">
        <v>19</v>
      </c>
      <c r="E1981" s="127">
        <v>0.4</v>
      </c>
      <c r="F1981" s="122">
        <f>H1981</f>
        <v>11.798000000000002</v>
      </c>
      <c r="G1981" s="123">
        <f>ROUND((E1981*F1981),2)</f>
        <v>4.72</v>
      </c>
      <c r="H1981" s="364">
        <v>11.798000000000002</v>
      </c>
      <c r="I1981" s="45" t="e">
        <f>IF(A1981&lt;&gt;0,VLOOKUP(A1981,#REF!,2,FALSE),"")</f>
        <v>#REF!</v>
      </c>
      <c r="J1981" s="364"/>
      <c r="K1981" s="237"/>
    </row>
    <row r="1982" spans="1:11" s="45" customFormat="1">
      <c r="A1982" s="100">
        <v>88264</v>
      </c>
      <c r="B1982" s="109" t="e">
        <f>I1982</f>
        <v>#REF!</v>
      </c>
      <c r="C1982" s="25" t="s">
        <v>12</v>
      </c>
      <c r="D1982" s="126" t="s">
        <v>19</v>
      </c>
      <c r="E1982" s="127">
        <v>0.8</v>
      </c>
      <c r="F1982" s="122">
        <f>H1982</f>
        <v>15.249000000000001</v>
      </c>
      <c r="G1982" s="123">
        <f>ROUND((E1982*F1982),2)</f>
        <v>12.2</v>
      </c>
      <c r="H1982" s="364">
        <v>15.249000000000001</v>
      </c>
      <c r="I1982" s="45" t="e">
        <f>IF(A1982&lt;&gt;0,VLOOKUP(A1982,#REF!,2,FALSE),"")</f>
        <v>#REF!</v>
      </c>
      <c r="J1982" s="364"/>
      <c r="K1982" s="237"/>
    </row>
    <row r="1983" spans="1:11" s="45" customFormat="1">
      <c r="A1983" s="956" t="s">
        <v>1894</v>
      </c>
      <c r="B1983" s="957"/>
      <c r="C1983" s="957"/>
      <c r="D1983" s="957"/>
      <c r="E1983" s="957"/>
      <c r="F1983" s="958"/>
      <c r="G1983" s="115">
        <f>ROUND(SUM(G1978:G1982),2)</f>
        <v>80.930000000000007</v>
      </c>
      <c r="H1983" s="364"/>
      <c r="I1983" s="166"/>
      <c r="J1983" s="364"/>
      <c r="K1983" s="237"/>
    </row>
    <row r="1984" spans="1:11" ht="27.75" customHeight="1">
      <c r="A1984" s="131"/>
      <c r="B1984" s="132"/>
      <c r="C1984" s="131"/>
      <c r="D1984" s="131"/>
      <c r="E1984" s="131"/>
      <c r="F1984" s="133"/>
      <c r="G1984" s="131"/>
      <c r="I1984" s="29"/>
      <c r="K1984" s="237"/>
    </row>
    <row r="1985" spans="1:11" s="45" customFormat="1" ht="15" customHeight="1">
      <c r="A1985" s="953" t="s">
        <v>1966</v>
      </c>
      <c r="B1985" s="954"/>
      <c r="C1985" s="954"/>
      <c r="D1985" s="954"/>
      <c r="E1985" s="955"/>
      <c r="F1985" s="351" t="s">
        <v>44</v>
      </c>
      <c r="G1985" s="175">
        <v>11214</v>
      </c>
      <c r="H1985" s="364"/>
      <c r="I1985" s="166"/>
      <c r="J1985" s="364"/>
      <c r="K1985" s="237"/>
    </row>
    <row r="1986" spans="1:11" s="45" customFormat="1" ht="28.5">
      <c r="A1986" s="77" t="s">
        <v>1917</v>
      </c>
      <c r="B1986" s="347"/>
      <c r="C1986" s="77" t="s">
        <v>3</v>
      </c>
      <c r="D1986" s="77" t="s">
        <v>4</v>
      </c>
      <c r="E1986" s="77" t="s">
        <v>1826</v>
      </c>
      <c r="F1986" s="77" t="s">
        <v>367</v>
      </c>
      <c r="G1986" s="77" t="s">
        <v>368</v>
      </c>
      <c r="H1986" s="364"/>
      <c r="I1986" s="166"/>
      <c r="J1986" s="364"/>
      <c r="K1986" s="237"/>
    </row>
    <row r="1987" spans="1:11" s="45" customFormat="1">
      <c r="A1987" s="100">
        <v>12099</v>
      </c>
      <c r="B1987" s="109" t="s">
        <v>1967</v>
      </c>
      <c r="C1987" s="25" t="s">
        <v>44</v>
      </c>
      <c r="D1987" s="126" t="s">
        <v>238</v>
      </c>
      <c r="E1987" s="127">
        <v>1</v>
      </c>
      <c r="F1987" s="128">
        <f>H1987</f>
        <v>26.494500000000002</v>
      </c>
      <c r="G1987" s="123">
        <f>ROUND((E1987*F1987),2)</f>
        <v>26.49</v>
      </c>
      <c r="H1987" s="364">
        <v>26.494500000000002</v>
      </c>
      <c r="I1987" s="45" t="e">
        <f>IF(A1987&lt;&gt;0,VLOOKUP(A1987,#REF!,2,FALSE),"")</f>
        <v>#REF!</v>
      </c>
      <c r="J1987" s="364"/>
      <c r="K1987" s="237"/>
    </row>
    <row r="1988" spans="1:11" s="45" customFormat="1" ht="30">
      <c r="A1988" s="100">
        <v>1872</v>
      </c>
      <c r="B1988" s="109" t="s">
        <v>1940</v>
      </c>
      <c r="C1988" s="25" t="s">
        <v>12</v>
      </c>
      <c r="D1988" s="126" t="s">
        <v>238</v>
      </c>
      <c r="E1988" s="127">
        <v>1</v>
      </c>
      <c r="F1988" s="128">
        <f>H1988</f>
        <v>1.7510000000000001</v>
      </c>
      <c r="G1988" s="123">
        <f>ROUND((E1988*F1988),2)</f>
        <v>1.75</v>
      </c>
      <c r="H1988" s="364">
        <v>1.7510000000000001</v>
      </c>
      <c r="I1988" s="45" t="e">
        <f>IF(A1988&lt;&gt;0,VLOOKUP(A1988,#REF!,2,FALSE),"")</f>
        <v>#REF!</v>
      </c>
      <c r="J1988" s="364"/>
      <c r="K1988" s="237"/>
    </row>
    <row r="1989" spans="1:11" s="45" customFormat="1" ht="30">
      <c r="A1989" s="100">
        <v>88316</v>
      </c>
      <c r="B1989" s="109" t="s">
        <v>377</v>
      </c>
      <c r="C1989" s="25" t="s">
        <v>12</v>
      </c>
      <c r="D1989" s="126" t="s">
        <v>19</v>
      </c>
      <c r="E1989" s="127">
        <v>0.7</v>
      </c>
      <c r="F1989" s="122">
        <f>H1989</f>
        <v>11.798000000000002</v>
      </c>
      <c r="G1989" s="123">
        <f>ROUND((E1989*F1989),2)</f>
        <v>8.26</v>
      </c>
      <c r="H1989" s="364">
        <v>11.798000000000002</v>
      </c>
      <c r="I1989" s="45" t="e">
        <f>IF(A1989&lt;&gt;0,VLOOKUP(A1989,#REF!,2,FALSE),"")</f>
        <v>#REF!</v>
      </c>
      <c r="J1989" s="364"/>
      <c r="K1989" s="237"/>
    </row>
    <row r="1990" spans="1:11" s="45" customFormat="1">
      <c r="A1990" s="100">
        <v>88264</v>
      </c>
      <c r="B1990" s="109" t="e">
        <f>I1990</f>
        <v>#REF!</v>
      </c>
      <c r="C1990" s="25" t="s">
        <v>12</v>
      </c>
      <c r="D1990" s="126" t="s">
        <v>19</v>
      </c>
      <c r="E1990" s="127">
        <v>0.7</v>
      </c>
      <c r="F1990" s="122">
        <f>H1990</f>
        <v>15.249000000000001</v>
      </c>
      <c r="G1990" s="123">
        <f>ROUND((E1990*F1990),2)</f>
        <v>10.67</v>
      </c>
      <c r="H1990" s="364">
        <v>15.249000000000001</v>
      </c>
      <c r="I1990" s="45" t="e">
        <f>IF(A1990&lt;&gt;0,VLOOKUP(A1990,#REF!,2,FALSE),"")</f>
        <v>#REF!</v>
      </c>
      <c r="J1990" s="364"/>
      <c r="K1990" s="237"/>
    </row>
    <row r="1991" spans="1:11" s="45" customFormat="1">
      <c r="A1991" s="956" t="s">
        <v>1894</v>
      </c>
      <c r="B1991" s="957"/>
      <c r="C1991" s="957"/>
      <c r="D1991" s="957"/>
      <c r="E1991" s="957"/>
      <c r="F1991" s="958"/>
      <c r="G1991" s="115">
        <f>ROUND(SUM(G1987:G1990),2)</f>
        <v>47.17</v>
      </c>
      <c r="H1991" s="364"/>
      <c r="I1991" s="166"/>
      <c r="J1991" s="364"/>
      <c r="K1991" s="237"/>
    </row>
    <row r="1992" spans="1:11" ht="23.25" customHeight="1">
      <c r="A1992" s="131"/>
      <c r="B1992" s="132"/>
      <c r="C1992" s="131"/>
      <c r="D1992" s="131"/>
      <c r="E1992" s="131"/>
      <c r="F1992" s="133"/>
      <c r="G1992" s="131"/>
      <c r="I1992" s="29"/>
      <c r="K1992" s="237"/>
    </row>
    <row r="1993" spans="1:11" s="45" customFormat="1" ht="33.75" customHeight="1">
      <c r="A1993" s="953" t="s">
        <v>1968</v>
      </c>
      <c r="B1993" s="954"/>
      <c r="C1993" s="954"/>
      <c r="D1993" s="954"/>
      <c r="E1993" s="955"/>
      <c r="F1993" s="351" t="s">
        <v>44</v>
      </c>
      <c r="G1993" s="118">
        <v>8362</v>
      </c>
      <c r="H1993" s="364"/>
      <c r="I1993" s="166"/>
      <c r="J1993" s="364"/>
      <c r="K1993" s="237"/>
    </row>
    <row r="1994" spans="1:11" s="45" customFormat="1" ht="28.5">
      <c r="A1994" s="77" t="s">
        <v>1917</v>
      </c>
      <c r="B1994" s="347"/>
      <c r="C1994" s="77" t="s">
        <v>3</v>
      </c>
      <c r="D1994" s="77" t="s">
        <v>4</v>
      </c>
      <c r="E1994" s="77" t="s">
        <v>1826</v>
      </c>
      <c r="F1994" s="77" t="s">
        <v>367</v>
      </c>
      <c r="G1994" s="77" t="s">
        <v>368</v>
      </c>
      <c r="H1994" s="364"/>
      <c r="I1994" s="166"/>
      <c r="J1994" s="364"/>
      <c r="K1994" s="237"/>
    </row>
    <row r="1995" spans="1:11" s="45" customFormat="1">
      <c r="A1995" s="100">
        <v>1089</v>
      </c>
      <c r="B1995" s="109" t="s">
        <v>1969</v>
      </c>
      <c r="C1995" s="25" t="s">
        <v>44</v>
      </c>
      <c r="D1995" s="126" t="s">
        <v>1942</v>
      </c>
      <c r="E1995" s="178">
        <v>1</v>
      </c>
      <c r="F1995" s="177">
        <f>H1995</f>
        <v>13.344999999999999</v>
      </c>
      <c r="G1995" s="177">
        <f>ROUND((E1995*F1995),2)</f>
        <v>13.35</v>
      </c>
      <c r="H1995" s="364">
        <v>13.344999999999999</v>
      </c>
      <c r="I1995" s="45" t="e">
        <f>IF(A1995&lt;&gt;0,VLOOKUP(A1995,#REF!,2,FALSE),"")</f>
        <v>#REF!</v>
      </c>
      <c r="J1995" s="364"/>
      <c r="K1995" s="237"/>
    </row>
    <row r="1996" spans="1:11" s="45" customFormat="1" ht="30">
      <c r="A1996" s="100">
        <v>88264</v>
      </c>
      <c r="B1996" s="109" t="s">
        <v>379</v>
      </c>
      <c r="C1996" s="25" t="s">
        <v>12</v>
      </c>
      <c r="D1996" s="126" t="s">
        <v>19</v>
      </c>
      <c r="E1996" s="127">
        <v>0.2</v>
      </c>
      <c r="F1996" s="122">
        <f>H1996</f>
        <v>15.249000000000001</v>
      </c>
      <c r="G1996" s="123">
        <f>ROUND((E1996*F1996),2)</f>
        <v>3.05</v>
      </c>
      <c r="H1996" s="364">
        <v>15.249000000000001</v>
      </c>
      <c r="I1996" s="45" t="e">
        <f>IF(A1996&lt;&gt;0,VLOOKUP(A1996,#REF!,2,FALSE),"")</f>
        <v>#REF!</v>
      </c>
      <c r="J1996" s="364"/>
      <c r="K1996" s="237"/>
    </row>
    <row r="1997" spans="1:11" s="45" customFormat="1">
      <c r="A1997" s="1123" t="s">
        <v>1894</v>
      </c>
      <c r="B1997" s="1124"/>
      <c r="C1997" s="1124"/>
      <c r="D1997" s="1124"/>
      <c r="E1997" s="1124"/>
      <c r="F1997" s="1125"/>
      <c r="G1997" s="115">
        <f>ROUND(SUM(G1995:G1996),2)</f>
        <v>16.399999999999999</v>
      </c>
      <c r="H1997" s="364"/>
      <c r="I1997" s="166"/>
      <c r="J1997" s="364"/>
      <c r="K1997" s="237"/>
    </row>
    <row r="1998" spans="1:11" ht="25.5" customHeight="1">
      <c r="A1998" s="131"/>
      <c r="B1998" s="132"/>
      <c r="C1998" s="131"/>
      <c r="D1998" s="131"/>
      <c r="E1998" s="131"/>
      <c r="F1998" s="133"/>
      <c r="G1998" s="131"/>
      <c r="I1998" s="29"/>
      <c r="K1998" s="237"/>
    </row>
    <row r="1999" spans="1:11" s="45" customFormat="1" ht="33" customHeight="1">
      <c r="A1999" s="953" t="s">
        <v>1970</v>
      </c>
      <c r="B1999" s="954"/>
      <c r="C1999" s="954"/>
      <c r="D1999" s="954"/>
      <c r="E1999" s="955"/>
      <c r="F1999" s="351" t="s">
        <v>44</v>
      </c>
      <c r="G1999" s="118">
        <v>755</v>
      </c>
      <c r="H1999" s="364"/>
      <c r="I1999" s="166"/>
      <c r="J1999" s="364"/>
      <c r="K1999" s="237"/>
    </row>
    <row r="2000" spans="1:11" s="45" customFormat="1" ht="28.5">
      <c r="A2000" s="77" t="s">
        <v>1917</v>
      </c>
      <c r="B2000" s="347"/>
      <c r="C2000" s="77" t="s">
        <v>3</v>
      </c>
      <c r="D2000" s="77" t="s">
        <v>4</v>
      </c>
      <c r="E2000" s="77" t="s">
        <v>1826</v>
      </c>
      <c r="F2000" s="77" t="s">
        <v>367</v>
      </c>
      <c r="G2000" s="77" t="s">
        <v>368</v>
      </c>
      <c r="H2000" s="364"/>
      <c r="I2000" s="166"/>
      <c r="J2000" s="364"/>
      <c r="K2000" s="237"/>
    </row>
    <row r="2001" spans="1:11" s="45" customFormat="1" ht="30">
      <c r="A2001" s="100">
        <v>1649</v>
      </c>
      <c r="B2001" s="109" t="s">
        <v>1971</v>
      </c>
      <c r="C2001" s="25" t="s">
        <v>44</v>
      </c>
      <c r="D2001" s="126" t="s">
        <v>238</v>
      </c>
      <c r="E2001" s="178">
        <v>1</v>
      </c>
      <c r="F2001" s="122">
        <f>H2001</f>
        <v>666.4085</v>
      </c>
      <c r="G2001" s="177">
        <f>ROUND((E2001*F2001),2)</f>
        <v>666.41</v>
      </c>
      <c r="H2001" s="364">
        <v>666.4085</v>
      </c>
      <c r="I2001" s="45" t="e">
        <f>IF(A2001&lt;&gt;0,VLOOKUP(A2001,#REF!,2,FALSE),"")</f>
        <v>#REF!</v>
      </c>
      <c r="J2001" s="364"/>
      <c r="K2001" s="237"/>
    </row>
    <row r="2002" spans="1:11" s="45" customFormat="1" ht="30">
      <c r="A2002" s="100">
        <v>88247</v>
      </c>
      <c r="B2002" s="109" t="s">
        <v>510</v>
      </c>
      <c r="C2002" s="25" t="s">
        <v>12</v>
      </c>
      <c r="D2002" s="126" t="s">
        <v>19</v>
      </c>
      <c r="E2002" s="178">
        <v>0.3</v>
      </c>
      <c r="F2002" s="122">
        <f>H2002</f>
        <v>11.9085</v>
      </c>
      <c r="G2002" s="123">
        <f>ROUND((E2002*F2002),2)</f>
        <v>3.57</v>
      </c>
      <c r="H2002" s="364">
        <v>11.9085</v>
      </c>
      <c r="I2002" s="45" t="e">
        <f>IF(A2002&lt;&gt;0,VLOOKUP(A2002,#REF!,2,FALSE),"")</f>
        <v>#REF!</v>
      </c>
      <c r="J2002" s="364"/>
      <c r="K2002" s="237"/>
    </row>
    <row r="2003" spans="1:11" s="45" customFormat="1" ht="30">
      <c r="A2003" s="100">
        <v>88264</v>
      </c>
      <c r="B2003" s="109" t="s">
        <v>379</v>
      </c>
      <c r="C2003" s="25" t="s">
        <v>12</v>
      </c>
      <c r="D2003" s="126" t="s">
        <v>19</v>
      </c>
      <c r="E2003" s="178">
        <v>0.3</v>
      </c>
      <c r="F2003" s="122">
        <f>H2003</f>
        <v>15.249000000000001</v>
      </c>
      <c r="G2003" s="123">
        <f>ROUND((E2003*F2003),2)</f>
        <v>4.57</v>
      </c>
      <c r="H2003" s="364">
        <v>15.249000000000001</v>
      </c>
      <c r="I2003" s="45" t="e">
        <f>IF(A2003&lt;&gt;0,VLOOKUP(A2003,#REF!,2,FALSE),"")</f>
        <v>#REF!</v>
      </c>
      <c r="J2003" s="364"/>
      <c r="K2003" s="237"/>
    </row>
    <row r="2004" spans="1:11" s="45" customFormat="1">
      <c r="A2004" s="1123" t="s">
        <v>1894</v>
      </c>
      <c r="B2004" s="1124"/>
      <c r="C2004" s="1124"/>
      <c r="D2004" s="1124"/>
      <c r="E2004" s="1124"/>
      <c r="F2004" s="1125"/>
      <c r="G2004" s="115">
        <f>ROUND(SUM(G2001:G2003),2)</f>
        <v>674.55</v>
      </c>
      <c r="H2004" s="364"/>
      <c r="I2004" s="166"/>
      <c r="J2004" s="364"/>
      <c r="K2004" s="237"/>
    </row>
    <row r="2005" spans="1:11" ht="33" customHeight="1">
      <c r="A2005" s="131"/>
      <c r="B2005" s="132"/>
      <c r="C2005" s="131"/>
      <c r="D2005" s="131"/>
      <c r="E2005" s="131"/>
      <c r="F2005" s="133"/>
      <c r="G2005" s="131"/>
      <c r="I2005" s="29"/>
      <c r="K2005" s="237"/>
    </row>
    <row r="2006" spans="1:11" s="45" customFormat="1" ht="20.25" customHeight="1">
      <c r="A2006" s="953" t="s">
        <v>2502</v>
      </c>
      <c r="B2006" s="954"/>
      <c r="C2006" s="954"/>
      <c r="D2006" s="954"/>
      <c r="E2006" s="955"/>
      <c r="F2006" s="351" t="s">
        <v>44</v>
      </c>
      <c r="G2006" s="118">
        <v>10727</v>
      </c>
      <c r="H2006" s="364"/>
      <c r="I2006" s="166"/>
      <c r="J2006" s="364"/>
      <c r="K2006" s="237"/>
    </row>
    <row r="2007" spans="1:11" s="45" customFormat="1" ht="28.5">
      <c r="A2007" s="77" t="s">
        <v>1917</v>
      </c>
      <c r="B2007" s="347"/>
      <c r="C2007" s="77" t="s">
        <v>3</v>
      </c>
      <c r="D2007" s="77" t="s">
        <v>4</v>
      </c>
      <c r="E2007" s="77" t="s">
        <v>1826</v>
      </c>
      <c r="F2007" s="77" t="s">
        <v>367</v>
      </c>
      <c r="G2007" s="77" t="s">
        <v>368</v>
      </c>
      <c r="H2007" s="364"/>
      <c r="I2007" s="166"/>
      <c r="J2007" s="364"/>
      <c r="K2007" s="237"/>
    </row>
    <row r="2008" spans="1:11" s="45" customFormat="1">
      <c r="A2008" s="100">
        <v>11623</v>
      </c>
      <c r="B2008" s="109" t="s">
        <v>2503</v>
      </c>
      <c r="C2008" s="25" t="s">
        <v>44</v>
      </c>
      <c r="D2008" s="126" t="s">
        <v>17</v>
      </c>
      <c r="E2008" s="178">
        <v>1</v>
      </c>
      <c r="F2008" s="128">
        <f>H2008</f>
        <v>339.745</v>
      </c>
      <c r="G2008" s="177">
        <f>ROUND((E2008*F2008),2)</f>
        <v>339.75</v>
      </c>
      <c r="H2008" s="364">
        <v>339.745</v>
      </c>
      <c r="I2008" s="45" t="e">
        <f>IF(A2008&lt;&gt;0,VLOOKUP(A2008,#REF!,2,FALSE),"")</f>
        <v>#REF!</v>
      </c>
      <c r="J2008" s="364"/>
      <c r="K2008" s="237"/>
    </row>
    <row r="2009" spans="1:11" s="45" customFormat="1" ht="30">
      <c r="A2009" s="100">
        <v>88264</v>
      </c>
      <c r="B2009" s="109" t="s">
        <v>379</v>
      </c>
      <c r="C2009" s="25" t="s">
        <v>12</v>
      </c>
      <c r="D2009" s="126" t="s">
        <v>19</v>
      </c>
      <c r="E2009" s="178">
        <v>1</v>
      </c>
      <c r="F2009" s="128">
        <f>H2009</f>
        <v>15.249000000000001</v>
      </c>
      <c r="G2009" s="123">
        <f>ROUND((E2009*F2009),2)</f>
        <v>15.25</v>
      </c>
      <c r="H2009" s="364">
        <v>15.249000000000001</v>
      </c>
      <c r="I2009" s="45" t="e">
        <f>IF(A2009&lt;&gt;0,VLOOKUP(A2009,#REF!,2,FALSE),"")</f>
        <v>#REF!</v>
      </c>
      <c r="J2009" s="364"/>
      <c r="K2009" s="237"/>
    </row>
    <row r="2010" spans="1:11" s="45" customFormat="1">
      <c r="A2010" s="956" t="s">
        <v>1894</v>
      </c>
      <c r="B2010" s="957"/>
      <c r="C2010" s="957"/>
      <c r="D2010" s="957"/>
      <c r="E2010" s="957"/>
      <c r="F2010" s="958"/>
      <c r="G2010" s="115">
        <f>ROUND(SUM(G2008:G2009),2)</f>
        <v>355</v>
      </c>
      <c r="H2010" s="364"/>
      <c r="I2010" s="166"/>
      <c r="J2010" s="364"/>
      <c r="K2010" s="237"/>
    </row>
    <row r="2011" spans="1:11" ht="24.75" customHeight="1">
      <c r="A2011" s="131"/>
      <c r="B2011" s="132"/>
      <c r="C2011" s="131"/>
      <c r="D2011" s="131"/>
      <c r="E2011" s="131"/>
      <c r="F2011" s="133"/>
      <c r="G2011" s="131"/>
      <c r="I2011" s="29"/>
      <c r="K2011" s="237"/>
    </row>
    <row r="2012" spans="1:11" s="45" customFormat="1" ht="22.5" customHeight="1">
      <c r="A2012" s="953" t="s">
        <v>1972</v>
      </c>
      <c r="B2012" s="954"/>
      <c r="C2012" s="954"/>
      <c r="D2012" s="954"/>
      <c r="E2012" s="955"/>
      <c r="F2012" s="351" t="s">
        <v>44</v>
      </c>
      <c r="G2012" s="175">
        <v>11420</v>
      </c>
      <c r="H2012" s="364"/>
      <c r="I2012" s="166"/>
      <c r="J2012" s="364"/>
      <c r="K2012" s="237"/>
    </row>
    <row r="2013" spans="1:11" s="45" customFormat="1" ht="28.5">
      <c r="A2013" s="77" t="s">
        <v>1917</v>
      </c>
      <c r="B2013" s="347"/>
      <c r="C2013" s="77" t="s">
        <v>3</v>
      </c>
      <c r="D2013" s="77" t="s">
        <v>4</v>
      </c>
      <c r="E2013" s="77" t="s">
        <v>1826</v>
      </c>
      <c r="F2013" s="77" t="s">
        <v>367</v>
      </c>
      <c r="G2013" s="77" t="s">
        <v>368</v>
      </c>
      <c r="H2013" s="364"/>
      <c r="I2013" s="166"/>
      <c r="J2013" s="364"/>
      <c r="K2013" s="237"/>
    </row>
    <row r="2014" spans="1:11" s="45" customFormat="1">
      <c r="A2014" s="100">
        <v>11980</v>
      </c>
      <c r="B2014" s="109" t="s">
        <v>1973</v>
      </c>
      <c r="C2014" s="25" t="s">
        <v>44</v>
      </c>
      <c r="D2014" s="126" t="s">
        <v>238</v>
      </c>
      <c r="E2014" s="127">
        <v>1</v>
      </c>
      <c r="F2014" s="128">
        <f>H2014</f>
        <v>6.2474999999999996</v>
      </c>
      <c r="G2014" s="123">
        <f>ROUND((E2014*F2014),2)</f>
        <v>6.25</v>
      </c>
      <c r="H2014" s="364">
        <v>6.2474999999999996</v>
      </c>
      <c r="I2014" s="45" t="e">
        <f>IF(A2014&lt;&gt;0,VLOOKUP(A2014,#REF!,2,FALSE),"")</f>
        <v>#REF!</v>
      </c>
      <c r="J2014" s="364"/>
      <c r="K2014" s="237"/>
    </row>
    <row r="2015" spans="1:11" s="45" customFormat="1" ht="30">
      <c r="A2015" s="100">
        <v>88316</v>
      </c>
      <c r="B2015" s="109" t="s">
        <v>377</v>
      </c>
      <c r="C2015" s="25" t="s">
        <v>12</v>
      </c>
      <c r="D2015" s="126" t="s">
        <v>19</v>
      </c>
      <c r="E2015" s="127">
        <v>0.2</v>
      </c>
      <c r="F2015" s="128">
        <f>H2015</f>
        <v>11.798000000000002</v>
      </c>
      <c r="G2015" s="123">
        <f>ROUND((E2015*F2015),2)</f>
        <v>2.36</v>
      </c>
      <c r="H2015" s="364">
        <v>11.798000000000002</v>
      </c>
      <c r="I2015" s="45" t="e">
        <f>IF(A2015&lt;&gt;0,VLOOKUP(A2015,#REF!,2,FALSE),"")</f>
        <v>#REF!</v>
      </c>
      <c r="J2015" s="364"/>
      <c r="K2015" s="237"/>
    </row>
    <row r="2016" spans="1:11" s="45" customFormat="1">
      <c r="A2016" s="100">
        <v>88264</v>
      </c>
      <c r="B2016" s="109" t="e">
        <f>I2016</f>
        <v>#REF!</v>
      </c>
      <c r="C2016" s="25" t="s">
        <v>12</v>
      </c>
      <c r="D2016" s="126" t="s">
        <v>19</v>
      </c>
      <c r="E2016" s="127">
        <v>0.2</v>
      </c>
      <c r="F2016" s="128">
        <f>H2016</f>
        <v>15.249000000000001</v>
      </c>
      <c r="G2016" s="123">
        <f>ROUND((E2016*F2016),2)</f>
        <v>3.05</v>
      </c>
      <c r="H2016" s="364">
        <v>15.249000000000001</v>
      </c>
      <c r="I2016" s="45" t="e">
        <f>IF(A2016&lt;&gt;0,VLOOKUP(A2016,#REF!,2,FALSE),"")</f>
        <v>#REF!</v>
      </c>
      <c r="J2016" s="364"/>
      <c r="K2016" s="237"/>
    </row>
    <row r="2017" spans="1:11" s="45" customFormat="1">
      <c r="A2017" s="1123" t="s">
        <v>1894</v>
      </c>
      <c r="B2017" s="1124"/>
      <c r="C2017" s="1124"/>
      <c r="D2017" s="1124"/>
      <c r="E2017" s="1124"/>
      <c r="F2017" s="1125"/>
      <c r="G2017" s="115">
        <f>ROUND(SUM(G2014:G2016),2)</f>
        <v>11.66</v>
      </c>
      <c r="H2017" s="364"/>
      <c r="I2017" s="166"/>
      <c r="J2017" s="364"/>
      <c r="K2017" s="237"/>
    </row>
    <row r="2018" spans="1:11" ht="22.5" customHeight="1">
      <c r="A2018" s="131"/>
      <c r="B2018" s="132"/>
      <c r="C2018" s="131"/>
      <c r="D2018" s="131"/>
      <c r="E2018" s="131"/>
      <c r="F2018" s="133"/>
      <c r="G2018" s="131"/>
      <c r="I2018" s="29"/>
      <c r="K2018" s="237"/>
    </row>
    <row r="2019" spans="1:11" s="45" customFormat="1" ht="30" customHeight="1">
      <c r="A2019" s="953" t="s">
        <v>1974</v>
      </c>
      <c r="B2019" s="954"/>
      <c r="C2019" s="954"/>
      <c r="D2019" s="954"/>
      <c r="E2019" s="955"/>
      <c r="F2019" s="351" t="s">
        <v>44</v>
      </c>
      <c r="G2019" s="175">
        <v>12397</v>
      </c>
      <c r="H2019" s="364"/>
      <c r="I2019" s="166"/>
      <c r="J2019" s="364"/>
      <c r="K2019" s="237"/>
    </row>
    <row r="2020" spans="1:11" s="45" customFormat="1" ht="28.5">
      <c r="A2020" s="77" t="s">
        <v>1917</v>
      </c>
      <c r="B2020" s="347"/>
      <c r="C2020" s="77" t="s">
        <v>3</v>
      </c>
      <c r="D2020" s="77" t="s">
        <v>4</v>
      </c>
      <c r="E2020" s="77" t="s">
        <v>1826</v>
      </c>
      <c r="F2020" s="77" t="s">
        <v>367</v>
      </c>
      <c r="G2020" s="77" t="s">
        <v>368</v>
      </c>
      <c r="H2020" s="364"/>
      <c r="I2020" s="166"/>
      <c r="J2020" s="364"/>
      <c r="K2020" s="237"/>
    </row>
    <row r="2021" spans="1:11" s="45" customFormat="1" ht="30">
      <c r="A2021" s="100">
        <v>1872</v>
      </c>
      <c r="B2021" s="109" t="s">
        <v>1940</v>
      </c>
      <c r="C2021" s="25" t="s">
        <v>12</v>
      </c>
      <c r="D2021" s="126" t="s">
        <v>238</v>
      </c>
      <c r="E2021" s="127">
        <v>1</v>
      </c>
      <c r="F2021" s="128">
        <f>H2021</f>
        <v>1.7510000000000001</v>
      </c>
      <c r="G2021" s="123">
        <f>ROUND((E2021*F2021),2)</f>
        <v>1.75</v>
      </c>
      <c r="H2021" s="364">
        <v>1.7510000000000001</v>
      </c>
      <c r="I2021" s="45" t="e">
        <f>IF(A2021&lt;&gt;0,VLOOKUP(A2021,#REF!,2,FALSE),"")</f>
        <v>#REF!</v>
      </c>
      <c r="J2021" s="364"/>
      <c r="K2021" s="237"/>
    </row>
    <row r="2022" spans="1:11" s="45" customFormat="1">
      <c r="A2022" s="100">
        <v>13693</v>
      </c>
      <c r="B2022" s="109" t="s">
        <v>1975</v>
      </c>
      <c r="C2022" s="25" t="s">
        <v>44</v>
      </c>
      <c r="D2022" s="126" t="s">
        <v>238</v>
      </c>
      <c r="E2022" s="127">
        <v>1</v>
      </c>
      <c r="F2022" s="128">
        <f>H2022</f>
        <v>28.602499999999999</v>
      </c>
      <c r="G2022" s="123">
        <f>ROUND((E2022*F2022),2)</f>
        <v>28.6</v>
      </c>
      <c r="H2022" s="364">
        <v>28.602499999999999</v>
      </c>
      <c r="I2022" s="45" t="e">
        <f>IF(A2022&lt;&gt;0,VLOOKUP(A2022,#REF!,2,FALSE),"")</f>
        <v>#REF!</v>
      </c>
      <c r="J2022" s="364"/>
      <c r="K2022" s="237"/>
    </row>
    <row r="2023" spans="1:11" s="45" customFormat="1" ht="30">
      <c r="A2023" s="100">
        <v>88316</v>
      </c>
      <c r="B2023" s="109" t="s">
        <v>377</v>
      </c>
      <c r="C2023" s="25" t="s">
        <v>12</v>
      </c>
      <c r="D2023" s="126" t="s">
        <v>19</v>
      </c>
      <c r="E2023" s="127">
        <v>0.7</v>
      </c>
      <c r="F2023" s="128">
        <f>H2023</f>
        <v>11.798000000000002</v>
      </c>
      <c r="G2023" s="123">
        <f>ROUND((E2023*F2023),2)</f>
        <v>8.26</v>
      </c>
      <c r="H2023" s="364">
        <v>11.798000000000002</v>
      </c>
      <c r="I2023" s="45" t="e">
        <f>IF(A2023&lt;&gt;0,VLOOKUP(A2023,#REF!,2,FALSE),"")</f>
        <v>#REF!</v>
      </c>
      <c r="J2023" s="364"/>
      <c r="K2023" s="237"/>
    </row>
    <row r="2024" spans="1:11" s="45" customFormat="1">
      <c r="A2024" s="100">
        <v>88264</v>
      </c>
      <c r="B2024" s="109" t="e">
        <f>I2024</f>
        <v>#REF!</v>
      </c>
      <c r="C2024" s="25" t="s">
        <v>12</v>
      </c>
      <c r="D2024" s="126" t="s">
        <v>19</v>
      </c>
      <c r="E2024" s="127">
        <v>0.7</v>
      </c>
      <c r="F2024" s="128">
        <f>H2024</f>
        <v>15.249000000000001</v>
      </c>
      <c r="G2024" s="123">
        <f>ROUND((E2024*F2024),2)</f>
        <v>10.67</v>
      </c>
      <c r="H2024" s="364">
        <v>15.249000000000001</v>
      </c>
      <c r="I2024" s="45" t="e">
        <f>IF(A2024&lt;&gt;0,VLOOKUP(A2024,#REF!,2,FALSE),"")</f>
        <v>#REF!</v>
      </c>
      <c r="J2024" s="364"/>
      <c r="K2024" s="237"/>
    </row>
    <row r="2025" spans="1:11" s="45" customFormat="1">
      <c r="A2025" s="1123" t="s">
        <v>1894</v>
      </c>
      <c r="B2025" s="1124"/>
      <c r="C2025" s="1124"/>
      <c r="D2025" s="1124"/>
      <c r="E2025" s="1124"/>
      <c r="F2025" s="1125"/>
      <c r="G2025" s="115">
        <f>ROUND(SUM(G2021:G2024),2)</f>
        <v>49.28</v>
      </c>
      <c r="H2025" s="364"/>
      <c r="I2025" s="166"/>
      <c r="J2025" s="364"/>
      <c r="K2025" s="237"/>
    </row>
    <row r="2026" spans="1:11" ht="25.5" customHeight="1">
      <c r="A2026" s="27"/>
      <c r="B2026" s="27"/>
      <c r="C2026" s="27"/>
      <c r="D2026" s="27"/>
      <c r="E2026" s="27"/>
      <c r="F2026" s="27"/>
      <c r="G2026" s="27"/>
      <c r="K2026" s="237"/>
    </row>
    <row r="2027" spans="1:11" s="45" customFormat="1" ht="24" customHeight="1">
      <c r="A2027" s="953" t="s">
        <v>1976</v>
      </c>
      <c r="B2027" s="954"/>
      <c r="C2027" s="954"/>
      <c r="D2027" s="954"/>
      <c r="E2027" s="955"/>
      <c r="F2027" s="351" t="s">
        <v>44</v>
      </c>
      <c r="G2027" s="118">
        <v>9077</v>
      </c>
      <c r="H2027" s="364"/>
      <c r="I2027" s="166"/>
      <c r="J2027" s="364"/>
      <c r="K2027" s="237"/>
    </row>
    <row r="2028" spans="1:11" s="45" customFormat="1" ht="28.5">
      <c r="A2028" s="77" t="s">
        <v>1917</v>
      </c>
      <c r="B2028" s="347"/>
      <c r="C2028" s="77" t="s">
        <v>3</v>
      </c>
      <c r="D2028" s="77" t="s">
        <v>4</v>
      </c>
      <c r="E2028" s="77" t="s">
        <v>1826</v>
      </c>
      <c r="F2028" s="77" t="s">
        <v>367</v>
      </c>
      <c r="G2028" s="77" t="s">
        <v>368</v>
      </c>
      <c r="H2028" s="364"/>
      <c r="I2028" s="166"/>
      <c r="J2028" s="364"/>
      <c r="K2028" s="237"/>
    </row>
    <row r="2029" spans="1:11" s="45" customFormat="1">
      <c r="A2029" s="100">
        <v>9363</v>
      </c>
      <c r="B2029" s="109" t="s">
        <v>1977</v>
      </c>
      <c r="C2029" s="25" t="s">
        <v>44</v>
      </c>
      <c r="D2029" s="126" t="s">
        <v>52</v>
      </c>
      <c r="E2029" s="178">
        <v>1</v>
      </c>
      <c r="F2029" s="128">
        <f>H2029</f>
        <v>74.604500000000002</v>
      </c>
      <c r="G2029" s="177">
        <f>ROUND((E2029*F2029),2)</f>
        <v>74.599999999999994</v>
      </c>
      <c r="H2029" s="364">
        <v>74.604500000000002</v>
      </c>
      <c r="I2029" s="45" t="e">
        <f>IF(A2029&lt;&gt;0,VLOOKUP(A2029,#REF!,2,FALSE),"")</f>
        <v>#REF!</v>
      </c>
      <c r="J2029" s="364"/>
      <c r="K2029" s="237"/>
    </row>
    <row r="2030" spans="1:11" s="45" customFormat="1">
      <c r="A2030" s="100">
        <v>88316</v>
      </c>
      <c r="B2030" s="109" t="e">
        <f>I2030</f>
        <v>#REF!</v>
      </c>
      <c r="C2030" s="25" t="s">
        <v>12</v>
      </c>
      <c r="D2030" s="126" t="s">
        <v>19</v>
      </c>
      <c r="E2030" s="178">
        <v>0.24</v>
      </c>
      <c r="F2030" s="128">
        <f>H2030</f>
        <v>11.798000000000002</v>
      </c>
      <c r="G2030" s="123">
        <f>ROUND((E2030*F2030),2)</f>
        <v>2.83</v>
      </c>
      <c r="H2030" s="364">
        <v>11.798000000000002</v>
      </c>
      <c r="I2030" s="45" t="e">
        <f>IF(A2030&lt;&gt;0,VLOOKUP(A2030,#REF!,2,FALSE),"")</f>
        <v>#REF!</v>
      </c>
      <c r="J2030" s="364"/>
      <c r="K2030" s="237"/>
    </row>
    <row r="2031" spans="1:11" s="45" customFormat="1">
      <c r="A2031" s="100">
        <v>88262</v>
      </c>
      <c r="B2031" s="109" t="e">
        <f>I2031</f>
        <v>#REF!</v>
      </c>
      <c r="C2031" s="25" t="s">
        <v>12</v>
      </c>
      <c r="D2031" s="126" t="s">
        <v>19</v>
      </c>
      <c r="E2031" s="178">
        <v>0.24</v>
      </c>
      <c r="F2031" s="128">
        <f>H2031</f>
        <v>14.96</v>
      </c>
      <c r="G2031" s="123">
        <f>ROUND((E2031*F2031),2)</f>
        <v>3.59</v>
      </c>
      <c r="H2031" s="364">
        <v>14.96</v>
      </c>
      <c r="I2031" s="45" t="e">
        <f>IF(A2031&lt;&gt;0,VLOOKUP(A2031,#REF!,2,FALSE),"")</f>
        <v>#REF!</v>
      </c>
      <c r="J2031" s="364"/>
      <c r="K2031" s="237"/>
    </row>
    <row r="2032" spans="1:11" s="45" customFormat="1">
      <c r="A2032" s="956" t="s">
        <v>1894</v>
      </c>
      <c r="B2032" s="957"/>
      <c r="C2032" s="957"/>
      <c r="D2032" s="957"/>
      <c r="E2032" s="957"/>
      <c r="F2032" s="958"/>
      <c r="G2032" s="115">
        <f>ROUND(SUM(G2029:G2031),2)</f>
        <v>81.02</v>
      </c>
      <c r="H2032" s="364"/>
      <c r="I2032" s="166"/>
      <c r="J2032" s="364"/>
      <c r="K2032" s="237"/>
    </row>
    <row r="2033" spans="1:11" ht="30" customHeight="1">
      <c r="A2033" s="27"/>
      <c r="B2033" s="27"/>
      <c r="C2033" s="27"/>
      <c r="D2033" s="27"/>
      <c r="E2033" s="27"/>
      <c r="F2033" s="27"/>
      <c r="G2033" s="27"/>
      <c r="K2033" s="237"/>
    </row>
    <row r="2034" spans="1:11" s="45" customFormat="1" ht="27" customHeight="1">
      <c r="A2034" s="953" t="s">
        <v>1978</v>
      </c>
      <c r="B2034" s="954"/>
      <c r="C2034" s="954"/>
      <c r="D2034" s="954"/>
      <c r="E2034" s="955"/>
      <c r="F2034" s="351" t="s">
        <v>44</v>
      </c>
      <c r="G2034" s="118">
        <v>12895</v>
      </c>
      <c r="H2034" s="364"/>
      <c r="I2034" s="166"/>
      <c r="J2034" s="364"/>
      <c r="K2034" s="237"/>
    </row>
    <row r="2035" spans="1:11" s="45" customFormat="1" ht="28.5">
      <c r="A2035" s="77" t="s">
        <v>1917</v>
      </c>
      <c r="B2035" s="347"/>
      <c r="C2035" s="77" t="s">
        <v>3</v>
      </c>
      <c r="D2035" s="77" t="s">
        <v>4</v>
      </c>
      <c r="E2035" s="77" t="s">
        <v>1826</v>
      </c>
      <c r="F2035" s="77" t="s">
        <v>367</v>
      </c>
      <c r="G2035" s="77" t="s">
        <v>368</v>
      </c>
      <c r="H2035" s="364"/>
      <c r="I2035" s="166"/>
      <c r="J2035" s="364"/>
      <c r="K2035" s="237"/>
    </row>
    <row r="2036" spans="1:11" s="45" customFormat="1" ht="30">
      <c r="A2036" s="100">
        <v>13660</v>
      </c>
      <c r="B2036" s="109" t="s">
        <v>1979</v>
      </c>
      <c r="C2036" s="25" t="s">
        <v>44</v>
      </c>
      <c r="D2036" s="126" t="s">
        <v>17</v>
      </c>
      <c r="E2036" s="134">
        <v>1</v>
      </c>
      <c r="F2036" s="128">
        <f>H2036</f>
        <v>8.5</v>
      </c>
      <c r="G2036" s="129">
        <f>ROUND((E2036*F2036),2)</f>
        <v>8.5</v>
      </c>
      <c r="H2036" s="364">
        <v>8.5</v>
      </c>
      <c r="I2036" s="45" t="e">
        <f>IF(A2036&lt;&gt;0,VLOOKUP(A2036,#REF!,2,FALSE),"")</f>
        <v>#REF!</v>
      </c>
      <c r="J2036" s="364"/>
      <c r="K2036" s="237"/>
    </row>
    <row r="2037" spans="1:11" s="45" customFormat="1" ht="30">
      <c r="A2037" s="100">
        <v>88316</v>
      </c>
      <c r="B2037" s="109" t="s">
        <v>377</v>
      </c>
      <c r="C2037" s="25" t="s">
        <v>12</v>
      </c>
      <c r="D2037" s="126" t="s">
        <v>19</v>
      </c>
      <c r="E2037" s="127">
        <v>0.2</v>
      </c>
      <c r="F2037" s="122">
        <f>H2037</f>
        <v>11.798000000000002</v>
      </c>
      <c r="G2037" s="123">
        <f>ROUND((E2037*F2037),2)</f>
        <v>2.36</v>
      </c>
      <c r="H2037" s="364">
        <v>11.798000000000002</v>
      </c>
      <c r="I2037" s="45" t="e">
        <f>IF(A2037&lt;&gt;0,VLOOKUP(A2037,#REF!,2,FALSE),"")</f>
        <v>#REF!</v>
      </c>
      <c r="J2037" s="364"/>
      <c r="K2037" s="237"/>
    </row>
    <row r="2038" spans="1:11" s="45" customFormat="1">
      <c r="A2038" s="1123" t="s">
        <v>1894</v>
      </c>
      <c r="B2038" s="1124"/>
      <c r="C2038" s="1124"/>
      <c r="D2038" s="1124"/>
      <c r="E2038" s="1124"/>
      <c r="F2038" s="1125"/>
      <c r="G2038" s="130">
        <f>ROUND(SUM(G2036:G2037),2)</f>
        <v>10.86</v>
      </c>
      <c r="H2038" s="364"/>
      <c r="I2038" s="166"/>
      <c r="J2038" s="364"/>
      <c r="K2038" s="237"/>
    </row>
    <row r="2039" spans="1:11" ht="25.5" customHeight="1">
      <c r="A2039" s="27"/>
      <c r="B2039" s="27"/>
      <c r="C2039" s="27"/>
      <c r="D2039" s="27"/>
      <c r="E2039" s="27"/>
      <c r="F2039" s="27"/>
      <c r="G2039" s="27"/>
      <c r="K2039" s="237"/>
    </row>
    <row r="2040" spans="1:11" s="45" customFormat="1" ht="30.75" customHeight="1">
      <c r="A2040" s="953" t="s">
        <v>1980</v>
      </c>
      <c r="B2040" s="954"/>
      <c r="C2040" s="954"/>
      <c r="D2040" s="954"/>
      <c r="E2040" s="955"/>
      <c r="F2040" s="351" t="s">
        <v>44</v>
      </c>
      <c r="G2040" s="125">
        <v>11824</v>
      </c>
      <c r="H2040" s="364"/>
      <c r="I2040" s="166"/>
      <c r="J2040" s="364"/>
      <c r="K2040" s="237"/>
    </row>
    <row r="2041" spans="1:11" s="45" customFormat="1" ht="28.5">
      <c r="A2041" s="77" t="s">
        <v>1917</v>
      </c>
      <c r="B2041" s="347"/>
      <c r="C2041" s="77" t="s">
        <v>3</v>
      </c>
      <c r="D2041" s="77" t="s">
        <v>4</v>
      </c>
      <c r="E2041" s="77" t="s">
        <v>1826</v>
      </c>
      <c r="F2041" s="77" t="s">
        <v>367</v>
      </c>
      <c r="G2041" s="77" t="s">
        <v>368</v>
      </c>
      <c r="H2041" s="364"/>
      <c r="I2041" s="166"/>
      <c r="J2041" s="364"/>
      <c r="K2041" s="237"/>
    </row>
    <row r="2042" spans="1:11" s="45" customFormat="1" ht="30">
      <c r="A2042" s="256">
        <v>12665</v>
      </c>
      <c r="B2042" s="109" t="s">
        <v>1981</v>
      </c>
      <c r="C2042" s="25" t="s">
        <v>44</v>
      </c>
      <c r="D2042" s="256" t="s">
        <v>17</v>
      </c>
      <c r="E2042" s="257">
        <v>1</v>
      </c>
      <c r="F2042" s="122">
        <f>H2042</f>
        <v>123.36899999999999</v>
      </c>
      <c r="G2042" s="123">
        <f>ROUND((E2042*F2042),2)</f>
        <v>123.37</v>
      </c>
      <c r="H2042" s="364">
        <v>123.36899999999999</v>
      </c>
      <c r="I2042" s="45" t="e">
        <f>IF(A2042&lt;&gt;0,VLOOKUP(A2042,#REF!,2,FALSE),"")</f>
        <v>#REF!</v>
      </c>
      <c r="J2042" s="364"/>
      <c r="K2042" s="237"/>
    </row>
    <row r="2043" spans="1:11" s="45" customFormat="1" ht="30">
      <c r="A2043" s="100">
        <v>88264</v>
      </c>
      <c r="B2043" s="109" t="s">
        <v>379</v>
      </c>
      <c r="C2043" s="25" t="s">
        <v>12</v>
      </c>
      <c r="D2043" s="126" t="s">
        <v>19</v>
      </c>
      <c r="E2043" s="179">
        <v>0.7</v>
      </c>
      <c r="F2043" s="122">
        <f>H2043</f>
        <v>15.249000000000001</v>
      </c>
      <c r="G2043" s="123">
        <f>ROUND((E2043*F2043),2)</f>
        <v>10.67</v>
      </c>
      <c r="H2043" s="364">
        <v>15.249000000000001</v>
      </c>
      <c r="I2043" s="45" t="e">
        <f>IF(A2043&lt;&gt;0,VLOOKUP(A2043,#REF!,2,FALSE),"")</f>
        <v>#REF!</v>
      </c>
      <c r="J2043" s="364"/>
      <c r="K2043" s="237"/>
    </row>
    <row r="2044" spans="1:11" s="45" customFormat="1" ht="30">
      <c r="A2044" s="100">
        <v>88247</v>
      </c>
      <c r="B2044" s="109" t="s">
        <v>510</v>
      </c>
      <c r="C2044" s="25" t="s">
        <v>12</v>
      </c>
      <c r="D2044" s="126" t="s">
        <v>19</v>
      </c>
      <c r="E2044" s="179">
        <v>0.7</v>
      </c>
      <c r="F2044" s="122">
        <f>H2044</f>
        <v>11.9085</v>
      </c>
      <c r="G2044" s="123">
        <f>ROUND((E2044*F2044),2)</f>
        <v>8.34</v>
      </c>
      <c r="H2044" s="364">
        <v>11.9085</v>
      </c>
      <c r="I2044" s="45" t="e">
        <f>IF(A2044&lt;&gt;0,VLOOKUP(A2044,#REF!,2,FALSE),"")</f>
        <v>#REF!</v>
      </c>
      <c r="J2044" s="364"/>
      <c r="K2044" s="237"/>
    </row>
    <row r="2045" spans="1:11" s="45" customFormat="1">
      <c r="A2045" s="1123" t="s">
        <v>1894</v>
      </c>
      <c r="B2045" s="1124"/>
      <c r="C2045" s="1124"/>
      <c r="D2045" s="1124"/>
      <c r="E2045" s="1124"/>
      <c r="F2045" s="1125"/>
      <c r="G2045" s="115">
        <f>ROUND(SUM(G2042:G2044),2)</f>
        <v>142.38</v>
      </c>
      <c r="H2045" s="364"/>
      <c r="I2045" s="166"/>
      <c r="J2045" s="364"/>
      <c r="K2045" s="237"/>
    </row>
    <row r="2046" spans="1:11" ht="29.25" customHeight="1">
      <c r="A2046" s="131"/>
      <c r="B2046" s="132"/>
      <c r="C2046" s="131"/>
      <c r="D2046" s="131"/>
      <c r="E2046" s="131"/>
      <c r="F2046" s="133"/>
      <c r="G2046" s="131"/>
      <c r="I2046" s="29"/>
      <c r="K2046" s="237"/>
    </row>
    <row r="2047" spans="1:11" s="45" customFormat="1" ht="27" customHeight="1">
      <c r="A2047" s="953" t="s">
        <v>1982</v>
      </c>
      <c r="B2047" s="954"/>
      <c r="C2047" s="954"/>
      <c r="D2047" s="954"/>
      <c r="E2047" s="955"/>
      <c r="F2047" s="351" t="s">
        <v>44</v>
      </c>
      <c r="G2047" s="125">
        <v>8691</v>
      </c>
      <c r="H2047" s="364"/>
      <c r="I2047" s="166"/>
      <c r="J2047" s="364"/>
      <c r="K2047" s="237"/>
    </row>
    <row r="2048" spans="1:11" s="45" customFormat="1" ht="28.5">
      <c r="A2048" s="77" t="s">
        <v>1917</v>
      </c>
      <c r="B2048" s="347"/>
      <c r="C2048" s="77" t="s">
        <v>3</v>
      </c>
      <c r="D2048" s="77" t="s">
        <v>4</v>
      </c>
      <c r="E2048" s="77" t="s">
        <v>1826</v>
      </c>
      <c r="F2048" s="77" t="s">
        <v>367</v>
      </c>
      <c r="G2048" s="77" t="s">
        <v>368</v>
      </c>
      <c r="H2048" s="364"/>
      <c r="I2048" s="166"/>
      <c r="J2048" s="364"/>
      <c r="K2048" s="237"/>
    </row>
    <row r="2049" spans="1:11" s="45" customFormat="1">
      <c r="A2049" s="256">
        <v>8950</v>
      </c>
      <c r="B2049" s="109" t="s">
        <v>1983</v>
      </c>
      <c r="C2049" s="25" t="s">
        <v>44</v>
      </c>
      <c r="D2049" s="256" t="s">
        <v>17</v>
      </c>
      <c r="E2049" s="257">
        <v>1</v>
      </c>
      <c r="F2049" s="122">
        <f>H2049</f>
        <v>548.25</v>
      </c>
      <c r="G2049" s="123">
        <f>ROUND((E2049*F2049),2)</f>
        <v>548.25</v>
      </c>
      <c r="H2049" s="364">
        <v>548.25</v>
      </c>
      <c r="I2049" s="45" t="e">
        <f>IF(A2049&lt;&gt;0,VLOOKUP(A2049,#REF!,2,FALSE),"")</f>
        <v>#REF!</v>
      </c>
      <c r="J2049" s="364"/>
      <c r="K2049" s="237"/>
    </row>
    <row r="2050" spans="1:11" s="45" customFormat="1" ht="30">
      <c r="A2050" s="100">
        <v>88264</v>
      </c>
      <c r="B2050" s="109" t="s">
        <v>379</v>
      </c>
      <c r="C2050" s="25" t="s">
        <v>12</v>
      </c>
      <c r="D2050" s="126" t="s">
        <v>19</v>
      </c>
      <c r="E2050" s="179">
        <v>0.7</v>
      </c>
      <c r="F2050" s="122">
        <f>H2050</f>
        <v>15.249000000000001</v>
      </c>
      <c r="G2050" s="123">
        <f>ROUND((E2050*F2050),2)</f>
        <v>10.67</v>
      </c>
      <c r="H2050" s="364">
        <v>15.249000000000001</v>
      </c>
      <c r="I2050" s="45" t="e">
        <f>IF(A2050&lt;&gt;0,VLOOKUP(A2050,#REF!,2,FALSE),"")</f>
        <v>#REF!</v>
      </c>
      <c r="J2050" s="364"/>
      <c r="K2050" s="237"/>
    </row>
    <row r="2051" spans="1:11" s="45" customFormat="1" ht="30">
      <c r="A2051" s="100">
        <v>88247</v>
      </c>
      <c r="B2051" s="109" t="s">
        <v>510</v>
      </c>
      <c r="C2051" s="25" t="s">
        <v>12</v>
      </c>
      <c r="D2051" s="126" t="s">
        <v>19</v>
      </c>
      <c r="E2051" s="179">
        <v>0.7</v>
      </c>
      <c r="F2051" s="122">
        <f>H2051</f>
        <v>11.9085</v>
      </c>
      <c r="G2051" s="123">
        <f>ROUND((E2051*F2051),2)</f>
        <v>8.34</v>
      </c>
      <c r="H2051" s="364">
        <v>11.9085</v>
      </c>
      <c r="I2051" s="45" t="e">
        <f>IF(A2051&lt;&gt;0,VLOOKUP(A2051,#REF!,2,FALSE),"")</f>
        <v>#REF!</v>
      </c>
      <c r="J2051" s="364"/>
      <c r="K2051" s="237"/>
    </row>
    <row r="2052" spans="1:11" s="45" customFormat="1">
      <c r="A2052" s="1123" t="s">
        <v>1894</v>
      </c>
      <c r="B2052" s="1124"/>
      <c r="C2052" s="1124"/>
      <c r="D2052" s="1124"/>
      <c r="E2052" s="1124"/>
      <c r="F2052" s="1125"/>
      <c r="G2052" s="115">
        <f>ROUND(SUM(G2049:G2051),2)</f>
        <v>567.26</v>
      </c>
      <c r="H2052" s="364"/>
      <c r="I2052" s="166"/>
      <c r="J2052" s="364"/>
      <c r="K2052" s="237"/>
    </row>
    <row r="2053" spans="1:11" ht="29.25" customHeight="1">
      <c r="A2053" s="27"/>
      <c r="B2053" s="27"/>
      <c r="C2053" s="27"/>
      <c r="D2053" s="27"/>
      <c r="E2053" s="27"/>
      <c r="F2053" s="27"/>
      <c r="G2053" s="27"/>
      <c r="K2053" s="237"/>
    </row>
    <row r="2054" spans="1:11" s="45" customFormat="1" ht="36.75" customHeight="1">
      <c r="A2054" s="953" t="s">
        <v>1984</v>
      </c>
      <c r="B2054" s="954"/>
      <c r="C2054" s="954"/>
      <c r="D2054" s="954"/>
      <c r="E2054" s="955"/>
      <c r="F2054" s="351" t="s">
        <v>44</v>
      </c>
      <c r="G2054" s="118">
        <v>11946</v>
      </c>
      <c r="H2054" s="364"/>
      <c r="I2054" s="166"/>
      <c r="J2054" s="364"/>
      <c r="K2054" s="237"/>
    </row>
    <row r="2055" spans="1:11" s="45" customFormat="1" ht="28.5">
      <c r="A2055" s="77" t="s">
        <v>1917</v>
      </c>
      <c r="B2055" s="347"/>
      <c r="C2055" s="77" t="s">
        <v>3</v>
      </c>
      <c r="D2055" s="77" t="s">
        <v>4</v>
      </c>
      <c r="E2055" s="77" t="s">
        <v>1826</v>
      </c>
      <c r="F2055" s="77" t="s">
        <v>367</v>
      </c>
      <c r="G2055" s="77" t="s">
        <v>368</v>
      </c>
      <c r="H2055" s="364"/>
      <c r="I2055" s="166"/>
      <c r="J2055" s="364"/>
      <c r="K2055" s="237"/>
    </row>
    <row r="2056" spans="1:11" s="45" customFormat="1" ht="60">
      <c r="A2056" s="126">
        <v>12806</v>
      </c>
      <c r="B2056" s="109" t="s">
        <v>1985</v>
      </c>
      <c r="C2056" s="25" t="s">
        <v>44</v>
      </c>
      <c r="D2056" s="126" t="s">
        <v>26</v>
      </c>
      <c r="E2056" s="121">
        <v>1</v>
      </c>
      <c r="F2056" s="128">
        <f>H2056</f>
        <v>238</v>
      </c>
      <c r="G2056" s="123">
        <f>ROUND((E2056*F2056),2)</f>
        <v>238</v>
      </c>
      <c r="H2056" s="364">
        <v>238</v>
      </c>
      <c r="I2056" s="45" t="e">
        <f>IF(A2056&lt;&gt;0,VLOOKUP(A2056,#REF!,2,FALSE),"")</f>
        <v>#REF!</v>
      </c>
      <c r="J2056" s="364"/>
      <c r="K2056" s="237"/>
    </row>
    <row r="2057" spans="1:11" s="45" customFormat="1" ht="60">
      <c r="A2057" s="126">
        <v>1903</v>
      </c>
      <c r="B2057" s="109" t="s">
        <v>1986</v>
      </c>
      <c r="C2057" s="25" t="s">
        <v>44</v>
      </c>
      <c r="D2057" s="126" t="s">
        <v>35</v>
      </c>
      <c r="E2057" s="121">
        <v>3.0000000000000001E-3</v>
      </c>
      <c r="F2057" s="122">
        <f>H2057</f>
        <v>382.27050000000003</v>
      </c>
      <c r="G2057" s="123">
        <f>ROUND((E2057*F2057),2)</f>
        <v>1.1499999999999999</v>
      </c>
      <c r="H2057" s="364">
        <v>382.27050000000003</v>
      </c>
      <c r="I2057" s="166"/>
      <c r="J2057" s="364"/>
      <c r="K2057" s="237"/>
    </row>
    <row r="2058" spans="1:11" s="45" customFormat="1" ht="30">
      <c r="A2058" s="126">
        <v>88309</v>
      </c>
      <c r="B2058" s="109" t="s">
        <v>390</v>
      </c>
      <c r="C2058" s="25" t="s">
        <v>12</v>
      </c>
      <c r="D2058" s="111" t="s">
        <v>19</v>
      </c>
      <c r="E2058" s="124">
        <v>1</v>
      </c>
      <c r="F2058" s="122">
        <f>H2058</f>
        <v>15.121499999999999</v>
      </c>
      <c r="G2058" s="123">
        <f>ROUND((E2058*F2058),2)</f>
        <v>15.12</v>
      </c>
      <c r="H2058" s="364">
        <v>15.121499999999999</v>
      </c>
      <c r="I2058" s="45" t="e">
        <f>IF(A2058&lt;&gt;0,VLOOKUP(A2058,#REF!,2,FALSE),"")</f>
        <v>#REF!</v>
      </c>
      <c r="J2058" s="364"/>
      <c r="K2058" s="237"/>
    </row>
    <row r="2059" spans="1:11" s="45" customFormat="1" ht="30">
      <c r="A2059" s="126">
        <v>88316</v>
      </c>
      <c r="B2059" s="109" t="s">
        <v>377</v>
      </c>
      <c r="C2059" s="25" t="s">
        <v>12</v>
      </c>
      <c r="D2059" s="111" t="s">
        <v>19</v>
      </c>
      <c r="E2059" s="124">
        <v>1</v>
      </c>
      <c r="F2059" s="122">
        <f>H2059</f>
        <v>11.798000000000002</v>
      </c>
      <c r="G2059" s="123">
        <f>ROUND((E2059*F2059),2)</f>
        <v>11.8</v>
      </c>
      <c r="H2059" s="364">
        <v>11.798000000000002</v>
      </c>
      <c r="I2059" s="45" t="e">
        <f>IF(A2059&lt;&gt;0,VLOOKUP(A2059,#REF!,2,FALSE),"")</f>
        <v>#REF!</v>
      </c>
      <c r="J2059" s="364"/>
      <c r="K2059" s="237"/>
    </row>
    <row r="2060" spans="1:11" s="45" customFormat="1">
      <c r="A2060" s="956" t="s">
        <v>1894</v>
      </c>
      <c r="B2060" s="957"/>
      <c r="C2060" s="957"/>
      <c r="D2060" s="957"/>
      <c r="E2060" s="957"/>
      <c r="F2060" s="958"/>
      <c r="G2060" s="115">
        <f>ROUND(SUM(G2056:G2059),2)</f>
        <v>266.07</v>
      </c>
      <c r="H2060" s="364"/>
      <c r="I2060" s="166"/>
      <c r="J2060" s="364"/>
      <c r="K2060" s="237"/>
    </row>
    <row r="2061" spans="1:11" ht="28.5" customHeight="1">
      <c r="A2061" s="27"/>
      <c r="B2061" s="27"/>
      <c r="C2061" s="27"/>
      <c r="D2061" s="27"/>
      <c r="E2061" s="27"/>
      <c r="F2061" s="27"/>
      <c r="G2061" s="27"/>
      <c r="K2061" s="237"/>
    </row>
    <row r="2062" spans="1:11" s="45" customFormat="1" ht="36" customHeight="1">
      <c r="A2062" s="953" t="s">
        <v>1989</v>
      </c>
      <c r="B2062" s="954"/>
      <c r="C2062" s="954"/>
      <c r="D2062" s="954"/>
      <c r="E2062" s="955"/>
      <c r="F2062" s="351" t="s">
        <v>44</v>
      </c>
      <c r="G2062" s="118">
        <v>8492</v>
      </c>
      <c r="H2062" s="364"/>
      <c r="I2062" s="166"/>
      <c r="J2062" s="364"/>
      <c r="K2062" s="237"/>
    </row>
    <row r="2063" spans="1:11" s="45" customFormat="1" ht="28.5">
      <c r="A2063" s="77" t="s">
        <v>1917</v>
      </c>
      <c r="B2063" s="347"/>
      <c r="C2063" s="77" t="s">
        <v>3</v>
      </c>
      <c r="D2063" s="77" t="s">
        <v>4</v>
      </c>
      <c r="E2063" s="77" t="s">
        <v>1826</v>
      </c>
      <c r="F2063" s="77" t="s">
        <v>367</v>
      </c>
      <c r="G2063" s="77" t="s">
        <v>368</v>
      </c>
      <c r="H2063" s="364"/>
      <c r="I2063" s="166"/>
      <c r="J2063" s="364"/>
      <c r="K2063" s="237"/>
    </row>
    <row r="2064" spans="1:11" s="45" customFormat="1" ht="45">
      <c r="A2064" s="120">
        <v>36081</v>
      </c>
      <c r="B2064" s="109" t="s">
        <v>131</v>
      </c>
      <c r="C2064" s="25" t="s">
        <v>12</v>
      </c>
      <c r="D2064" s="120" t="s">
        <v>1988</v>
      </c>
      <c r="E2064" s="121">
        <v>1</v>
      </c>
      <c r="F2064" s="122">
        <f>H2064</f>
        <v>142.54499999999999</v>
      </c>
      <c r="G2064" s="123">
        <f>ROUND((E2064*F2064),2)</f>
        <v>142.55000000000001</v>
      </c>
      <c r="H2064" s="364">
        <v>142.54499999999999</v>
      </c>
      <c r="I2064" s="45" t="e">
        <f>IF(A2064&lt;&gt;0,VLOOKUP(A2064,#REF!,2,FALSE),"")</f>
        <v>#REF!</v>
      </c>
      <c r="J2064" s="364"/>
      <c r="K2064" s="237"/>
    </row>
    <row r="2065" spans="1:11" s="45" customFormat="1" ht="30">
      <c r="A2065" s="120">
        <v>88309</v>
      </c>
      <c r="B2065" s="109" t="s">
        <v>390</v>
      </c>
      <c r="C2065" s="25" t="s">
        <v>12</v>
      </c>
      <c r="D2065" s="111" t="s">
        <v>19</v>
      </c>
      <c r="E2065" s="180">
        <v>0.3</v>
      </c>
      <c r="F2065" s="122">
        <f>H2065</f>
        <v>15.121499999999999</v>
      </c>
      <c r="G2065" s="123">
        <f>ROUND((E2065*F2065),2)</f>
        <v>4.54</v>
      </c>
      <c r="H2065" s="364">
        <v>15.121499999999999</v>
      </c>
      <c r="I2065" s="45" t="e">
        <f>IF(A2065&lt;&gt;0,VLOOKUP(A2065,#REF!,2,FALSE),"")</f>
        <v>#REF!</v>
      </c>
      <c r="J2065" s="364"/>
      <c r="K2065" s="237"/>
    </row>
    <row r="2066" spans="1:11" s="45" customFormat="1">
      <c r="A2066" s="956" t="s">
        <v>1894</v>
      </c>
      <c r="B2066" s="957"/>
      <c r="C2066" s="957"/>
      <c r="D2066" s="957"/>
      <c r="E2066" s="957"/>
      <c r="F2066" s="958"/>
      <c r="G2066" s="115">
        <f>ROUND(SUM(G2064:G2065),2)</f>
        <v>147.09</v>
      </c>
      <c r="H2066" s="364"/>
      <c r="I2066" s="166"/>
      <c r="J2066" s="364"/>
      <c r="K2066" s="237"/>
    </row>
    <row r="2067" spans="1:11" ht="27" customHeight="1">
      <c r="A2067" s="131"/>
      <c r="B2067" s="132"/>
      <c r="C2067" s="131"/>
      <c r="D2067" s="131"/>
      <c r="E2067" s="131"/>
      <c r="F2067" s="133"/>
      <c r="G2067" s="131"/>
      <c r="I2067" s="29"/>
      <c r="K2067" s="237"/>
    </row>
    <row r="2068" spans="1:11" s="45" customFormat="1" ht="33" customHeight="1">
      <c r="A2068" s="953" t="s">
        <v>1990</v>
      </c>
      <c r="B2068" s="954"/>
      <c r="C2068" s="954"/>
      <c r="D2068" s="954"/>
      <c r="E2068" s="955"/>
      <c r="F2068" s="351" t="s">
        <v>44</v>
      </c>
      <c r="G2068" s="118">
        <v>12122</v>
      </c>
      <c r="H2068" s="364"/>
      <c r="I2068" s="166"/>
      <c r="J2068" s="364"/>
      <c r="K2068" s="237"/>
    </row>
    <row r="2069" spans="1:11" s="45" customFormat="1" ht="28.5">
      <c r="A2069" s="77" t="s">
        <v>1917</v>
      </c>
      <c r="B2069" s="347"/>
      <c r="C2069" s="77" t="s">
        <v>3</v>
      </c>
      <c r="D2069" s="77" t="s">
        <v>4</v>
      </c>
      <c r="E2069" s="77" t="s">
        <v>1826</v>
      </c>
      <c r="F2069" s="77" t="s">
        <v>367</v>
      </c>
      <c r="G2069" s="77" t="s">
        <v>368</v>
      </c>
      <c r="H2069" s="364"/>
      <c r="I2069" s="166"/>
      <c r="J2069" s="364"/>
      <c r="K2069" s="237"/>
    </row>
    <row r="2070" spans="1:11" s="45" customFormat="1" ht="30">
      <c r="A2070" s="120">
        <v>2062</v>
      </c>
      <c r="B2070" s="109" t="s">
        <v>1991</v>
      </c>
      <c r="C2070" s="25" t="s">
        <v>44</v>
      </c>
      <c r="D2070" s="120" t="s">
        <v>1988</v>
      </c>
      <c r="E2070" s="121">
        <v>1</v>
      </c>
      <c r="F2070" s="122">
        <f>H2070</f>
        <v>135.91500000000002</v>
      </c>
      <c r="G2070" s="123">
        <f>ROUND((E2070*F2070),2)</f>
        <v>135.91999999999999</v>
      </c>
      <c r="H2070" s="364">
        <v>135.91500000000002</v>
      </c>
      <c r="I2070" s="45" t="e">
        <f>IF(A2070&lt;&gt;0,VLOOKUP(A2070,#REF!,2,FALSE),"")</f>
        <v>#REF!</v>
      </c>
      <c r="J2070" s="364"/>
      <c r="K2070" s="237"/>
    </row>
    <row r="2071" spans="1:11" s="45" customFormat="1" ht="30">
      <c r="A2071" s="120">
        <v>88309</v>
      </c>
      <c r="B2071" s="109" t="s">
        <v>390</v>
      </c>
      <c r="C2071" s="25" t="s">
        <v>12</v>
      </c>
      <c r="D2071" s="111" t="s">
        <v>19</v>
      </c>
      <c r="E2071" s="180">
        <v>0.3</v>
      </c>
      <c r="F2071" s="122">
        <f>H2071</f>
        <v>15.121499999999999</v>
      </c>
      <c r="G2071" s="123">
        <f>ROUND((E2071*F2071),2)</f>
        <v>4.54</v>
      </c>
      <c r="H2071" s="364">
        <v>15.121499999999999</v>
      </c>
      <c r="I2071" s="45" t="e">
        <f>IF(A2071&lt;&gt;0,VLOOKUP(A2071,#REF!,2,FALSE),"")</f>
        <v>#REF!</v>
      </c>
      <c r="J2071" s="364"/>
      <c r="K2071" s="237"/>
    </row>
    <row r="2072" spans="1:11" s="45" customFormat="1">
      <c r="A2072" s="956" t="s">
        <v>1894</v>
      </c>
      <c r="B2072" s="957"/>
      <c r="C2072" s="957"/>
      <c r="D2072" s="957"/>
      <c r="E2072" s="957"/>
      <c r="F2072" s="958"/>
      <c r="G2072" s="115">
        <f>ROUND(SUM(G2070:G2071),2)</f>
        <v>140.46</v>
      </c>
      <c r="H2072" s="364"/>
      <c r="I2072" s="166"/>
      <c r="J2072" s="364"/>
      <c r="K2072" s="237"/>
    </row>
    <row r="2073" spans="1:11" ht="23.25" customHeight="1">
      <c r="A2073" s="27"/>
      <c r="B2073" s="27"/>
      <c r="C2073" s="27"/>
      <c r="D2073" s="27"/>
      <c r="E2073" s="27"/>
      <c r="F2073" s="27"/>
      <c r="G2073" s="27"/>
      <c r="K2073" s="237"/>
    </row>
    <row r="2074" spans="1:11" s="45" customFormat="1" ht="36" customHeight="1">
      <c r="A2074" s="953" t="s">
        <v>1992</v>
      </c>
      <c r="B2074" s="954"/>
      <c r="C2074" s="954"/>
      <c r="D2074" s="954"/>
      <c r="E2074" s="955"/>
      <c r="F2074" s="351" t="s">
        <v>44</v>
      </c>
      <c r="G2074" s="118">
        <v>2024</v>
      </c>
      <c r="H2074" s="364"/>
      <c r="I2074" s="166"/>
      <c r="J2074" s="364"/>
      <c r="K2074" s="237"/>
    </row>
    <row r="2075" spans="1:11" s="45" customFormat="1" ht="28.5">
      <c r="A2075" s="77" t="s">
        <v>1917</v>
      </c>
      <c r="B2075" s="347"/>
      <c r="C2075" s="77" t="s">
        <v>3</v>
      </c>
      <c r="D2075" s="77" t="s">
        <v>4</v>
      </c>
      <c r="E2075" s="77" t="s">
        <v>1826</v>
      </c>
      <c r="F2075" s="77" t="s">
        <v>367</v>
      </c>
      <c r="G2075" s="77" t="s">
        <v>368</v>
      </c>
      <c r="H2075" s="364"/>
      <c r="I2075" s="166"/>
      <c r="J2075" s="364"/>
      <c r="K2075" s="237"/>
    </row>
    <row r="2076" spans="1:11" s="45" customFormat="1" ht="30">
      <c r="A2076" s="120">
        <v>604</v>
      </c>
      <c r="B2076" s="109" t="s">
        <v>1993</v>
      </c>
      <c r="C2076" s="25" t="s">
        <v>44</v>
      </c>
      <c r="D2076" s="120" t="s">
        <v>1988</v>
      </c>
      <c r="E2076" s="258">
        <v>1</v>
      </c>
      <c r="F2076" s="122">
        <f>H2076</f>
        <v>254.12450000000001</v>
      </c>
      <c r="G2076" s="123">
        <f>ROUND((E2076*F2076),2)</f>
        <v>254.12</v>
      </c>
      <c r="H2076" s="364">
        <v>254.12450000000001</v>
      </c>
      <c r="I2076" s="45" t="e">
        <f>IF(A2076&lt;&gt;0,VLOOKUP(A2076,#REF!,2,FALSE),"")</f>
        <v>#REF!</v>
      </c>
      <c r="J2076" s="364"/>
      <c r="K2076" s="237"/>
    </row>
    <row r="2077" spans="1:11" s="45" customFormat="1" ht="30">
      <c r="A2077" s="120">
        <v>3146</v>
      </c>
      <c r="B2077" s="109" t="s">
        <v>471</v>
      </c>
      <c r="C2077" s="25" t="s">
        <v>12</v>
      </c>
      <c r="D2077" s="120" t="s">
        <v>1994</v>
      </c>
      <c r="E2077" s="180">
        <v>0.84</v>
      </c>
      <c r="F2077" s="122">
        <f>H2077</f>
        <v>3.06</v>
      </c>
      <c r="G2077" s="123">
        <f>ROUND((E2077*F2077),2)</f>
        <v>2.57</v>
      </c>
      <c r="H2077" s="364">
        <v>3.06</v>
      </c>
      <c r="I2077" s="45" t="e">
        <f>IF(A2077&lt;&gt;0,VLOOKUP(A2077,#REF!,2,FALSE),"")</f>
        <v>#REF!</v>
      </c>
      <c r="J2077" s="364"/>
      <c r="K2077" s="237"/>
    </row>
    <row r="2078" spans="1:11" s="45" customFormat="1" ht="45">
      <c r="A2078" s="120">
        <v>1965</v>
      </c>
      <c r="B2078" s="259" t="s">
        <v>1995</v>
      </c>
      <c r="C2078" s="25" t="s">
        <v>44</v>
      </c>
      <c r="D2078" s="120" t="s">
        <v>1988</v>
      </c>
      <c r="E2078" s="180">
        <v>1</v>
      </c>
      <c r="F2078" s="122">
        <f>H2078</f>
        <v>44.981999999999999</v>
      </c>
      <c r="G2078" s="123">
        <f>ROUND((E2078*F2078),2)</f>
        <v>44.98</v>
      </c>
      <c r="H2078" s="364">
        <v>44.981999999999999</v>
      </c>
      <c r="I2078" s="45" t="e">
        <f>IF(A2078&lt;&gt;0,VLOOKUP(A2078,#REF!,2,FALSE),"")</f>
        <v>#REF!</v>
      </c>
      <c r="J2078" s="364"/>
      <c r="K2078" s="237"/>
    </row>
    <row r="2079" spans="1:11" s="45" customFormat="1" ht="30">
      <c r="A2079" s="120">
        <v>88267</v>
      </c>
      <c r="B2079" s="109" t="s">
        <v>472</v>
      </c>
      <c r="C2079" s="25" t="s">
        <v>12</v>
      </c>
      <c r="D2079" s="111" t="s">
        <v>19</v>
      </c>
      <c r="E2079" s="180">
        <v>1</v>
      </c>
      <c r="F2079" s="122">
        <f>H2079</f>
        <v>14.7135</v>
      </c>
      <c r="G2079" s="123">
        <f>ROUND((E2079*F2079),2)</f>
        <v>14.71</v>
      </c>
      <c r="H2079" s="364">
        <v>14.7135</v>
      </c>
      <c r="I2079" s="45" t="e">
        <f>IF(A2079&lt;&gt;0,VLOOKUP(A2079,#REF!,2,FALSE),"")</f>
        <v>#REF!</v>
      </c>
      <c r="J2079" s="364"/>
      <c r="K2079" s="237"/>
    </row>
    <row r="2080" spans="1:11" s="45" customFormat="1" ht="30">
      <c r="A2080" s="120">
        <v>88316</v>
      </c>
      <c r="B2080" s="109" t="s">
        <v>377</v>
      </c>
      <c r="C2080" s="25" t="s">
        <v>12</v>
      </c>
      <c r="D2080" s="111" t="s">
        <v>19</v>
      </c>
      <c r="E2080" s="181">
        <v>1</v>
      </c>
      <c r="F2080" s="122">
        <f>H2080</f>
        <v>11.798000000000002</v>
      </c>
      <c r="G2080" s="123">
        <f>ROUND((E2080*F2080),2)</f>
        <v>11.8</v>
      </c>
      <c r="H2080" s="364">
        <v>11.798000000000002</v>
      </c>
      <c r="I2080" s="45" t="e">
        <f>IF(A2080&lt;&gt;0,VLOOKUP(A2080,#REF!,2,FALSE),"")</f>
        <v>#REF!</v>
      </c>
      <c r="J2080" s="364"/>
      <c r="K2080" s="237"/>
    </row>
    <row r="2081" spans="1:11" s="45" customFormat="1">
      <c r="A2081" s="956" t="s">
        <v>1894</v>
      </c>
      <c r="B2081" s="957"/>
      <c r="C2081" s="957"/>
      <c r="D2081" s="957"/>
      <c r="E2081" s="957"/>
      <c r="F2081" s="958"/>
      <c r="G2081" s="115">
        <f>ROUND(SUM(G2076:G2080),2)</f>
        <v>328.18</v>
      </c>
      <c r="H2081" s="364"/>
      <c r="I2081" s="166"/>
      <c r="J2081" s="364"/>
      <c r="K2081" s="237"/>
    </row>
    <row r="2082" spans="1:11" ht="27.75" customHeight="1">
      <c r="A2082" s="131"/>
      <c r="B2082" s="132"/>
      <c r="C2082" s="131"/>
      <c r="D2082" s="131"/>
      <c r="E2082" s="131"/>
      <c r="F2082" s="133"/>
      <c r="G2082" s="131"/>
      <c r="I2082" s="29"/>
      <c r="K2082" s="237"/>
    </row>
    <row r="2083" spans="1:11" s="45" customFormat="1" ht="45" customHeight="1">
      <c r="A2083" s="953" t="s">
        <v>1996</v>
      </c>
      <c r="B2083" s="954"/>
      <c r="C2083" s="954"/>
      <c r="D2083" s="954"/>
      <c r="E2083" s="955"/>
      <c r="F2083" s="351" t="s">
        <v>44</v>
      </c>
      <c r="G2083" s="118">
        <v>5057</v>
      </c>
      <c r="H2083" s="364"/>
      <c r="I2083" s="166"/>
      <c r="J2083" s="364"/>
      <c r="K2083" s="237"/>
    </row>
    <row r="2084" spans="1:11" s="45" customFormat="1" ht="28.5">
      <c r="A2084" s="77" t="s">
        <v>1917</v>
      </c>
      <c r="B2084" s="347"/>
      <c r="C2084" s="77" t="s">
        <v>3</v>
      </c>
      <c r="D2084" s="77" t="s">
        <v>4</v>
      </c>
      <c r="E2084" s="77" t="s">
        <v>1826</v>
      </c>
      <c r="F2084" s="77" t="s">
        <v>367</v>
      </c>
      <c r="G2084" s="77" t="s">
        <v>368</v>
      </c>
      <c r="H2084" s="364"/>
      <c r="I2084" s="166"/>
      <c r="J2084" s="364"/>
      <c r="K2084" s="237"/>
    </row>
    <row r="2085" spans="1:11" s="45" customFormat="1" ht="75">
      <c r="A2085" s="120">
        <v>4974</v>
      </c>
      <c r="B2085" s="109" t="s">
        <v>1997</v>
      </c>
      <c r="C2085" s="25" t="s">
        <v>44</v>
      </c>
      <c r="D2085" s="111" t="s">
        <v>26</v>
      </c>
      <c r="E2085" s="180">
        <v>1</v>
      </c>
      <c r="F2085" s="122">
        <f>H2085</f>
        <v>389.99700000000001</v>
      </c>
      <c r="G2085" s="123">
        <f>ROUND((E2085*F2085),2)</f>
        <v>390</v>
      </c>
      <c r="H2085" s="364">
        <v>389.99700000000001</v>
      </c>
      <c r="I2085" s="45" t="e">
        <f>IF(A2085&lt;&gt;0,VLOOKUP(A2085,#REF!,2,FALSE),"")</f>
        <v>#REF!</v>
      </c>
      <c r="J2085" s="364"/>
      <c r="K2085" s="237"/>
    </row>
    <row r="2086" spans="1:11" s="45" customFormat="1">
      <c r="A2086" s="1123" t="s">
        <v>1894</v>
      </c>
      <c r="B2086" s="1124"/>
      <c r="C2086" s="1124"/>
      <c r="D2086" s="1124"/>
      <c r="E2086" s="1124"/>
      <c r="F2086" s="1125"/>
      <c r="G2086" s="115">
        <f>ROUND(SUM(G2085:G2085),2)</f>
        <v>390</v>
      </c>
      <c r="H2086" s="364"/>
      <c r="I2086" s="166"/>
      <c r="J2086" s="364"/>
      <c r="K2086" s="237"/>
    </row>
    <row r="2087" spans="1:11">
      <c r="A2087" s="131"/>
      <c r="B2087" s="132"/>
      <c r="C2087" s="131"/>
      <c r="D2087" s="131"/>
      <c r="E2087" s="131"/>
      <c r="F2087" s="133"/>
      <c r="G2087" s="131"/>
      <c r="I2087" s="29"/>
      <c r="K2087" s="237"/>
    </row>
    <row r="2088" spans="1:11">
      <c r="A2088" s="131"/>
      <c r="B2088" s="132"/>
      <c r="C2088" s="131"/>
      <c r="D2088" s="131"/>
      <c r="E2088" s="131"/>
      <c r="F2088" s="133"/>
      <c r="G2088" s="131"/>
      <c r="I2088" s="29"/>
      <c r="K2088" s="237"/>
    </row>
    <row r="2089" spans="1:11" s="45" customFormat="1" ht="32.25" customHeight="1">
      <c r="A2089" s="953" t="s">
        <v>1998</v>
      </c>
      <c r="B2089" s="954"/>
      <c r="C2089" s="954"/>
      <c r="D2089" s="954"/>
      <c r="E2089" s="955"/>
      <c r="F2089" s="351" t="s">
        <v>44</v>
      </c>
      <c r="G2089" s="118">
        <v>10812</v>
      </c>
      <c r="H2089" s="364"/>
      <c r="I2089" s="166"/>
      <c r="J2089" s="364"/>
      <c r="K2089" s="237"/>
    </row>
    <row r="2090" spans="1:11" s="45" customFormat="1" ht="28.5">
      <c r="A2090" s="77" t="s">
        <v>1917</v>
      </c>
      <c r="B2090" s="347"/>
      <c r="C2090" s="77" t="s">
        <v>3</v>
      </c>
      <c r="D2090" s="77" t="s">
        <v>4</v>
      </c>
      <c r="E2090" s="77" t="s">
        <v>1826</v>
      </c>
      <c r="F2090" s="77" t="s">
        <v>367</v>
      </c>
      <c r="G2090" s="77" t="s">
        <v>368</v>
      </c>
      <c r="H2090" s="364"/>
      <c r="I2090" s="166"/>
      <c r="J2090" s="364"/>
      <c r="K2090" s="237"/>
    </row>
    <row r="2091" spans="1:11" s="45" customFormat="1" ht="30">
      <c r="A2091" s="120">
        <v>12679</v>
      </c>
      <c r="B2091" s="109" t="s">
        <v>1999</v>
      </c>
      <c r="C2091" s="25" t="s">
        <v>44</v>
      </c>
      <c r="D2091" s="120" t="s">
        <v>2000</v>
      </c>
      <c r="E2091" s="180">
        <v>0.24629999999999999</v>
      </c>
      <c r="F2091" s="122">
        <f t="shared" ref="F2091:F2096" si="736">H2091</f>
        <v>5.1255000000000006</v>
      </c>
      <c r="G2091" s="123">
        <f t="shared" ref="G2091:G2096" si="737">ROUND((E2091*F2091),2)</f>
        <v>1.26</v>
      </c>
      <c r="H2091" s="364">
        <v>5.1255000000000006</v>
      </c>
      <c r="I2091" s="45" t="e">
        <f>IF(A2091&lt;&gt;0,VLOOKUP(A2091,#REF!,2,FALSE),"")</f>
        <v>#REF!</v>
      </c>
      <c r="J2091" s="364"/>
      <c r="K2091" s="237"/>
    </row>
    <row r="2092" spans="1:11" s="45" customFormat="1" ht="30">
      <c r="A2092" s="120">
        <v>11708</v>
      </c>
      <c r="B2092" s="109" t="s">
        <v>2001</v>
      </c>
      <c r="C2092" s="25" t="s">
        <v>44</v>
      </c>
      <c r="D2092" s="120" t="s">
        <v>2000</v>
      </c>
      <c r="E2092" s="180">
        <v>0.24629999999999999</v>
      </c>
      <c r="F2092" s="122">
        <f t="shared" si="736"/>
        <v>185.86949999999999</v>
      </c>
      <c r="G2092" s="123">
        <f t="shared" si="737"/>
        <v>45.78</v>
      </c>
      <c r="H2092" s="364">
        <v>185.86949999999999</v>
      </c>
      <c r="I2092" s="45" t="e">
        <f>IF(A2092&lt;&gt;0,VLOOKUP(A2092,#REF!,2,FALSE),"")</f>
        <v>#REF!</v>
      </c>
      <c r="J2092" s="364"/>
      <c r="K2092" s="237"/>
    </row>
    <row r="2093" spans="1:11" s="45" customFormat="1" ht="30">
      <c r="A2093" s="120">
        <v>11707</v>
      </c>
      <c r="B2093" s="109" t="s">
        <v>2002</v>
      </c>
      <c r="C2093" s="25" t="s">
        <v>44</v>
      </c>
      <c r="D2093" s="120" t="s">
        <v>2000</v>
      </c>
      <c r="E2093" s="180">
        <v>0.19700000000000001</v>
      </c>
      <c r="F2093" s="122">
        <f t="shared" si="736"/>
        <v>937.40549999999996</v>
      </c>
      <c r="G2093" s="123">
        <f t="shared" si="737"/>
        <v>184.67</v>
      </c>
      <c r="H2093" s="364">
        <v>937.40549999999996</v>
      </c>
      <c r="I2093" s="45" t="e">
        <f>IF(A2093&lt;&gt;0,VLOOKUP(A2093,#REF!,2,FALSE),"")</f>
        <v>#REF!</v>
      </c>
      <c r="J2093" s="364"/>
      <c r="K2093" s="237"/>
    </row>
    <row r="2094" spans="1:11" s="45" customFormat="1" ht="30">
      <c r="A2094" s="120">
        <v>12678</v>
      </c>
      <c r="B2094" s="109" t="s">
        <v>2003</v>
      </c>
      <c r="C2094" s="25" t="s">
        <v>44</v>
      </c>
      <c r="D2094" s="120" t="s">
        <v>2000</v>
      </c>
      <c r="E2094" s="180">
        <v>1.5</v>
      </c>
      <c r="F2094" s="122">
        <f t="shared" si="736"/>
        <v>6.4855</v>
      </c>
      <c r="G2094" s="123">
        <f t="shared" si="737"/>
        <v>9.73</v>
      </c>
      <c r="H2094" s="364">
        <v>6.4855</v>
      </c>
      <c r="I2094" s="45" t="e">
        <f>IF(A2094&lt;&gt;0,VLOOKUP(A2094,#REF!,2,FALSE),"")</f>
        <v>#REF!</v>
      </c>
      <c r="J2094" s="364"/>
      <c r="K2094" s="237"/>
    </row>
    <row r="2095" spans="1:11" s="45" customFormat="1" ht="30">
      <c r="A2095" s="120">
        <v>88316</v>
      </c>
      <c r="B2095" s="109" t="s">
        <v>377</v>
      </c>
      <c r="C2095" s="25" t="s">
        <v>12</v>
      </c>
      <c r="D2095" s="111" t="s">
        <v>19</v>
      </c>
      <c r="E2095" s="180">
        <v>1</v>
      </c>
      <c r="F2095" s="122">
        <f t="shared" si="736"/>
        <v>11.798000000000002</v>
      </c>
      <c r="G2095" s="123">
        <f t="shared" si="737"/>
        <v>11.8</v>
      </c>
      <c r="H2095" s="364">
        <v>11.798000000000002</v>
      </c>
      <c r="I2095" s="45" t="e">
        <f>IF(A2095&lt;&gt;0,VLOOKUP(A2095,#REF!,2,FALSE),"")</f>
        <v>#REF!</v>
      </c>
      <c r="J2095" s="364"/>
      <c r="K2095" s="237"/>
    </row>
    <row r="2096" spans="1:11" s="45" customFormat="1" ht="30">
      <c r="A2096" s="120">
        <v>88309</v>
      </c>
      <c r="B2096" s="109" t="s">
        <v>390</v>
      </c>
      <c r="C2096" s="25" t="s">
        <v>12</v>
      </c>
      <c r="D2096" s="111" t="s">
        <v>19</v>
      </c>
      <c r="E2096" s="180">
        <v>1</v>
      </c>
      <c r="F2096" s="122">
        <f t="shared" si="736"/>
        <v>15.121499999999999</v>
      </c>
      <c r="G2096" s="123">
        <f t="shared" si="737"/>
        <v>15.12</v>
      </c>
      <c r="H2096" s="364">
        <v>15.121499999999999</v>
      </c>
      <c r="I2096" s="45" t="e">
        <f>IF(A2096&lt;&gt;0,VLOOKUP(A2096,#REF!,2,FALSE),"")</f>
        <v>#REF!</v>
      </c>
      <c r="J2096" s="364"/>
      <c r="K2096" s="237"/>
    </row>
    <row r="2097" spans="1:11" s="45" customFormat="1">
      <c r="A2097" s="956" t="s">
        <v>1894</v>
      </c>
      <c r="B2097" s="957"/>
      <c r="C2097" s="957"/>
      <c r="D2097" s="957"/>
      <c r="E2097" s="957"/>
      <c r="F2097" s="958"/>
      <c r="G2097" s="115">
        <f>ROUND(SUM(G2091:G2096),2)</f>
        <v>268.36</v>
      </c>
      <c r="H2097" s="364"/>
      <c r="I2097" s="166"/>
      <c r="J2097" s="364"/>
      <c r="K2097" s="237"/>
    </row>
    <row r="2098" spans="1:11" ht="22.5" customHeight="1">
      <c r="A2098" s="27"/>
      <c r="B2098" s="27"/>
      <c r="C2098" s="27"/>
      <c r="D2098" s="27"/>
      <c r="E2098" s="27"/>
      <c r="F2098" s="27"/>
      <c r="G2098" s="27"/>
      <c r="K2098" s="237"/>
    </row>
    <row r="2099" spans="1:11" s="45" customFormat="1" ht="47.25" customHeight="1">
      <c r="A2099" s="953" t="s">
        <v>350</v>
      </c>
      <c r="B2099" s="954"/>
      <c r="C2099" s="954"/>
      <c r="D2099" s="954"/>
      <c r="E2099" s="955"/>
      <c r="F2099" s="351" t="s">
        <v>44</v>
      </c>
      <c r="G2099" s="118">
        <v>7967</v>
      </c>
      <c r="H2099" s="364"/>
      <c r="I2099" s="166"/>
      <c r="J2099" s="364"/>
      <c r="K2099" s="237"/>
    </row>
    <row r="2100" spans="1:11" s="45" customFormat="1" ht="28.5">
      <c r="A2100" s="77" t="s">
        <v>1917</v>
      </c>
      <c r="B2100" s="347"/>
      <c r="C2100" s="77" t="s">
        <v>3</v>
      </c>
      <c r="D2100" s="77" t="s">
        <v>4</v>
      </c>
      <c r="E2100" s="77" t="s">
        <v>1826</v>
      </c>
      <c r="F2100" s="77" t="s">
        <v>367</v>
      </c>
      <c r="G2100" s="77" t="s">
        <v>368</v>
      </c>
      <c r="H2100" s="364"/>
      <c r="I2100" s="166"/>
      <c r="J2100" s="364"/>
      <c r="K2100" s="237"/>
    </row>
    <row r="2101" spans="1:11" s="45" customFormat="1" ht="30">
      <c r="A2101" s="120">
        <v>1689</v>
      </c>
      <c r="B2101" s="109" t="s">
        <v>589</v>
      </c>
      <c r="C2101" s="25" t="s">
        <v>44</v>
      </c>
      <c r="D2101" s="120" t="s">
        <v>383</v>
      </c>
      <c r="E2101" s="180">
        <v>8</v>
      </c>
      <c r="F2101" s="122">
        <f>H2101</f>
        <v>0.81599999999999995</v>
      </c>
      <c r="G2101" s="123">
        <f>ROUND((E2101*F2101),2)</f>
        <v>6.53</v>
      </c>
      <c r="H2101" s="364">
        <v>0.81599999999999995</v>
      </c>
      <c r="I2101" s="45" t="e">
        <f>IF(A2101&lt;&gt;0,VLOOKUP(A2101,#REF!,2,FALSE),"")</f>
        <v>#REF!</v>
      </c>
      <c r="J2101" s="364"/>
      <c r="K2101" s="237"/>
    </row>
    <row r="2102" spans="1:11" s="45" customFormat="1" ht="60">
      <c r="A2102" s="120">
        <v>7938</v>
      </c>
      <c r="B2102" s="109" t="s">
        <v>623</v>
      </c>
      <c r="C2102" s="25" t="s">
        <v>44</v>
      </c>
      <c r="D2102" s="120" t="s">
        <v>52</v>
      </c>
      <c r="E2102" s="180">
        <v>1</v>
      </c>
      <c r="F2102" s="122">
        <f>H2102</f>
        <v>588.48050000000001</v>
      </c>
      <c r="G2102" s="123">
        <f>ROUND((E2102*F2102),2)</f>
        <v>588.48</v>
      </c>
      <c r="H2102" s="364">
        <v>588.48050000000001</v>
      </c>
      <c r="I2102" s="45" t="e">
        <f>IF(A2102&lt;&gt;0,VLOOKUP(A2102,#REF!,2,FALSE),"")</f>
        <v>#REF!</v>
      </c>
      <c r="J2102" s="364"/>
      <c r="K2102" s="237"/>
    </row>
    <row r="2103" spans="1:11" s="45" customFormat="1" ht="30">
      <c r="A2103" s="120">
        <v>88316</v>
      </c>
      <c r="B2103" s="109" t="s">
        <v>377</v>
      </c>
      <c r="C2103" s="25" t="s">
        <v>12</v>
      </c>
      <c r="D2103" s="111" t="s">
        <v>19</v>
      </c>
      <c r="E2103" s="180">
        <v>1</v>
      </c>
      <c r="F2103" s="122">
        <f>H2103</f>
        <v>11.798000000000002</v>
      </c>
      <c r="G2103" s="123">
        <f>ROUND((E2103*F2103),2)</f>
        <v>11.8</v>
      </c>
      <c r="H2103" s="364">
        <v>11.798000000000002</v>
      </c>
      <c r="I2103" s="45" t="e">
        <f>IF(A2103&lt;&gt;0,VLOOKUP(A2103,#REF!,2,FALSE),"")</f>
        <v>#REF!</v>
      </c>
      <c r="J2103" s="364"/>
      <c r="K2103" s="237"/>
    </row>
    <row r="2104" spans="1:11" s="45" customFormat="1" ht="30">
      <c r="A2104" s="120">
        <v>88309</v>
      </c>
      <c r="B2104" s="109" t="s">
        <v>390</v>
      </c>
      <c r="C2104" s="25" t="s">
        <v>12</v>
      </c>
      <c r="D2104" s="111" t="s">
        <v>19</v>
      </c>
      <c r="E2104" s="180">
        <v>1</v>
      </c>
      <c r="F2104" s="122">
        <f>H2104</f>
        <v>15.121499999999999</v>
      </c>
      <c r="G2104" s="123">
        <f>ROUND((E2104*F2104),2)</f>
        <v>15.12</v>
      </c>
      <c r="H2104" s="364">
        <v>15.121499999999999</v>
      </c>
      <c r="I2104" s="45" t="e">
        <f>IF(A2104&lt;&gt;0,VLOOKUP(A2104,#REF!,2,FALSE),"")</f>
        <v>#REF!</v>
      </c>
      <c r="J2104" s="364"/>
      <c r="K2104" s="237"/>
    </row>
    <row r="2105" spans="1:11" s="45" customFormat="1">
      <c r="A2105" s="956" t="s">
        <v>1894</v>
      </c>
      <c r="B2105" s="957"/>
      <c r="C2105" s="957"/>
      <c r="D2105" s="957"/>
      <c r="E2105" s="957"/>
      <c r="F2105" s="958"/>
      <c r="G2105" s="115">
        <f>ROUND(SUM(G2101:G2104),2)</f>
        <v>621.92999999999995</v>
      </c>
      <c r="H2105" s="364"/>
      <c r="I2105" s="166"/>
      <c r="J2105" s="364"/>
      <c r="K2105" s="237"/>
    </row>
    <row r="2106" spans="1:11">
      <c r="A2106" s="131"/>
      <c r="B2106" s="132"/>
      <c r="C2106" s="131"/>
      <c r="D2106" s="131"/>
      <c r="E2106" s="131"/>
      <c r="F2106" s="133"/>
      <c r="G2106" s="131"/>
      <c r="I2106" s="29"/>
      <c r="K2106" s="237"/>
    </row>
    <row r="2107" spans="1:11">
      <c r="A2107" s="131"/>
      <c r="B2107" s="132"/>
      <c r="C2107" s="131"/>
      <c r="D2107" s="131"/>
      <c r="E2107" s="131"/>
      <c r="F2107" s="133"/>
      <c r="G2107" s="131"/>
      <c r="I2107" s="29"/>
      <c r="K2107" s="237"/>
    </row>
    <row r="2108" spans="1:11" s="45" customFormat="1" ht="27.75" customHeight="1">
      <c r="A2108" s="953" t="s">
        <v>2004</v>
      </c>
      <c r="B2108" s="954"/>
      <c r="C2108" s="954"/>
      <c r="D2108" s="954"/>
      <c r="E2108" s="955"/>
      <c r="F2108" s="351" t="s">
        <v>44</v>
      </c>
      <c r="G2108" s="118">
        <v>4264</v>
      </c>
      <c r="H2108" s="364"/>
      <c r="I2108" s="166"/>
      <c r="J2108" s="364"/>
      <c r="K2108" s="237"/>
    </row>
    <row r="2109" spans="1:11" s="45" customFormat="1" ht="28.5">
      <c r="A2109" s="77" t="s">
        <v>1917</v>
      </c>
      <c r="B2109" s="347"/>
      <c r="C2109" s="77" t="s">
        <v>3</v>
      </c>
      <c r="D2109" s="77" t="s">
        <v>4</v>
      </c>
      <c r="E2109" s="77" t="s">
        <v>1826</v>
      </c>
      <c r="F2109" s="77" t="s">
        <v>367</v>
      </c>
      <c r="G2109" s="77" t="s">
        <v>368</v>
      </c>
      <c r="H2109" s="364"/>
      <c r="I2109" s="166"/>
      <c r="J2109" s="364"/>
      <c r="K2109" s="237"/>
    </row>
    <row r="2110" spans="1:11" s="45" customFormat="1" ht="30">
      <c r="A2110" s="120">
        <v>3339</v>
      </c>
      <c r="B2110" s="109" t="s">
        <v>2004</v>
      </c>
      <c r="C2110" s="25" t="s">
        <v>44</v>
      </c>
      <c r="D2110" s="120" t="s">
        <v>52</v>
      </c>
      <c r="E2110" s="180">
        <v>1</v>
      </c>
      <c r="F2110" s="122">
        <f>H2110</f>
        <v>67.005499999999998</v>
      </c>
      <c r="G2110" s="123">
        <f>ROUND((E2110*F2110),2)</f>
        <v>67.010000000000005</v>
      </c>
      <c r="H2110" s="364">
        <v>67.005499999999998</v>
      </c>
      <c r="I2110" s="45" t="e">
        <f>IF(A2110&lt;&gt;0,VLOOKUP(A2110,#REF!,2,FALSE),"")</f>
        <v>#REF!</v>
      </c>
      <c r="J2110" s="364"/>
      <c r="K2110" s="237"/>
    </row>
    <row r="2111" spans="1:11" s="45" customFormat="1" ht="60">
      <c r="A2111" s="120">
        <v>1903</v>
      </c>
      <c r="B2111" s="109" t="s">
        <v>1986</v>
      </c>
      <c r="C2111" s="25" t="s">
        <v>44</v>
      </c>
      <c r="D2111" s="120" t="s">
        <v>1937</v>
      </c>
      <c r="E2111" s="180">
        <v>2E-3</v>
      </c>
      <c r="F2111" s="122">
        <f>H2111</f>
        <v>382.27050000000003</v>
      </c>
      <c r="G2111" s="123">
        <f>ROUND((E2111*F2111),2)</f>
        <v>0.76</v>
      </c>
      <c r="H2111" s="364">
        <v>382.27050000000003</v>
      </c>
      <c r="I2111" s="166"/>
      <c r="J2111" s="364"/>
      <c r="K2111" s="237"/>
    </row>
    <row r="2112" spans="1:11" s="45" customFormat="1" ht="30">
      <c r="A2112" s="120">
        <v>88309</v>
      </c>
      <c r="B2112" s="109" t="s">
        <v>390</v>
      </c>
      <c r="C2112" s="25" t="s">
        <v>12</v>
      </c>
      <c r="D2112" s="111" t="s">
        <v>19</v>
      </c>
      <c r="E2112" s="180">
        <v>0.5</v>
      </c>
      <c r="F2112" s="122">
        <f>H2112</f>
        <v>15.121499999999999</v>
      </c>
      <c r="G2112" s="123">
        <f>ROUND((E2112*F2112),2)</f>
        <v>7.56</v>
      </c>
      <c r="H2112" s="364">
        <v>15.121499999999999</v>
      </c>
      <c r="I2112" s="45" t="e">
        <f>IF(A2112&lt;&gt;0,VLOOKUP(A2112,#REF!,2,FALSE),"")</f>
        <v>#REF!</v>
      </c>
      <c r="J2112" s="364"/>
      <c r="K2112" s="237"/>
    </row>
    <row r="2113" spans="1:11" s="45" customFormat="1">
      <c r="A2113" s="956" t="s">
        <v>1894</v>
      </c>
      <c r="B2113" s="957"/>
      <c r="C2113" s="957"/>
      <c r="D2113" s="957"/>
      <c r="E2113" s="957"/>
      <c r="F2113" s="958"/>
      <c r="G2113" s="115">
        <f>ROUND(SUM(G2110:G2112),2)</f>
        <v>75.33</v>
      </c>
      <c r="H2113" s="364"/>
      <c r="I2113" s="166"/>
      <c r="J2113" s="364"/>
      <c r="K2113" s="237"/>
    </row>
    <row r="2114" spans="1:11">
      <c r="A2114" s="131"/>
      <c r="B2114" s="132"/>
      <c r="C2114" s="131"/>
      <c r="D2114" s="131"/>
      <c r="E2114" s="131"/>
      <c r="F2114" s="133"/>
      <c r="G2114" s="131"/>
      <c r="I2114" s="29"/>
      <c r="K2114" s="237"/>
    </row>
    <row r="2115" spans="1:11">
      <c r="A2115" s="131"/>
      <c r="B2115" s="132"/>
      <c r="C2115" s="131"/>
      <c r="D2115" s="131"/>
      <c r="E2115" s="131"/>
      <c r="F2115" s="133"/>
      <c r="G2115" s="131"/>
      <c r="I2115" s="29"/>
      <c r="K2115" s="237"/>
    </row>
    <row r="2116" spans="1:11" s="45" customFormat="1" ht="30.75" customHeight="1">
      <c r="A2116" s="953" t="s">
        <v>2005</v>
      </c>
      <c r="B2116" s="954"/>
      <c r="C2116" s="954"/>
      <c r="D2116" s="954"/>
      <c r="E2116" s="955"/>
      <c r="F2116" s="118" t="s">
        <v>44</v>
      </c>
      <c r="G2116" s="118">
        <v>7285</v>
      </c>
      <c r="H2116" s="364"/>
      <c r="I2116" s="166"/>
      <c r="J2116" s="364"/>
      <c r="K2116" s="237"/>
    </row>
    <row r="2117" spans="1:11" s="45" customFormat="1" ht="28.5">
      <c r="A2117" s="77" t="s">
        <v>1917</v>
      </c>
      <c r="B2117" s="347"/>
      <c r="C2117" s="77" t="s">
        <v>3</v>
      </c>
      <c r="D2117" s="77" t="s">
        <v>4</v>
      </c>
      <c r="E2117" s="77" t="s">
        <v>1826</v>
      </c>
      <c r="F2117" s="77" t="s">
        <v>367</v>
      </c>
      <c r="G2117" s="77" t="s">
        <v>368</v>
      </c>
      <c r="H2117" s="364"/>
      <c r="I2117" s="166"/>
      <c r="J2117" s="364"/>
      <c r="K2117" s="237"/>
    </row>
    <row r="2118" spans="1:11" s="45" customFormat="1" ht="30">
      <c r="A2118" s="120">
        <v>6853</v>
      </c>
      <c r="B2118" s="109" t="s">
        <v>2006</v>
      </c>
      <c r="C2118" s="25" t="s">
        <v>44</v>
      </c>
      <c r="D2118" s="120" t="s">
        <v>52</v>
      </c>
      <c r="E2118" s="182">
        <v>1</v>
      </c>
      <c r="F2118" s="122">
        <f>H2118</f>
        <v>39.839500000000001</v>
      </c>
      <c r="G2118" s="123">
        <f>ROUND((E2118*F2118),2)</f>
        <v>39.840000000000003</v>
      </c>
      <c r="H2118" s="364">
        <v>39.839500000000001</v>
      </c>
      <c r="I2118" s="45" t="e">
        <f>IF(A2118&lt;&gt;0,VLOOKUP(A2118,#REF!,2,FALSE),"")</f>
        <v>#REF!</v>
      </c>
      <c r="J2118" s="364"/>
      <c r="K2118" s="237"/>
    </row>
    <row r="2119" spans="1:11" s="45" customFormat="1">
      <c r="A2119" s="120">
        <v>37595</v>
      </c>
      <c r="B2119" s="109" t="s">
        <v>465</v>
      </c>
      <c r="C2119" s="25" t="s">
        <v>12</v>
      </c>
      <c r="D2119" s="120" t="s">
        <v>45</v>
      </c>
      <c r="E2119" s="181">
        <v>1.29</v>
      </c>
      <c r="F2119" s="122">
        <f>H2119</f>
        <v>1.4875</v>
      </c>
      <c r="G2119" s="123">
        <f>ROUND((E2119*F2119),2)</f>
        <v>1.92</v>
      </c>
      <c r="H2119" s="364">
        <v>1.4875</v>
      </c>
      <c r="I2119" s="45" t="e">
        <f>IF(A2119&lt;&gt;0,VLOOKUP(A2119,#REF!,2,FALSE),"")</f>
        <v>#REF!</v>
      </c>
      <c r="J2119" s="364"/>
      <c r="K2119" s="237"/>
    </row>
    <row r="2120" spans="1:11" s="45" customFormat="1" ht="30">
      <c r="A2120" s="120">
        <v>88316</v>
      </c>
      <c r="B2120" s="109" t="s">
        <v>377</v>
      </c>
      <c r="C2120" s="25" t="s">
        <v>12</v>
      </c>
      <c r="D2120" s="111" t="s">
        <v>19</v>
      </c>
      <c r="E2120" s="181">
        <v>0.6</v>
      </c>
      <c r="F2120" s="122">
        <f>H2120</f>
        <v>11.798000000000002</v>
      </c>
      <c r="G2120" s="123">
        <f>ROUND((E2120*F2120),2)</f>
        <v>7.08</v>
      </c>
      <c r="H2120" s="364">
        <v>11.798000000000002</v>
      </c>
      <c r="I2120" s="45" t="e">
        <f>IF(A2120&lt;&gt;0,VLOOKUP(A2120,#REF!,2,FALSE),"")</f>
        <v>#REF!</v>
      </c>
      <c r="J2120" s="364"/>
      <c r="K2120" s="237"/>
    </row>
    <row r="2121" spans="1:11" s="45" customFormat="1">
      <c r="A2121" s="1123" t="s">
        <v>1894</v>
      </c>
      <c r="B2121" s="1124"/>
      <c r="C2121" s="1124"/>
      <c r="D2121" s="1124"/>
      <c r="E2121" s="1124"/>
      <c r="F2121" s="1125"/>
      <c r="G2121" s="115">
        <f>ROUND(SUM(G2118:G2120),2)</f>
        <v>48.84</v>
      </c>
      <c r="H2121" s="364"/>
      <c r="I2121" s="166"/>
      <c r="J2121" s="364"/>
      <c r="K2121" s="237"/>
    </row>
    <row r="2122" spans="1:11" ht="27" customHeight="1">
      <c r="A2122" s="131"/>
      <c r="B2122" s="132"/>
      <c r="C2122" s="131"/>
      <c r="D2122" s="131"/>
      <c r="E2122" s="131"/>
      <c r="F2122" s="133"/>
      <c r="G2122" s="131"/>
      <c r="I2122" s="29"/>
      <c r="K2122" s="237"/>
    </row>
    <row r="2123" spans="1:11" s="45" customFormat="1" ht="32.25" customHeight="1">
      <c r="A2123" s="953" t="s">
        <v>2007</v>
      </c>
      <c r="B2123" s="954"/>
      <c r="C2123" s="954"/>
      <c r="D2123" s="954"/>
      <c r="E2123" s="955"/>
      <c r="F2123" s="351" t="s">
        <v>44</v>
      </c>
      <c r="G2123" s="118">
        <v>7284</v>
      </c>
      <c r="H2123" s="364"/>
      <c r="I2123" s="166"/>
      <c r="J2123" s="364"/>
      <c r="K2123" s="237"/>
    </row>
    <row r="2124" spans="1:11" s="45" customFormat="1" ht="28.5">
      <c r="A2124" s="77" t="s">
        <v>1917</v>
      </c>
      <c r="B2124" s="347"/>
      <c r="C2124" s="77" t="s">
        <v>3</v>
      </c>
      <c r="D2124" s="77" t="s">
        <v>4</v>
      </c>
      <c r="E2124" s="77" t="s">
        <v>1826</v>
      </c>
      <c r="F2124" s="77" t="s">
        <v>367</v>
      </c>
      <c r="G2124" s="77" t="s">
        <v>368</v>
      </c>
      <c r="H2124" s="364"/>
      <c r="I2124" s="166"/>
      <c r="J2124" s="364"/>
      <c r="K2124" s="237"/>
    </row>
    <row r="2125" spans="1:11" s="45" customFormat="1" ht="30">
      <c r="A2125" s="120">
        <v>6852</v>
      </c>
      <c r="B2125" s="109" t="s">
        <v>2008</v>
      </c>
      <c r="C2125" s="25" t="s">
        <v>44</v>
      </c>
      <c r="D2125" s="120" t="s">
        <v>52</v>
      </c>
      <c r="E2125" s="182">
        <v>1</v>
      </c>
      <c r="F2125" s="122">
        <f>H2125</f>
        <v>61.344500000000004</v>
      </c>
      <c r="G2125" s="123">
        <f>ROUND((E2125*F2125),2)</f>
        <v>61.34</v>
      </c>
      <c r="H2125" s="364">
        <v>61.344500000000004</v>
      </c>
      <c r="I2125" s="45" t="e">
        <f>IF(A2125&lt;&gt;0,VLOOKUP(A2125,#REF!,2,FALSE),"")</f>
        <v>#REF!</v>
      </c>
      <c r="J2125" s="364"/>
      <c r="K2125" s="237"/>
    </row>
    <row r="2126" spans="1:11" s="45" customFormat="1">
      <c r="A2126" s="120">
        <v>34353</v>
      </c>
      <c r="B2126" s="109" t="s">
        <v>2009</v>
      </c>
      <c r="C2126" s="25" t="s">
        <v>12</v>
      </c>
      <c r="D2126" s="120" t="s">
        <v>45</v>
      </c>
      <c r="E2126" s="183">
        <v>1.1399999999999999</v>
      </c>
      <c r="F2126" s="122">
        <f>H2126</f>
        <v>0.90100000000000002</v>
      </c>
      <c r="G2126" s="123">
        <f>ROUND((E2126*F2126),2)</f>
        <v>1.03</v>
      </c>
      <c r="H2126" s="364">
        <v>0.90100000000000002</v>
      </c>
      <c r="I2126" s="45" t="e">
        <f>IF(A2126&lt;&gt;0,VLOOKUP(A2126,#REF!,2,FALSE),"")</f>
        <v>#REF!</v>
      </c>
      <c r="J2126" s="364"/>
      <c r="K2126" s="237"/>
    </row>
    <row r="2127" spans="1:11" s="45" customFormat="1" ht="30">
      <c r="A2127" s="120">
        <v>88309</v>
      </c>
      <c r="B2127" s="109" t="s">
        <v>390</v>
      </c>
      <c r="C2127" s="25" t="s">
        <v>12</v>
      </c>
      <c r="D2127" s="111" t="s">
        <v>19</v>
      </c>
      <c r="E2127" s="112">
        <v>0.8</v>
      </c>
      <c r="F2127" s="122">
        <f>H2127</f>
        <v>15.121499999999999</v>
      </c>
      <c r="G2127" s="123">
        <f>ROUND((E2127*F2127),2)</f>
        <v>12.1</v>
      </c>
      <c r="H2127" s="364">
        <v>15.121499999999999</v>
      </c>
      <c r="I2127" s="45" t="e">
        <f>IF(A2127&lt;&gt;0,VLOOKUP(A2127,#REF!,2,FALSE),"")</f>
        <v>#REF!</v>
      </c>
      <c r="J2127" s="364"/>
      <c r="K2127" s="237"/>
    </row>
    <row r="2128" spans="1:11" s="45" customFormat="1">
      <c r="A2128" s="956" t="s">
        <v>1894</v>
      </c>
      <c r="B2128" s="957"/>
      <c r="C2128" s="957"/>
      <c r="D2128" s="957"/>
      <c r="E2128" s="957"/>
      <c r="F2128" s="958"/>
      <c r="G2128" s="115">
        <f>ROUND(SUM(G2125:G2127),2)</f>
        <v>74.47</v>
      </c>
      <c r="H2128" s="364"/>
      <c r="I2128" s="166"/>
      <c r="J2128" s="364"/>
      <c r="K2128" s="237"/>
    </row>
    <row r="2129" spans="1:11" ht="33.75" customHeight="1">
      <c r="A2129" s="27"/>
      <c r="B2129" s="27"/>
      <c r="C2129" s="27"/>
      <c r="D2129" s="27"/>
      <c r="E2129" s="27"/>
      <c r="F2129" s="27"/>
      <c r="G2129" s="27"/>
      <c r="K2129" s="237"/>
    </row>
    <row r="2130" spans="1:11" s="45" customFormat="1" ht="27" customHeight="1">
      <c r="A2130" s="953" t="s">
        <v>2010</v>
      </c>
      <c r="B2130" s="954"/>
      <c r="C2130" s="954"/>
      <c r="D2130" s="954"/>
      <c r="E2130" s="955"/>
      <c r="F2130" s="351" t="s">
        <v>1915</v>
      </c>
      <c r="G2130" s="118" t="s">
        <v>2011</v>
      </c>
      <c r="H2130" s="364"/>
      <c r="I2130" s="166"/>
      <c r="J2130" s="364"/>
      <c r="K2130" s="237"/>
    </row>
    <row r="2131" spans="1:11" s="45" customFormat="1" ht="28.5">
      <c r="A2131" s="77" t="s">
        <v>1917</v>
      </c>
      <c r="B2131" s="347"/>
      <c r="C2131" s="77" t="s">
        <v>3</v>
      </c>
      <c r="D2131" s="77" t="s">
        <v>4</v>
      </c>
      <c r="E2131" s="77" t="s">
        <v>1826</v>
      </c>
      <c r="F2131" s="77" t="s">
        <v>367</v>
      </c>
      <c r="G2131" s="77" t="s">
        <v>368</v>
      </c>
      <c r="H2131" s="364"/>
      <c r="I2131" s="166"/>
      <c r="J2131" s="364"/>
      <c r="K2131" s="237"/>
    </row>
    <row r="2132" spans="1:11" s="45" customFormat="1" ht="45">
      <c r="A2132" s="120">
        <v>7697</v>
      </c>
      <c r="B2132" s="109" t="s">
        <v>547</v>
      </c>
      <c r="C2132" s="25" t="s">
        <v>12</v>
      </c>
      <c r="D2132" s="120" t="s">
        <v>52</v>
      </c>
      <c r="E2132" s="182">
        <v>4</v>
      </c>
      <c r="F2132" s="122">
        <f>H2132</f>
        <v>52.674500000000002</v>
      </c>
      <c r="G2132" s="123">
        <f>ROUND((E2132*F2132),2)</f>
        <v>210.7</v>
      </c>
      <c r="H2132" s="364">
        <v>52.674500000000002</v>
      </c>
      <c r="I2132" s="45" t="e">
        <f>IF(A2132&lt;&gt;0,VLOOKUP(A2132,#REF!,2,FALSE),"")</f>
        <v>#REF!</v>
      </c>
      <c r="J2132" s="364"/>
      <c r="K2132" s="237"/>
    </row>
    <row r="2133" spans="1:11" s="45" customFormat="1" ht="30">
      <c r="A2133" s="120">
        <v>88631</v>
      </c>
      <c r="B2133" s="109" t="s">
        <v>1987</v>
      </c>
      <c r="C2133" s="25" t="s">
        <v>12</v>
      </c>
      <c r="D2133" s="120" t="s">
        <v>35</v>
      </c>
      <c r="E2133" s="181">
        <v>0.02</v>
      </c>
      <c r="F2133" s="122">
        <f>H2133</f>
        <v>381.76049999999998</v>
      </c>
      <c r="G2133" s="123">
        <f>ROUND((E2133*F2133),2)</f>
        <v>7.64</v>
      </c>
      <c r="H2133" s="364">
        <v>381.76049999999998</v>
      </c>
      <c r="I2133" s="45" t="e">
        <f>IF(A2133&lt;&gt;0,VLOOKUP(A2133,#REF!,2,FALSE),"")</f>
        <v>#REF!</v>
      </c>
      <c r="J2133" s="364"/>
      <c r="K2133" s="237"/>
    </row>
    <row r="2134" spans="1:11" s="45" customFormat="1" ht="30">
      <c r="A2134" s="120">
        <v>88315</v>
      </c>
      <c r="B2134" s="109" t="s">
        <v>420</v>
      </c>
      <c r="C2134" s="25" t="s">
        <v>12</v>
      </c>
      <c r="D2134" s="111" t="s">
        <v>19</v>
      </c>
      <c r="E2134" s="181">
        <v>3.4</v>
      </c>
      <c r="F2134" s="122">
        <f>H2134</f>
        <v>15.045</v>
      </c>
      <c r="G2134" s="123">
        <f>ROUND((E2134*F2134),2)</f>
        <v>51.15</v>
      </c>
      <c r="H2134" s="364">
        <v>15.045</v>
      </c>
      <c r="I2134" s="45" t="e">
        <f>IF(A2134&lt;&gt;0,VLOOKUP(A2134,#REF!,2,FALSE),"")</f>
        <v>#REF!</v>
      </c>
      <c r="J2134" s="364"/>
      <c r="K2134" s="237"/>
    </row>
    <row r="2135" spans="1:11" s="45" customFormat="1" ht="30">
      <c r="A2135" s="120">
        <v>88316</v>
      </c>
      <c r="B2135" s="109" t="s">
        <v>377</v>
      </c>
      <c r="C2135" s="25" t="s">
        <v>12</v>
      </c>
      <c r="D2135" s="111" t="s">
        <v>19</v>
      </c>
      <c r="E2135" s="181">
        <v>3.1</v>
      </c>
      <c r="F2135" s="122">
        <f>H2135</f>
        <v>11.798000000000002</v>
      </c>
      <c r="G2135" s="123">
        <f>ROUND((E2135*F2135),2)</f>
        <v>36.57</v>
      </c>
      <c r="H2135" s="364">
        <v>11.798000000000002</v>
      </c>
      <c r="I2135" s="45" t="e">
        <f>IF(A2135&lt;&gt;0,VLOOKUP(A2135,#REF!,2,FALSE),"")</f>
        <v>#REF!</v>
      </c>
      <c r="J2135" s="364"/>
      <c r="K2135" s="237"/>
    </row>
    <row r="2136" spans="1:11" s="45" customFormat="1">
      <c r="A2136" s="956" t="s">
        <v>1894</v>
      </c>
      <c r="B2136" s="957"/>
      <c r="C2136" s="957"/>
      <c r="D2136" s="957"/>
      <c r="E2136" s="957"/>
      <c r="F2136" s="958"/>
      <c r="G2136" s="115">
        <f>ROUND(SUM(G2132:G2135),2)</f>
        <v>306.06</v>
      </c>
      <c r="H2136" s="364"/>
      <c r="I2136" s="166"/>
      <c r="J2136" s="364"/>
      <c r="K2136" s="237"/>
    </row>
    <row r="2137" spans="1:11" ht="29.25" customHeight="1">
      <c r="A2137" s="27"/>
      <c r="B2137" s="27"/>
      <c r="C2137" s="27"/>
      <c r="D2137" s="27"/>
      <c r="E2137" s="27"/>
      <c r="F2137" s="27"/>
      <c r="G2137" s="27"/>
      <c r="K2137" s="237"/>
    </row>
    <row r="2138" spans="1:11" s="45" customFormat="1" ht="39" customHeight="1">
      <c r="A2138" s="953" t="s">
        <v>588</v>
      </c>
      <c r="B2138" s="954"/>
      <c r="C2138" s="954"/>
      <c r="D2138" s="954"/>
      <c r="E2138" s="955"/>
      <c r="F2138" s="351" t="s">
        <v>44</v>
      </c>
      <c r="G2138" s="175">
        <v>8914</v>
      </c>
      <c r="H2138" s="364"/>
      <c r="I2138" s="166"/>
      <c r="J2138" s="364"/>
      <c r="K2138" s="237"/>
    </row>
    <row r="2139" spans="1:11" s="45" customFormat="1" ht="28.5">
      <c r="A2139" s="77" t="s">
        <v>1917</v>
      </c>
      <c r="B2139" s="347"/>
      <c r="C2139" s="77" t="s">
        <v>3</v>
      </c>
      <c r="D2139" s="77" t="s">
        <v>4</v>
      </c>
      <c r="E2139" s="77" t="s">
        <v>1826</v>
      </c>
      <c r="F2139" s="77" t="s">
        <v>367</v>
      </c>
      <c r="G2139" s="77" t="s">
        <v>368</v>
      </c>
      <c r="H2139" s="364"/>
      <c r="I2139" s="166"/>
      <c r="J2139" s="364"/>
      <c r="K2139" s="237"/>
    </row>
    <row r="2140" spans="1:11" s="45" customFormat="1" ht="30">
      <c r="A2140" s="100">
        <v>8914</v>
      </c>
      <c r="B2140" s="109" t="s">
        <v>2012</v>
      </c>
      <c r="C2140" s="25" t="s">
        <v>44</v>
      </c>
      <c r="D2140" s="126" t="s">
        <v>238</v>
      </c>
      <c r="E2140" s="134">
        <v>1</v>
      </c>
      <c r="F2140" s="122">
        <f>H2140</f>
        <v>372.3</v>
      </c>
      <c r="G2140" s="123">
        <f>ROUND((E2140*F2140),2)</f>
        <v>372.3</v>
      </c>
      <c r="H2140" s="364">
        <v>372.3</v>
      </c>
      <c r="I2140" s="45" t="e">
        <f>IF(A2140&lt;&gt;0,VLOOKUP(A2140,#REF!,2,FALSE),"")</f>
        <v>#REF!</v>
      </c>
      <c r="J2140" s="364"/>
      <c r="K2140" s="237"/>
    </row>
    <row r="2141" spans="1:11" s="45" customFormat="1" ht="30">
      <c r="A2141" s="100">
        <v>88243</v>
      </c>
      <c r="B2141" s="109" t="s">
        <v>416</v>
      </c>
      <c r="C2141" s="25" t="s">
        <v>12</v>
      </c>
      <c r="D2141" s="126" t="s">
        <v>19</v>
      </c>
      <c r="E2141" s="180">
        <v>1</v>
      </c>
      <c r="F2141" s="122">
        <f>H2141</f>
        <v>14.075999999999999</v>
      </c>
      <c r="G2141" s="123">
        <f>ROUND((E2141*F2141),2)</f>
        <v>14.08</v>
      </c>
      <c r="H2141" s="364">
        <v>14.075999999999999</v>
      </c>
      <c r="I2141" s="45" t="e">
        <f>IF(A2141&lt;&gt;0,VLOOKUP(A2141,#REF!,2,FALSE),"")</f>
        <v>#REF!</v>
      </c>
      <c r="J2141" s="364"/>
      <c r="K2141" s="237"/>
    </row>
    <row r="2142" spans="1:11" s="45" customFormat="1" ht="30">
      <c r="A2142" s="100">
        <v>88264</v>
      </c>
      <c r="B2142" s="109" t="s">
        <v>379</v>
      </c>
      <c r="C2142" s="25" t="s">
        <v>12</v>
      </c>
      <c r="D2142" s="126" t="s">
        <v>19</v>
      </c>
      <c r="E2142" s="180">
        <v>1</v>
      </c>
      <c r="F2142" s="122">
        <f>H2142</f>
        <v>15.249000000000001</v>
      </c>
      <c r="G2142" s="123">
        <f>ROUND((E2142*F2142),2)</f>
        <v>15.25</v>
      </c>
      <c r="H2142" s="364">
        <v>15.249000000000001</v>
      </c>
      <c r="I2142" s="45" t="e">
        <f>IF(A2142&lt;&gt;0,VLOOKUP(A2142,#REF!,2,FALSE),"")</f>
        <v>#REF!</v>
      </c>
      <c r="J2142" s="364"/>
      <c r="K2142" s="237"/>
    </row>
    <row r="2143" spans="1:11" s="45" customFormat="1">
      <c r="A2143" s="956" t="s">
        <v>1894</v>
      </c>
      <c r="B2143" s="957"/>
      <c r="C2143" s="957"/>
      <c r="D2143" s="957"/>
      <c r="E2143" s="957"/>
      <c r="F2143" s="958"/>
      <c r="G2143" s="115">
        <f>ROUND(SUM(G2140:G2142),2)</f>
        <v>401.63</v>
      </c>
      <c r="H2143" s="364"/>
      <c r="I2143" s="166"/>
      <c r="J2143" s="364"/>
      <c r="K2143" s="237"/>
    </row>
    <row r="2144" spans="1:11" ht="27.75" customHeight="1">
      <c r="A2144" s="131"/>
      <c r="B2144" s="132"/>
      <c r="C2144" s="131"/>
      <c r="D2144" s="131"/>
      <c r="E2144" s="131"/>
      <c r="F2144" s="133"/>
      <c r="G2144" s="131"/>
      <c r="I2144" s="29"/>
      <c r="K2144" s="237"/>
    </row>
    <row r="2145" spans="1:11" s="45" customFormat="1" ht="27.75" customHeight="1">
      <c r="A2145" s="953" t="s">
        <v>2013</v>
      </c>
      <c r="B2145" s="954"/>
      <c r="C2145" s="954"/>
      <c r="D2145" s="954"/>
      <c r="E2145" s="955"/>
      <c r="F2145" s="351" t="s">
        <v>44</v>
      </c>
      <c r="G2145" s="118">
        <v>8795</v>
      </c>
      <c r="H2145" s="364"/>
      <c r="I2145" s="166"/>
      <c r="J2145" s="364"/>
      <c r="K2145" s="237"/>
    </row>
    <row r="2146" spans="1:11" s="45" customFormat="1" ht="28.5">
      <c r="A2146" s="77" t="s">
        <v>1917</v>
      </c>
      <c r="B2146" s="347"/>
      <c r="C2146" s="77" t="s">
        <v>3</v>
      </c>
      <c r="D2146" s="77" t="s">
        <v>4</v>
      </c>
      <c r="E2146" s="77" t="s">
        <v>1826</v>
      </c>
      <c r="F2146" s="77" t="s">
        <v>367</v>
      </c>
      <c r="G2146" s="77" t="s">
        <v>368</v>
      </c>
      <c r="H2146" s="364"/>
      <c r="I2146" s="166"/>
      <c r="J2146" s="364"/>
      <c r="K2146" s="237"/>
    </row>
    <row r="2147" spans="1:11" s="45" customFormat="1">
      <c r="A2147" s="100">
        <v>9086</v>
      </c>
      <c r="B2147" s="109" t="s">
        <v>2014</v>
      </c>
      <c r="C2147" s="25" t="s">
        <v>44</v>
      </c>
      <c r="D2147" s="126" t="s">
        <v>17</v>
      </c>
      <c r="E2147" s="134">
        <v>1</v>
      </c>
      <c r="F2147" s="128">
        <f>H2147</f>
        <v>5.95</v>
      </c>
      <c r="G2147" s="129">
        <f>ROUND((E2147*F2147),2)</f>
        <v>5.95</v>
      </c>
      <c r="H2147" s="364">
        <v>5.95</v>
      </c>
      <c r="I2147" s="45" t="e">
        <f>IF(A2147&lt;&gt;0,VLOOKUP(A2147,#REF!,2,FALSE),"")</f>
        <v>#REF!</v>
      </c>
      <c r="J2147" s="364"/>
      <c r="K2147" s="237"/>
    </row>
    <row r="2148" spans="1:11" s="45" customFormat="1" ht="30">
      <c r="A2148" s="100">
        <v>88316</v>
      </c>
      <c r="B2148" s="109" t="s">
        <v>377</v>
      </c>
      <c r="C2148" s="25" t="s">
        <v>12</v>
      </c>
      <c r="D2148" s="126" t="s">
        <v>19</v>
      </c>
      <c r="E2148" s="127">
        <v>0.5</v>
      </c>
      <c r="F2148" s="122">
        <f>H2148</f>
        <v>11.798000000000002</v>
      </c>
      <c r="G2148" s="123">
        <f>ROUND((E2148*F2148),2)</f>
        <v>5.9</v>
      </c>
      <c r="H2148" s="364">
        <v>11.798000000000002</v>
      </c>
      <c r="I2148" s="45" t="e">
        <f>IF(A2148&lt;&gt;0,VLOOKUP(A2148,#REF!,2,FALSE),"")</f>
        <v>#REF!</v>
      </c>
      <c r="J2148" s="364"/>
      <c r="K2148" s="237"/>
    </row>
    <row r="2149" spans="1:11" s="45" customFormat="1" ht="30">
      <c r="A2149" s="100">
        <v>88264</v>
      </c>
      <c r="B2149" s="109" t="s">
        <v>379</v>
      </c>
      <c r="C2149" s="25" t="s">
        <v>12</v>
      </c>
      <c r="D2149" s="126" t="s">
        <v>19</v>
      </c>
      <c r="E2149" s="127">
        <v>0.5</v>
      </c>
      <c r="F2149" s="122">
        <f>H2149</f>
        <v>15.249000000000001</v>
      </c>
      <c r="G2149" s="123">
        <f>ROUND((E2149*F2149),2)</f>
        <v>7.62</v>
      </c>
      <c r="H2149" s="364">
        <v>15.249000000000001</v>
      </c>
      <c r="I2149" s="45" t="e">
        <f>IF(A2149&lt;&gt;0,VLOOKUP(A2149,#REF!,2,FALSE),"")</f>
        <v>#REF!</v>
      </c>
      <c r="J2149" s="364"/>
      <c r="K2149" s="237"/>
    </row>
    <row r="2150" spans="1:11" s="45" customFormat="1">
      <c r="A2150" s="1123" t="s">
        <v>1894</v>
      </c>
      <c r="B2150" s="1124"/>
      <c r="C2150" s="1124"/>
      <c r="D2150" s="1124"/>
      <c r="E2150" s="1124"/>
      <c r="F2150" s="1125"/>
      <c r="G2150" s="130">
        <f>ROUND(SUM(G2147:G2149),2)</f>
        <v>19.47</v>
      </c>
      <c r="H2150" s="364"/>
      <c r="I2150" s="166"/>
      <c r="J2150" s="364"/>
      <c r="K2150" s="237"/>
    </row>
    <row r="2151" spans="1:11" ht="24.75" customHeight="1">
      <c r="A2151" s="27"/>
      <c r="B2151" s="27"/>
      <c r="C2151" s="27"/>
      <c r="D2151" s="27"/>
      <c r="E2151" s="27"/>
      <c r="F2151" s="27"/>
      <c r="G2151" s="27"/>
      <c r="K2151" s="237"/>
    </row>
    <row r="2152" spans="1:11" s="45" customFormat="1" ht="42.75" customHeight="1">
      <c r="A2152" s="972" t="s">
        <v>3024</v>
      </c>
      <c r="B2152" s="973"/>
      <c r="C2152" s="973"/>
      <c r="D2152" s="973"/>
      <c r="E2152" s="974"/>
      <c r="F2152" s="351" t="s">
        <v>44</v>
      </c>
      <c r="G2152" s="118">
        <v>9744</v>
      </c>
      <c r="H2152" s="364"/>
      <c r="J2152" s="364"/>
      <c r="K2152" s="237"/>
    </row>
    <row r="2153" spans="1:11" s="45" customFormat="1" ht="28.5">
      <c r="A2153" s="77" t="s">
        <v>1917</v>
      </c>
      <c r="B2153" s="347"/>
      <c r="C2153" s="77" t="s">
        <v>3</v>
      </c>
      <c r="D2153" s="77" t="s">
        <v>4</v>
      </c>
      <c r="E2153" s="77" t="s">
        <v>1826</v>
      </c>
      <c r="F2153" s="77" t="s">
        <v>367</v>
      </c>
      <c r="G2153" s="77" t="s">
        <v>368</v>
      </c>
      <c r="H2153" s="364"/>
      <c r="J2153" s="364"/>
      <c r="K2153" s="237"/>
    </row>
    <row r="2154" spans="1:11" s="45" customFormat="1" ht="75">
      <c r="A2154" s="120">
        <v>9744</v>
      </c>
      <c r="B2154" s="109" t="s">
        <v>2030</v>
      </c>
      <c r="C2154" s="25" t="s">
        <v>44</v>
      </c>
      <c r="D2154" s="111" t="s">
        <v>17</v>
      </c>
      <c r="E2154" s="112">
        <v>1</v>
      </c>
      <c r="F2154" s="177">
        <f>H2154</f>
        <v>80750</v>
      </c>
      <c r="G2154" s="123">
        <f>ROUND((E2154*F2154),2)</f>
        <v>80750</v>
      </c>
      <c r="H2154" s="364">
        <v>80750</v>
      </c>
      <c r="I2154" s="45" t="e">
        <f>IF(A2154&lt;&gt;0,VLOOKUP(A2154,#REF!,2,FALSE),"")</f>
        <v>#REF!</v>
      </c>
      <c r="J2154" s="364"/>
      <c r="K2154" s="237"/>
    </row>
    <row r="2155" spans="1:11" s="45" customFormat="1">
      <c r="A2155" s="1123" t="s">
        <v>1894</v>
      </c>
      <c r="B2155" s="1124"/>
      <c r="C2155" s="1124"/>
      <c r="D2155" s="1124"/>
      <c r="E2155" s="1124"/>
      <c r="F2155" s="1125"/>
      <c r="G2155" s="115">
        <f>ROUND(SUM(G2154:G2154),2)</f>
        <v>80750</v>
      </c>
      <c r="H2155" s="364"/>
      <c r="J2155" s="364"/>
      <c r="K2155" s="237"/>
    </row>
    <row r="2156" spans="1:11" ht="28.5" customHeight="1">
      <c r="A2156" s="131"/>
      <c r="B2156" s="132"/>
      <c r="C2156" s="131"/>
      <c r="D2156" s="131"/>
      <c r="E2156" s="131"/>
      <c r="F2156" s="133"/>
      <c r="G2156" s="131"/>
      <c r="K2156" s="237"/>
    </row>
    <row r="2157" spans="1:11" s="45" customFormat="1" ht="15" customHeight="1">
      <c r="A2157" s="953" t="s">
        <v>2687</v>
      </c>
      <c r="B2157" s="954"/>
      <c r="C2157" s="954"/>
      <c r="D2157" s="954"/>
      <c r="E2157" s="955"/>
      <c r="F2157" s="351" t="s">
        <v>44</v>
      </c>
      <c r="G2157" s="118">
        <v>1843</v>
      </c>
      <c r="H2157" s="364"/>
      <c r="J2157" s="364"/>
      <c r="K2157" s="237"/>
    </row>
    <row r="2158" spans="1:11" s="45" customFormat="1" ht="28.5">
      <c r="A2158" s="77" t="s">
        <v>1917</v>
      </c>
      <c r="B2158" s="347"/>
      <c r="C2158" s="77" t="s">
        <v>3</v>
      </c>
      <c r="D2158" s="77" t="s">
        <v>4</v>
      </c>
      <c r="E2158" s="77" t="s">
        <v>1826</v>
      </c>
      <c r="F2158" s="77" t="s">
        <v>367</v>
      </c>
      <c r="G2158" s="77" t="s">
        <v>368</v>
      </c>
      <c r="H2158" s="364"/>
      <c r="J2158" s="364"/>
      <c r="K2158" s="237"/>
    </row>
    <row r="2159" spans="1:11" s="45" customFormat="1" ht="30">
      <c r="A2159" s="120">
        <v>1843</v>
      </c>
      <c r="B2159" s="109" t="s">
        <v>2688</v>
      </c>
      <c r="C2159" s="25" t="s">
        <v>44</v>
      </c>
      <c r="D2159" s="111" t="s">
        <v>17</v>
      </c>
      <c r="E2159" s="112">
        <v>1</v>
      </c>
      <c r="F2159" s="122">
        <f>H2159</f>
        <v>8421.6130000000012</v>
      </c>
      <c r="G2159" s="123">
        <f>ROUND((E2159*F2159),2)</f>
        <v>8421.61</v>
      </c>
      <c r="H2159" s="364">
        <v>8421.6130000000012</v>
      </c>
      <c r="I2159" s="45" t="e">
        <f>IF(A2159&lt;&gt;0,VLOOKUP(A2159,#REF!,2,FALSE),"")</f>
        <v>#REF!</v>
      </c>
      <c r="J2159" s="364"/>
      <c r="K2159" s="237"/>
    </row>
    <row r="2160" spans="1:11" s="45" customFormat="1">
      <c r="A2160" s="956" t="s">
        <v>1894</v>
      </c>
      <c r="B2160" s="957"/>
      <c r="C2160" s="957"/>
      <c r="D2160" s="957"/>
      <c r="E2160" s="957"/>
      <c r="F2160" s="958"/>
      <c r="G2160" s="115">
        <f>ROUND(SUM(G2159:G2159),2)</f>
        <v>8421.61</v>
      </c>
      <c r="H2160" s="364"/>
      <c r="J2160" s="364"/>
      <c r="K2160" s="237"/>
    </row>
    <row r="2161" spans="1:11" ht="27.75" customHeight="1">
      <c r="A2161" s="131"/>
      <c r="B2161" s="132"/>
      <c r="C2161" s="131"/>
      <c r="D2161" s="131"/>
      <c r="E2161" s="131"/>
      <c r="F2161" s="133"/>
      <c r="G2161" s="131"/>
      <c r="K2161" s="237"/>
    </row>
    <row r="2162" spans="1:11" s="45" customFormat="1" ht="49.5" customHeight="1">
      <c r="A2162" s="953" t="s">
        <v>2209</v>
      </c>
      <c r="B2162" s="954"/>
      <c r="C2162" s="954"/>
      <c r="D2162" s="954"/>
      <c r="E2162" s="955"/>
      <c r="F2162" s="351" t="s">
        <v>44</v>
      </c>
      <c r="G2162" s="118">
        <v>11064</v>
      </c>
      <c r="H2162" s="364"/>
      <c r="J2162" s="364"/>
      <c r="K2162" s="237"/>
    </row>
    <row r="2163" spans="1:11" s="45" customFormat="1" ht="28.5">
      <c r="A2163" s="77" t="s">
        <v>1917</v>
      </c>
      <c r="B2163" s="347"/>
      <c r="C2163" s="77" t="s">
        <v>3</v>
      </c>
      <c r="D2163" s="77" t="s">
        <v>4</v>
      </c>
      <c r="E2163" s="77" t="s">
        <v>1826</v>
      </c>
      <c r="F2163" s="77" t="s">
        <v>367</v>
      </c>
      <c r="G2163" s="77" t="s">
        <v>368</v>
      </c>
      <c r="H2163" s="364"/>
      <c r="J2163" s="364"/>
      <c r="K2163" s="237"/>
    </row>
    <row r="2164" spans="1:11" s="45" customFormat="1" ht="60">
      <c r="A2164" s="120">
        <v>11064</v>
      </c>
      <c r="B2164" s="109" t="s">
        <v>2582</v>
      </c>
      <c r="C2164" s="25" t="s">
        <v>44</v>
      </c>
      <c r="D2164" s="111" t="s">
        <v>17</v>
      </c>
      <c r="E2164" s="112">
        <v>1</v>
      </c>
      <c r="F2164" s="177">
        <f>H2164</f>
        <v>17600.151000000002</v>
      </c>
      <c r="G2164" s="123">
        <f>ROUND((E2164*F2164),2)</f>
        <v>17600.150000000001</v>
      </c>
      <c r="H2164" s="364">
        <v>17600.151000000002</v>
      </c>
      <c r="I2164" s="45" t="e">
        <f>IF(A2164&lt;&gt;0,VLOOKUP(A2164,#REF!,2,FALSE),"")</f>
        <v>#REF!</v>
      </c>
      <c r="J2164" s="364"/>
      <c r="K2164" s="237"/>
    </row>
    <row r="2165" spans="1:11" s="45" customFormat="1">
      <c r="A2165" s="1123" t="s">
        <v>1894</v>
      </c>
      <c r="B2165" s="1124"/>
      <c r="C2165" s="1124"/>
      <c r="D2165" s="1124"/>
      <c r="E2165" s="1124"/>
      <c r="F2165" s="1125"/>
      <c r="G2165" s="115">
        <f>ROUND(SUM(G2164:G2164),2)</f>
        <v>17600.150000000001</v>
      </c>
      <c r="H2165" s="364"/>
      <c r="J2165" s="364"/>
      <c r="K2165" s="237"/>
    </row>
    <row r="2166" spans="1:11" ht="28.5" customHeight="1">
      <c r="A2166" s="131"/>
      <c r="B2166" s="132"/>
      <c r="C2166" s="131"/>
      <c r="D2166" s="131"/>
      <c r="E2166" s="131"/>
      <c r="F2166" s="133"/>
      <c r="G2166" s="131"/>
      <c r="K2166" s="237"/>
    </row>
    <row r="2167" spans="1:11" s="45" customFormat="1" ht="15" customHeight="1">
      <c r="A2167" s="953" t="s">
        <v>2031</v>
      </c>
      <c r="B2167" s="954"/>
      <c r="C2167" s="954"/>
      <c r="D2167" s="954"/>
      <c r="E2167" s="955"/>
      <c r="F2167" s="351" t="s">
        <v>44</v>
      </c>
      <c r="G2167" s="118">
        <v>4436</v>
      </c>
      <c r="H2167" s="364"/>
      <c r="J2167" s="364"/>
      <c r="K2167" s="237"/>
    </row>
    <row r="2168" spans="1:11" s="45" customFormat="1" ht="28.5">
      <c r="A2168" s="77" t="s">
        <v>1917</v>
      </c>
      <c r="B2168" s="347"/>
      <c r="C2168" s="77" t="s">
        <v>3</v>
      </c>
      <c r="D2168" s="77" t="s">
        <v>4</v>
      </c>
      <c r="E2168" s="77" t="s">
        <v>1826</v>
      </c>
      <c r="F2168" s="77" t="s">
        <v>367</v>
      </c>
      <c r="G2168" s="77" t="s">
        <v>368</v>
      </c>
      <c r="H2168" s="364"/>
      <c r="J2168" s="364"/>
      <c r="K2168" s="237"/>
    </row>
    <row r="2169" spans="1:11" s="45" customFormat="1">
      <c r="A2169" s="120">
        <v>4436</v>
      </c>
      <c r="B2169" s="109" t="s">
        <v>2032</v>
      </c>
      <c r="C2169" s="25" t="s">
        <v>44</v>
      </c>
      <c r="D2169" s="111" t="s">
        <v>17</v>
      </c>
      <c r="E2169" s="112">
        <v>1</v>
      </c>
      <c r="F2169" s="128">
        <f>H2169</f>
        <v>126.65</v>
      </c>
      <c r="G2169" s="123">
        <f>ROUND((E2169*F2169),2)</f>
        <v>126.65</v>
      </c>
      <c r="H2169" s="364">
        <v>126.65</v>
      </c>
      <c r="I2169" s="45" t="e">
        <f>IF(A2169&lt;&gt;0,VLOOKUP(A2169,#REF!,2,FALSE),"")</f>
        <v>#REF!</v>
      </c>
      <c r="J2169" s="364"/>
      <c r="K2169" s="237"/>
    </row>
    <row r="2170" spans="1:11" s="45" customFormat="1">
      <c r="A2170" s="956" t="s">
        <v>1894</v>
      </c>
      <c r="B2170" s="957"/>
      <c r="C2170" s="957"/>
      <c r="D2170" s="957"/>
      <c r="E2170" s="957"/>
      <c r="F2170" s="958"/>
      <c r="G2170" s="115">
        <f>ROUND(SUM(G2169:G2169),2)</f>
        <v>126.65</v>
      </c>
      <c r="H2170" s="364"/>
      <c r="J2170" s="364"/>
      <c r="K2170" s="237"/>
    </row>
    <row r="2171" spans="1:11" ht="28.5" customHeight="1">
      <c r="A2171" s="131"/>
      <c r="B2171" s="132"/>
      <c r="C2171" s="131"/>
      <c r="D2171" s="131"/>
      <c r="E2171" s="131"/>
      <c r="F2171" s="133"/>
      <c r="G2171" s="131"/>
      <c r="K2171" s="237"/>
    </row>
    <row r="2172" spans="1:11" s="45" customFormat="1" ht="32.25" customHeight="1">
      <c r="A2172" s="953" t="s">
        <v>2033</v>
      </c>
      <c r="B2172" s="954"/>
      <c r="C2172" s="954"/>
      <c r="D2172" s="954"/>
      <c r="E2172" s="955"/>
      <c r="F2172" s="351" t="s">
        <v>44</v>
      </c>
      <c r="G2172" s="118">
        <v>11527</v>
      </c>
      <c r="H2172" s="364"/>
      <c r="J2172" s="364"/>
      <c r="K2172" s="237"/>
    </row>
    <row r="2173" spans="1:11" s="45" customFormat="1" ht="28.5">
      <c r="A2173" s="77" t="s">
        <v>1917</v>
      </c>
      <c r="B2173" s="347"/>
      <c r="C2173" s="77" t="s">
        <v>3</v>
      </c>
      <c r="D2173" s="77" t="s">
        <v>4</v>
      </c>
      <c r="E2173" s="77" t="s">
        <v>1826</v>
      </c>
      <c r="F2173" s="77" t="s">
        <v>367</v>
      </c>
      <c r="G2173" s="77" t="s">
        <v>368</v>
      </c>
      <c r="H2173" s="364"/>
      <c r="J2173" s="364"/>
      <c r="K2173" s="237"/>
    </row>
    <row r="2174" spans="1:11" s="45" customFormat="1" ht="30">
      <c r="A2174" s="120">
        <v>11527</v>
      </c>
      <c r="B2174" s="109" t="s">
        <v>2034</v>
      </c>
      <c r="C2174" s="25" t="s">
        <v>44</v>
      </c>
      <c r="D2174" s="111" t="s">
        <v>17</v>
      </c>
      <c r="E2174" s="112">
        <v>1</v>
      </c>
      <c r="F2174" s="122">
        <f>H2174</f>
        <v>1156.9860000000001</v>
      </c>
      <c r="G2174" s="123">
        <f>ROUND((E2174*F2174),2)</f>
        <v>1156.99</v>
      </c>
      <c r="H2174" s="364">
        <v>1156.9860000000001</v>
      </c>
      <c r="I2174" s="45" t="e">
        <f>IF(A2174&lt;&gt;0,VLOOKUP(A2174,#REF!,2,FALSE),"")</f>
        <v>#REF!</v>
      </c>
      <c r="J2174" s="364"/>
      <c r="K2174" s="237"/>
    </row>
    <row r="2175" spans="1:11" s="45" customFormat="1">
      <c r="A2175" s="1123" t="s">
        <v>1894</v>
      </c>
      <c r="B2175" s="1124"/>
      <c r="C2175" s="1124"/>
      <c r="D2175" s="1124"/>
      <c r="E2175" s="1124"/>
      <c r="F2175" s="1125"/>
      <c r="G2175" s="115">
        <f>ROUND(SUM(G2174:G2174),2)</f>
        <v>1156.99</v>
      </c>
      <c r="H2175" s="364"/>
      <c r="J2175" s="364"/>
      <c r="K2175" s="237"/>
    </row>
    <row r="2176" spans="1:11" ht="25.5" customHeight="1">
      <c r="A2176" s="131"/>
      <c r="B2176" s="132"/>
      <c r="C2176" s="131"/>
      <c r="D2176" s="131"/>
      <c r="E2176" s="131"/>
      <c r="F2176" s="133"/>
      <c r="G2176" s="131"/>
      <c r="K2176" s="237"/>
    </row>
    <row r="2177" spans="1:11" s="45" customFormat="1" ht="15" customHeight="1">
      <c r="A2177" s="953" t="s">
        <v>2035</v>
      </c>
      <c r="B2177" s="954"/>
      <c r="C2177" s="954"/>
      <c r="D2177" s="954"/>
      <c r="E2177" s="955"/>
      <c r="F2177" s="351" t="s">
        <v>44</v>
      </c>
      <c r="G2177" s="118">
        <v>10243</v>
      </c>
      <c r="H2177" s="364"/>
      <c r="J2177" s="364"/>
      <c r="K2177" s="237"/>
    </row>
    <row r="2178" spans="1:11" s="45" customFormat="1" ht="28.5">
      <c r="A2178" s="77" t="s">
        <v>1917</v>
      </c>
      <c r="B2178" s="347"/>
      <c r="C2178" s="77" t="s">
        <v>3</v>
      </c>
      <c r="D2178" s="77" t="s">
        <v>4</v>
      </c>
      <c r="E2178" s="77" t="s">
        <v>1826</v>
      </c>
      <c r="F2178" s="77" t="s">
        <v>367</v>
      </c>
      <c r="G2178" s="77" t="s">
        <v>368</v>
      </c>
      <c r="H2178" s="364"/>
      <c r="J2178" s="364"/>
      <c r="K2178" s="237"/>
    </row>
    <row r="2179" spans="1:11" s="45" customFormat="1" ht="30">
      <c r="A2179" s="120">
        <v>10243</v>
      </c>
      <c r="B2179" s="109" t="s">
        <v>2036</v>
      </c>
      <c r="C2179" s="25" t="s">
        <v>44</v>
      </c>
      <c r="D2179" s="111" t="s">
        <v>17</v>
      </c>
      <c r="E2179" s="112">
        <v>1</v>
      </c>
      <c r="F2179" s="128">
        <f>H2179</f>
        <v>12.75</v>
      </c>
      <c r="G2179" s="123">
        <f>ROUND((E2179*F2179),2)</f>
        <v>12.75</v>
      </c>
      <c r="H2179" s="364">
        <v>12.75</v>
      </c>
      <c r="I2179" s="45" t="e">
        <f>IF(A2179&lt;&gt;0,VLOOKUP(A2179,#REF!,2,FALSE),"")</f>
        <v>#REF!</v>
      </c>
      <c r="J2179" s="364"/>
      <c r="K2179" s="237"/>
    </row>
    <row r="2180" spans="1:11" s="45" customFormat="1">
      <c r="A2180" s="1123" t="s">
        <v>1894</v>
      </c>
      <c r="B2180" s="1124"/>
      <c r="C2180" s="1124"/>
      <c r="D2180" s="1124"/>
      <c r="E2180" s="1124"/>
      <c r="F2180" s="1125"/>
      <c r="G2180" s="115">
        <f>ROUND(SUM(G2179:G2179),2)</f>
        <v>12.75</v>
      </c>
      <c r="H2180" s="364"/>
      <c r="J2180" s="364"/>
      <c r="K2180" s="237"/>
    </row>
    <row r="2181" spans="1:11" ht="33" customHeight="1">
      <c r="A2181" s="27"/>
      <c r="B2181" s="27"/>
      <c r="C2181" s="27"/>
      <c r="D2181" s="27"/>
      <c r="E2181" s="27"/>
      <c r="F2181" s="27"/>
      <c r="G2181" s="27"/>
      <c r="K2181" s="237"/>
    </row>
    <row r="2182" spans="1:11" s="45" customFormat="1" ht="36" customHeight="1">
      <c r="A2182" s="1127" t="s">
        <v>54</v>
      </c>
      <c r="B2182" s="1128"/>
      <c r="C2182" s="1128"/>
      <c r="D2182" s="1128"/>
      <c r="E2182" s="1129"/>
      <c r="F2182" s="184" t="s">
        <v>1915</v>
      </c>
      <c r="G2182" s="185" t="s">
        <v>2039</v>
      </c>
      <c r="H2182" s="364"/>
      <c r="I2182" s="166"/>
      <c r="J2182" s="364"/>
      <c r="K2182" s="237"/>
    </row>
    <row r="2183" spans="1:11" s="45" customFormat="1" ht="28.5">
      <c r="A2183" s="77" t="s">
        <v>1917</v>
      </c>
      <c r="B2183" s="347"/>
      <c r="C2183" s="77" t="s">
        <v>3</v>
      </c>
      <c r="D2183" s="77" t="s">
        <v>4</v>
      </c>
      <c r="E2183" s="77" t="s">
        <v>1826</v>
      </c>
      <c r="F2183" s="77" t="s">
        <v>367</v>
      </c>
      <c r="G2183" s="77" t="s">
        <v>368</v>
      </c>
      <c r="H2183" s="364"/>
      <c r="I2183" s="166"/>
      <c r="J2183" s="364"/>
      <c r="K2183" s="237"/>
    </row>
    <row r="2184" spans="1:11" s="45" customFormat="1">
      <c r="A2184" s="186">
        <v>88629</v>
      </c>
      <c r="B2184" s="109" t="e">
        <f>I2184</f>
        <v>#REF!</v>
      </c>
      <c r="C2184" s="25" t="s">
        <v>12</v>
      </c>
      <c r="D2184" s="187" t="s">
        <v>35</v>
      </c>
      <c r="E2184" s="188">
        <v>4.7999999999999996E-3</v>
      </c>
      <c r="F2184" s="128">
        <f>H2184</f>
        <v>438.04750000000001</v>
      </c>
      <c r="G2184" s="123">
        <f>ROUND((E2184*F2184),2)</f>
        <v>2.1</v>
      </c>
      <c r="H2184" s="364">
        <v>438.04750000000001</v>
      </c>
      <c r="I2184" s="45" t="e">
        <f>IF(A2184&lt;&gt;0,VLOOKUP(A2184,#REF!,2,FALSE),"")</f>
        <v>#REF!</v>
      </c>
      <c r="J2184" s="364"/>
      <c r="K2184" s="237"/>
    </row>
    <row r="2185" spans="1:11" s="45" customFormat="1">
      <c r="A2185" s="186">
        <v>665</v>
      </c>
      <c r="B2185" s="109" t="e">
        <f>I2185</f>
        <v>#REF!</v>
      </c>
      <c r="C2185" s="25" t="s">
        <v>12</v>
      </c>
      <c r="D2185" s="187" t="s">
        <v>17</v>
      </c>
      <c r="E2185" s="188">
        <v>4</v>
      </c>
      <c r="F2185" s="128">
        <f>H2185</f>
        <v>17.952000000000002</v>
      </c>
      <c r="G2185" s="123">
        <f>ROUND((E2185*F2185),2)</f>
        <v>71.81</v>
      </c>
      <c r="H2185" s="364">
        <v>17.952000000000002</v>
      </c>
      <c r="I2185" s="45" t="e">
        <f>IF(A2185&lt;&gt;0,VLOOKUP(A2185,#REF!,2,FALSE),"")</f>
        <v>#REF!</v>
      </c>
      <c r="J2185" s="364"/>
      <c r="K2185" s="237"/>
    </row>
    <row r="2186" spans="1:11" s="45" customFormat="1">
      <c r="A2186" s="189">
        <v>88316</v>
      </c>
      <c r="B2186" s="109" t="e">
        <f>I2186</f>
        <v>#REF!</v>
      </c>
      <c r="C2186" s="25" t="s">
        <v>12</v>
      </c>
      <c r="D2186" s="187" t="s">
        <v>19</v>
      </c>
      <c r="E2186" s="190">
        <v>0.85</v>
      </c>
      <c r="F2186" s="122">
        <f>H2186</f>
        <v>11.798000000000002</v>
      </c>
      <c r="G2186" s="123">
        <f>ROUND((E2186*F2186),2)</f>
        <v>10.029999999999999</v>
      </c>
      <c r="H2186" s="364">
        <v>11.798000000000002</v>
      </c>
      <c r="I2186" s="45" t="e">
        <f>IF(A2186&lt;&gt;0,VLOOKUP(A2186,#REF!,2,FALSE),"")</f>
        <v>#REF!</v>
      </c>
      <c r="J2186" s="364"/>
      <c r="K2186" s="237"/>
    </row>
    <row r="2187" spans="1:11" s="45" customFormat="1">
      <c r="A2187" s="189">
        <v>88309</v>
      </c>
      <c r="B2187" s="109" t="e">
        <f>I2187</f>
        <v>#REF!</v>
      </c>
      <c r="C2187" s="25" t="s">
        <v>12</v>
      </c>
      <c r="D2187" s="187" t="s">
        <v>19</v>
      </c>
      <c r="E2187" s="190">
        <v>0.85</v>
      </c>
      <c r="F2187" s="122">
        <f>H2187</f>
        <v>15.121499999999999</v>
      </c>
      <c r="G2187" s="123">
        <f>ROUND((E2187*F2187),2)</f>
        <v>12.85</v>
      </c>
      <c r="H2187" s="364">
        <v>15.121499999999999</v>
      </c>
      <c r="I2187" s="45" t="e">
        <f>IF(A2187&lt;&gt;0,VLOOKUP(A2187,#REF!,2,FALSE),"")</f>
        <v>#REF!</v>
      </c>
      <c r="J2187" s="364"/>
      <c r="K2187" s="237"/>
    </row>
    <row r="2188" spans="1:11" s="45" customFormat="1">
      <c r="A2188" s="956" t="s">
        <v>1894</v>
      </c>
      <c r="B2188" s="957"/>
      <c r="C2188" s="957"/>
      <c r="D2188" s="957"/>
      <c r="E2188" s="957"/>
      <c r="F2188" s="958"/>
      <c r="G2188" s="130">
        <f>ROUND(SUM(G2184:G2187),2)</f>
        <v>96.79</v>
      </c>
      <c r="H2188" s="364"/>
      <c r="I2188" s="166"/>
      <c r="J2188" s="364"/>
      <c r="K2188" s="237"/>
    </row>
    <row r="2189" spans="1:11" ht="27.75" customHeight="1">
      <c r="A2189" s="27"/>
      <c r="B2189" s="27"/>
      <c r="C2189" s="27"/>
      <c r="D2189" s="27"/>
      <c r="E2189" s="27"/>
      <c r="F2189" s="27"/>
      <c r="G2189" s="27"/>
      <c r="K2189" s="237"/>
    </row>
    <row r="2190" spans="1:11" s="45" customFormat="1" ht="38.25" customHeight="1">
      <c r="A2190" s="953" t="s">
        <v>2027</v>
      </c>
      <c r="B2190" s="954"/>
      <c r="C2190" s="954"/>
      <c r="D2190" s="954"/>
      <c r="E2190" s="955"/>
      <c r="F2190" s="351" t="s">
        <v>1915</v>
      </c>
      <c r="G2190" s="351" t="s">
        <v>2028</v>
      </c>
      <c r="H2190" s="364"/>
      <c r="I2190" s="166"/>
      <c r="J2190" s="364"/>
      <c r="K2190" s="237"/>
    </row>
    <row r="2191" spans="1:11" s="45" customFormat="1" ht="28.5">
      <c r="A2191" s="77" t="s">
        <v>1917</v>
      </c>
      <c r="B2191" s="347"/>
      <c r="C2191" s="77" t="s">
        <v>3</v>
      </c>
      <c r="D2191" s="77" t="s">
        <v>4</v>
      </c>
      <c r="E2191" s="77" t="s">
        <v>1826</v>
      </c>
      <c r="F2191" s="77" t="s">
        <v>367</v>
      </c>
      <c r="G2191" s="77" t="s">
        <v>368</v>
      </c>
      <c r="H2191" s="364"/>
      <c r="I2191" s="167"/>
      <c r="J2191" s="364"/>
      <c r="K2191" s="237"/>
    </row>
    <row r="2192" spans="1:11" s="45" customFormat="1">
      <c r="A2192" s="119">
        <v>43132</v>
      </c>
      <c r="B2192" s="191" t="e">
        <f>I2192</f>
        <v>#REF!</v>
      </c>
      <c r="C2192" s="25" t="s">
        <v>12</v>
      </c>
      <c r="D2192" s="120" t="s">
        <v>45</v>
      </c>
      <c r="E2192" s="121">
        <v>0.02</v>
      </c>
      <c r="F2192" s="122">
        <f t="shared" ref="F2192:F2197" si="738">H2192</f>
        <v>17.8415</v>
      </c>
      <c r="G2192" s="123">
        <f t="shared" ref="G2192:G2197" si="739">ROUND((E2192*F2192),2)</f>
        <v>0.36</v>
      </c>
      <c r="H2192" s="364">
        <v>17.8415</v>
      </c>
      <c r="I2192" s="45" t="e">
        <f>IF(A2192&lt;&gt;0,VLOOKUP(A2192,#REF!,2,FALSE),"")</f>
        <v>#REF!</v>
      </c>
      <c r="J2192" s="364"/>
      <c r="K2192" s="237"/>
    </row>
    <row r="2193" spans="1:11" s="45" customFormat="1">
      <c r="A2193" s="119">
        <v>4491</v>
      </c>
      <c r="B2193" s="191" t="e">
        <f>I2193</f>
        <v>#REF!</v>
      </c>
      <c r="C2193" s="25" t="s">
        <v>12</v>
      </c>
      <c r="D2193" s="120" t="s">
        <v>52</v>
      </c>
      <c r="E2193" s="121">
        <v>0.25</v>
      </c>
      <c r="F2193" s="122">
        <f t="shared" si="738"/>
        <v>5.4654999999999996</v>
      </c>
      <c r="G2193" s="123">
        <f t="shared" si="739"/>
        <v>1.37</v>
      </c>
      <c r="H2193" s="364">
        <v>5.4654999999999996</v>
      </c>
      <c r="I2193" s="45" t="e">
        <f>IF(A2193&lt;&gt;0,VLOOKUP(A2193,#REF!,2,FALSE),"")</f>
        <v>#REF!</v>
      </c>
      <c r="J2193" s="364"/>
      <c r="K2193" s="237"/>
    </row>
    <row r="2194" spans="1:11" s="45" customFormat="1">
      <c r="A2194" s="119">
        <v>5061</v>
      </c>
      <c r="B2194" s="191" t="e">
        <f>I2194</f>
        <v>#REF!</v>
      </c>
      <c r="C2194" s="25" t="s">
        <v>12</v>
      </c>
      <c r="D2194" s="120" t="s">
        <v>45</v>
      </c>
      <c r="E2194" s="121">
        <v>0.01</v>
      </c>
      <c r="F2194" s="122">
        <f t="shared" si="738"/>
        <v>15.725</v>
      </c>
      <c r="G2194" s="123">
        <f t="shared" si="739"/>
        <v>0.16</v>
      </c>
      <c r="H2194" s="364">
        <v>15.725</v>
      </c>
      <c r="I2194" s="45" t="e">
        <f>IF(A2194&lt;&gt;0,VLOOKUP(A2194,#REF!,2,FALSE),"")</f>
        <v>#REF!</v>
      </c>
      <c r="J2194" s="364"/>
      <c r="K2194" s="237"/>
    </row>
    <row r="2195" spans="1:11" s="45" customFormat="1">
      <c r="A2195" s="119">
        <v>6189</v>
      </c>
      <c r="B2195" s="191" t="e">
        <f>I2195</f>
        <v>#REF!</v>
      </c>
      <c r="C2195" s="25" t="s">
        <v>12</v>
      </c>
      <c r="D2195" s="120" t="s">
        <v>52</v>
      </c>
      <c r="E2195" s="121">
        <v>0.317</v>
      </c>
      <c r="F2195" s="122">
        <f t="shared" si="738"/>
        <v>17.527000000000001</v>
      </c>
      <c r="G2195" s="123">
        <f t="shared" si="739"/>
        <v>5.56</v>
      </c>
      <c r="H2195" s="364">
        <v>17.527000000000001</v>
      </c>
      <c r="I2195" s="45" t="e">
        <f>IF(A2195&lt;&gt;0,VLOOKUP(A2195,#REF!,2,FALSE),"")</f>
        <v>#REF!</v>
      </c>
      <c r="J2195" s="364"/>
      <c r="K2195" s="237"/>
    </row>
    <row r="2196" spans="1:11" s="45" customFormat="1" ht="30">
      <c r="A2196" s="119">
        <v>88262</v>
      </c>
      <c r="B2196" s="109" t="s">
        <v>376</v>
      </c>
      <c r="C2196" s="25" t="s">
        <v>12</v>
      </c>
      <c r="D2196" s="111" t="s">
        <v>19</v>
      </c>
      <c r="E2196" s="124">
        <v>0.13</v>
      </c>
      <c r="F2196" s="122">
        <f t="shared" si="738"/>
        <v>14.96</v>
      </c>
      <c r="G2196" s="123">
        <f t="shared" si="739"/>
        <v>1.94</v>
      </c>
      <c r="H2196" s="364">
        <v>14.96</v>
      </c>
      <c r="I2196" s="45" t="e">
        <f>IF(A2196&lt;&gt;0,VLOOKUP(A2196,#REF!,2,FALSE),"")</f>
        <v>#REF!</v>
      </c>
      <c r="J2196" s="364"/>
      <c r="K2196" s="237"/>
    </row>
    <row r="2197" spans="1:11" s="45" customFormat="1" ht="30">
      <c r="A2197" s="119">
        <v>88316</v>
      </c>
      <c r="B2197" s="109" t="s">
        <v>377</v>
      </c>
      <c r="C2197" s="25" t="s">
        <v>12</v>
      </c>
      <c r="D2197" s="111" t="s">
        <v>19</v>
      </c>
      <c r="E2197" s="124">
        <v>0.13</v>
      </c>
      <c r="F2197" s="122">
        <f t="shared" si="738"/>
        <v>11.798000000000002</v>
      </c>
      <c r="G2197" s="123">
        <f t="shared" si="739"/>
        <v>1.53</v>
      </c>
      <c r="H2197" s="364">
        <v>11.798000000000002</v>
      </c>
      <c r="I2197" s="45" t="e">
        <f>IF(A2197&lt;&gt;0,VLOOKUP(A2197,#REF!,2,FALSE),"")</f>
        <v>#REF!</v>
      </c>
      <c r="J2197" s="364"/>
      <c r="K2197" s="237"/>
    </row>
    <row r="2198" spans="1:11" s="45" customFormat="1">
      <c r="A2198" s="956" t="s">
        <v>1894</v>
      </c>
      <c r="B2198" s="957"/>
      <c r="C2198" s="957"/>
      <c r="D2198" s="957"/>
      <c r="E2198" s="957"/>
      <c r="F2198" s="958"/>
      <c r="G2198" s="115">
        <f>ROUND(SUM(G2192:G2197),2)</f>
        <v>10.92</v>
      </c>
      <c r="H2198" s="364"/>
      <c r="I2198" s="166"/>
      <c r="J2198" s="364"/>
      <c r="K2198" s="237"/>
    </row>
    <row r="2199" spans="1:11" ht="30.75" customHeight="1">
      <c r="A2199" s="131"/>
      <c r="B2199" s="132"/>
      <c r="C2199" s="131"/>
      <c r="D2199" s="131"/>
      <c r="E2199" s="131"/>
      <c r="F2199" s="133"/>
      <c r="G2199" s="131"/>
      <c r="I2199" s="29"/>
      <c r="K2199" s="237"/>
    </row>
    <row r="2200" spans="1:11" s="45" customFormat="1" ht="27.75" customHeight="1">
      <c r="A2200" s="1127" t="s">
        <v>2029</v>
      </c>
      <c r="B2200" s="1128"/>
      <c r="C2200" s="1128"/>
      <c r="D2200" s="1128"/>
      <c r="E2200" s="1129"/>
      <c r="F2200" s="184" t="s">
        <v>1915</v>
      </c>
      <c r="G2200" s="185">
        <v>38770</v>
      </c>
      <c r="H2200" s="364"/>
      <c r="I2200" s="168"/>
      <c r="J2200" s="364"/>
      <c r="K2200" s="237"/>
    </row>
    <row r="2201" spans="1:11" s="45" customFormat="1" ht="28.5">
      <c r="A2201" s="77" t="s">
        <v>1917</v>
      </c>
      <c r="B2201" s="347"/>
      <c r="C2201" s="77" t="s">
        <v>3</v>
      </c>
      <c r="D2201" s="77" t="s">
        <v>4</v>
      </c>
      <c r="E2201" s="77" t="s">
        <v>1826</v>
      </c>
      <c r="F2201" s="77" t="s">
        <v>367</v>
      </c>
      <c r="G2201" s="77" t="s">
        <v>368</v>
      </c>
      <c r="H2201" s="364"/>
      <c r="I2201" s="168"/>
      <c r="J2201" s="364"/>
      <c r="K2201" s="237"/>
    </row>
    <row r="2202" spans="1:11" s="45" customFormat="1">
      <c r="A2202" s="186">
        <v>38194</v>
      </c>
      <c r="B2202" s="109" t="e">
        <f>I2202</f>
        <v>#REF!</v>
      </c>
      <c r="C2202" s="25" t="s">
        <v>12</v>
      </c>
      <c r="D2202" s="187" t="s">
        <v>1960</v>
      </c>
      <c r="E2202" s="188">
        <v>2</v>
      </c>
      <c r="F2202" s="122">
        <f>H2202</f>
        <v>9.2650000000000006</v>
      </c>
      <c r="G2202" s="129">
        <f>ROUND((E2202*F2202),2)</f>
        <v>18.53</v>
      </c>
      <c r="H2202" s="364">
        <v>9.2650000000000006</v>
      </c>
      <c r="I2202" s="45" t="e">
        <f>IF(A2202&lt;&gt;0,VLOOKUP(A2202,#REF!,2,FALSE),"")</f>
        <v>#REF!</v>
      </c>
      <c r="J2202" s="364"/>
      <c r="K2202" s="237"/>
    </row>
    <row r="2203" spans="1:11" s="45" customFormat="1">
      <c r="A2203" s="186">
        <v>12296</v>
      </c>
      <c r="B2203" s="109" t="e">
        <f>I2203</f>
        <v>#REF!</v>
      </c>
      <c r="C2203" s="25" t="s">
        <v>12</v>
      </c>
      <c r="D2203" s="187" t="s">
        <v>1960</v>
      </c>
      <c r="E2203" s="188">
        <v>2</v>
      </c>
      <c r="F2203" s="122">
        <f>H2203</f>
        <v>2.7454999999999998</v>
      </c>
      <c r="G2203" s="129">
        <f>ROUND((E2203*F2203),2)</f>
        <v>5.49</v>
      </c>
      <c r="H2203" s="364">
        <v>2.7454999999999998</v>
      </c>
      <c r="I2203" s="45" t="e">
        <f>IF(A2203&lt;&gt;0,VLOOKUP(A2203,#REF!,2,FALSE),"")</f>
        <v>#REF!</v>
      </c>
      <c r="J2203" s="364"/>
      <c r="K2203" s="237"/>
    </row>
    <row r="2204" spans="1:11" s="45" customFormat="1">
      <c r="A2204" s="186">
        <v>38770</v>
      </c>
      <c r="B2204" s="109" t="e">
        <f>I2204</f>
        <v>#REF!</v>
      </c>
      <c r="C2204" s="25" t="s">
        <v>12</v>
      </c>
      <c r="D2204" s="187" t="s">
        <v>1960</v>
      </c>
      <c r="E2204" s="188">
        <v>1</v>
      </c>
      <c r="F2204" s="122">
        <f>H2204</f>
        <v>37.663499999999999</v>
      </c>
      <c r="G2204" s="123">
        <f>ROUND((E2204*F2204),2)</f>
        <v>37.659999999999997</v>
      </c>
      <c r="H2204" s="364">
        <v>37.663499999999999</v>
      </c>
      <c r="I2204" s="45" t="e">
        <f>IF(A2204&lt;&gt;0,VLOOKUP(A2204,#REF!,2,FALSE),"")</f>
        <v>#REF!</v>
      </c>
      <c r="J2204" s="364"/>
      <c r="K2204" s="237"/>
    </row>
    <row r="2205" spans="1:11" s="45" customFormat="1" ht="30">
      <c r="A2205" s="186">
        <v>88247</v>
      </c>
      <c r="B2205" s="109" t="s">
        <v>510</v>
      </c>
      <c r="C2205" s="25" t="s">
        <v>12</v>
      </c>
      <c r="D2205" s="187" t="s">
        <v>19</v>
      </c>
      <c r="E2205" s="188">
        <v>0.5</v>
      </c>
      <c r="F2205" s="122">
        <f>H2205</f>
        <v>11.9085</v>
      </c>
      <c r="G2205" s="123">
        <f>ROUND((E2205*F2205),2)</f>
        <v>5.95</v>
      </c>
      <c r="H2205" s="364">
        <v>11.9085</v>
      </c>
      <c r="I2205" s="45" t="e">
        <f>IF(A2205&lt;&gt;0,VLOOKUP(A2205,#REF!,2,FALSE),"")</f>
        <v>#REF!</v>
      </c>
      <c r="J2205" s="364"/>
      <c r="K2205" s="237"/>
    </row>
    <row r="2206" spans="1:11" s="45" customFormat="1" ht="30">
      <c r="A2206" s="186">
        <v>88264</v>
      </c>
      <c r="B2206" s="109" t="s">
        <v>379</v>
      </c>
      <c r="C2206" s="25" t="s">
        <v>12</v>
      </c>
      <c r="D2206" s="187" t="s">
        <v>19</v>
      </c>
      <c r="E2206" s="188">
        <v>0.5</v>
      </c>
      <c r="F2206" s="122">
        <f>H2206</f>
        <v>15.249000000000001</v>
      </c>
      <c r="G2206" s="123">
        <f>ROUND((E2206*F2206),2)</f>
        <v>7.62</v>
      </c>
      <c r="H2206" s="364">
        <v>15.249000000000001</v>
      </c>
      <c r="I2206" s="45" t="e">
        <f>IF(A2206&lt;&gt;0,VLOOKUP(A2206,#REF!,2,FALSE),"")</f>
        <v>#REF!</v>
      </c>
      <c r="J2206" s="364"/>
      <c r="K2206" s="237"/>
    </row>
    <row r="2207" spans="1:11" s="45" customFormat="1">
      <c r="A2207" s="956" t="s">
        <v>1894</v>
      </c>
      <c r="B2207" s="957"/>
      <c r="C2207" s="957"/>
      <c r="D2207" s="957"/>
      <c r="E2207" s="957"/>
      <c r="F2207" s="958"/>
      <c r="G2207" s="130">
        <f>ROUND(SUM(G2202:G2206),2)</f>
        <v>75.25</v>
      </c>
      <c r="H2207" s="364"/>
      <c r="I2207" s="168"/>
      <c r="J2207" s="364"/>
      <c r="K2207" s="237"/>
    </row>
    <row r="2208" spans="1:11" ht="28.5" customHeight="1">
      <c r="A2208" s="27"/>
      <c r="B2208" s="27"/>
      <c r="C2208" s="27"/>
      <c r="D2208" s="27"/>
      <c r="E2208" s="27"/>
      <c r="F2208" s="27"/>
      <c r="G2208" s="27"/>
      <c r="K2208" s="237"/>
    </row>
    <row r="2209" spans="1:11" s="45" customFormat="1" ht="15" customHeight="1">
      <c r="A2209" s="953" t="s">
        <v>2024</v>
      </c>
      <c r="B2209" s="954"/>
      <c r="C2209" s="954"/>
      <c r="D2209" s="954"/>
      <c r="E2209" s="955"/>
      <c r="F2209" s="351" t="s">
        <v>44</v>
      </c>
      <c r="G2209" s="118">
        <v>12042</v>
      </c>
      <c r="H2209" s="364"/>
      <c r="I2209" s="166"/>
      <c r="J2209" s="364"/>
      <c r="K2209" s="237"/>
    </row>
    <row r="2210" spans="1:11" s="45" customFormat="1" ht="28.5">
      <c r="A2210" s="77" t="s">
        <v>1917</v>
      </c>
      <c r="B2210" s="347"/>
      <c r="C2210" s="77" t="s">
        <v>3</v>
      </c>
      <c r="D2210" s="77" t="s">
        <v>4</v>
      </c>
      <c r="E2210" s="77" t="s">
        <v>1826</v>
      </c>
      <c r="F2210" s="77" t="s">
        <v>367</v>
      </c>
      <c r="G2210" s="77" t="s">
        <v>368</v>
      </c>
      <c r="H2210" s="364"/>
      <c r="I2210" s="166"/>
      <c r="J2210" s="364"/>
      <c r="K2210" s="237"/>
    </row>
    <row r="2211" spans="1:11" s="45" customFormat="1">
      <c r="A2211" s="119">
        <v>4875</v>
      </c>
      <c r="B2211" s="109" t="s">
        <v>2025</v>
      </c>
      <c r="C2211" s="25" t="s">
        <v>44</v>
      </c>
      <c r="D2211" s="111" t="s">
        <v>17</v>
      </c>
      <c r="E2211" s="192">
        <v>1</v>
      </c>
      <c r="F2211" s="122">
        <f>H2211</f>
        <v>63.894500000000001</v>
      </c>
      <c r="G2211" s="123">
        <f>ROUND((E2211*F2211),2)</f>
        <v>63.89</v>
      </c>
      <c r="H2211" s="364">
        <v>63.894500000000001</v>
      </c>
      <c r="I2211" s="45" t="e">
        <f>IF(A2211&lt;&gt;0,VLOOKUP(A2211,#REF!,2,FALSE),"")</f>
        <v>#REF!</v>
      </c>
      <c r="J2211" s="364"/>
      <c r="K2211" s="237"/>
    </row>
    <row r="2212" spans="1:11" s="45" customFormat="1">
      <c r="A2212" s="119">
        <v>88309</v>
      </c>
      <c r="B2212" s="191" t="e">
        <f>I2212</f>
        <v>#REF!</v>
      </c>
      <c r="C2212" s="25" t="s">
        <v>12</v>
      </c>
      <c r="D2212" s="111" t="s">
        <v>19</v>
      </c>
      <c r="E2212" s="180">
        <v>0.25</v>
      </c>
      <c r="F2212" s="122">
        <f>H2212</f>
        <v>15.121499999999999</v>
      </c>
      <c r="G2212" s="123">
        <f>ROUND((E2212*F2212),2)</f>
        <v>3.78</v>
      </c>
      <c r="H2212" s="364">
        <v>15.121499999999999</v>
      </c>
      <c r="I2212" s="45" t="e">
        <f>IF(A2212&lt;&gt;0,VLOOKUP(A2212,#REF!,2,FALSE),"")</f>
        <v>#REF!</v>
      </c>
      <c r="J2212" s="364"/>
      <c r="K2212" s="237"/>
    </row>
    <row r="2213" spans="1:11" s="45" customFormat="1">
      <c r="A2213" s="1123" t="s">
        <v>1894</v>
      </c>
      <c r="B2213" s="1124"/>
      <c r="C2213" s="1124"/>
      <c r="D2213" s="1124"/>
      <c r="E2213" s="1124"/>
      <c r="F2213" s="1125"/>
      <c r="G2213" s="115">
        <f>ROUND(SUM(G2211:G2212),2)</f>
        <v>67.67</v>
      </c>
      <c r="H2213" s="364"/>
      <c r="I2213" s="166"/>
      <c r="J2213" s="364"/>
      <c r="K2213" s="237"/>
    </row>
    <row r="2214" spans="1:11" ht="24.75" customHeight="1">
      <c r="A2214" s="131"/>
      <c r="B2214" s="132"/>
      <c r="C2214" s="131"/>
      <c r="D2214" s="131"/>
      <c r="E2214" s="131"/>
      <c r="F2214" s="133"/>
      <c r="G2214" s="131"/>
      <c r="I2214" s="29"/>
      <c r="K2214" s="237"/>
    </row>
    <row r="2215" spans="1:11" s="45" customFormat="1" ht="15" customHeight="1">
      <c r="A2215" s="953" t="s">
        <v>2026</v>
      </c>
      <c r="B2215" s="954"/>
      <c r="C2215" s="954"/>
      <c r="D2215" s="954"/>
      <c r="E2215" s="955"/>
      <c r="F2215" s="351" t="s">
        <v>44</v>
      </c>
      <c r="G2215" s="118">
        <v>12043</v>
      </c>
      <c r="H2215" s="364"/>
      <c r="I2215" s="166"/>
      <c r="J2215" s="364"/>
      <c r="K2215" s="237"/>
    </row>
    <row r="2216" spans="1:11" s="45" customFormat="1" ht="28.5">
      <c r="A2216" s="77" t="s">
        <v>1917</v>
      </c>
      <c r="B2216" s="347"/>
      <c r="C2216" s="77" t="s">
        <v>3</v>
      </c>
      <c r="D2216" s="77" t="s">
        <v>4</v>
      </c>
      <c r="E2216" s="77" t="s">
        <v>1826</v>
      </c>
      <c r="F2216" s="77" t="s">
        <v>367</v>
      </c>
      <c r="G2216" s="77" t="s">
        <v>368</v>
      </c>
      <c r="H2216" s="364"/>
      <c r="I2216" s="166"/>
      <c r="J2216" s="364"/>
      <c r="K2216" s="237"/>
    </row>
    <row r="2217" spans="1:11" s="45" customFormat="1" ht="30">
      <c r="A2217" s="119">
        <v>10853</v>
      </c>
      <c r="B2217" s="109" t="s">
        <v>628</v>
      </c>
      <c r="C2217" s="25" t="s">
        <v>12</v>
      </c>
      <c r="D2217" s="111" t="s">
        <v>17</v>
      </c>
      <c r="E2217" s="192">
        <v>1</v>
      </c>
      <c r="F2217" s="122">
        <f>H2217</f>
        <v>54.280999999999999</v>
      </c>
      <c r="G2217" s="123">
        <f>ROUND((E2217*F2217),2)</f>
        <v>54.28</v>
      </c>
      <c r="H2217" s="364">
        <v>54.280999999999999</v>
      </c>
      <c r="I2217" s="45" t="e">
        <f>IF(A2217&lt;&gt;0,VLOOKUP(A2217,#REF!,2,FALSE),"")</f>
        <v>#REF!</v>
      </c>
      <c r="J2217" s="364"/>
      <c r="K2217" s="237"/>
    </row>
    <row r="2218" spans="1:11" s="45" customFormat="1">
      <c r="A2218" s="119">
        <v>88309</v>
      </c>
      <c r="B2218" s="191" t="e">
        <f>I2218</f>
        <v>#REF!</v>
      </c>
      <c r="C2218" s="25" t="s">
        <v>12</v>
      </c>
      <c r="D2218" s="111" t="s">
        <v>19</v>
      </c>
      <c r="E2218" s="180">
        <v>0.25</v>
      </c>
      <c r="F2218" s="122">
        <f>H2218</f>
        <v>15.121499999999999</v>
      </c>
      <c r="G2218" s="123">
        <f>ROUND((E2218*F2218),2)</f>
        <v>3.78</v>
      </c>
      <c r="H2218" s="364">
        <v>15.121499999999999</v>
      </c>
      <c r="I2218" s="45" t="e">
        <f>IF(A2218&lt;&gt;0,VLOOKUP(A2218,#REF!,2,FALSE),"")</f>
        <v>#REF!</v>
      </c>
      <c r="J2218" s="364"/>
      <c r="K2218" s="237"/>
    </row>
    <row r="2219" spans="1:11" s="45" customFormat="1">
      <c r="A2219" s="956" t="s">
        <v>1894</v>
      </c>
      <c r="B2219" s="957"/>
      <c r="C2219" s="957"/>
      <c r="D2219" s="957"/>
      <c r="E2219" s="957"/>
      <c r="F2219" s="958"/>
      <c r="G2219" s="115">
        <f>ROUND(SUM(G2217:G2218),2)</f>
        <v>58.06</v>
      </c>
      <c r="H2219" s="364"/>
      <c r="I2219" s="166"/>
      <c r="J2219" s="364"/>
      <c r="K2219" s="237"/>
    </row>
    <row r="2220" spans="1:11" ht="24" customHeight="1">
      <c r="A2220" s="27"/>
      <c r="B2220" s="27"/>
      <c r="C2220" s="27"/>
      <c r="D2220" s="27"/>
      <c r="E2220" s="27"/>
      <c r="F2220" s="27"/>
      <c r="G2220" s="27"/>
      <c r="K2220" s="237"/>
    </row>
    <row r="2221" spans="1:11" s="45" customFormat="1" ht="28.5" customHeight="1">
      <c r="A2221" s="953" t="s">
        <v>2019</v>
      </c>
      <c r="B2221" s="954"/>
      <c r="C2221" s="954"/>
      <c r="D2221" s="954"/>
      <c r="E2221" s="955"/>
      <c r="F2221" s="351" t="s">
        <v>1915</v>
      </c>
      <c r="G2221" s="118" t="s">
        <v>2495</v>
      </c>
      <c r="H2221" s="364"/>
      <c r="I2221" s="166"/>
      <c r="J2221" s="364"/>
      <c r="K2221" s="237"/>
    </row>
    <row r="2222" spans="1:11" s="45" customFormat="1" ht="28.5">
      <c r="A2222" s="77" t="s">
        <v>1917</v>
      </c>
      <c r="B2222" s="347"/>
      <c r="C2222" s="77" t="s">
        <v>3</v>
      </c>
      <c r="D2222" s="77" t="s">
        <v>4</v>
      </c>
      <c r="E2222" s="77" t="s">
        <v>1826</v>
      </c>
      <c r="F2222" s="77" t="s">
        <v>367</v>
      </c>
      <c r="G2222" s="77" t="s">
        <v>368</v>
      </c>
      <c r="H2222" s="364"/>
      <c r="I2222" s="166"/>
      <c r="J2222" s="364"/>
      <c r="K2222" s="237"/>
    </row>
    <row r="2223" spans="1:11" s="45" customFormat="1" ht="45">
      <c r="A2223" s="110" t="s">
        <v>2016</v>
      </c>
      <c r="B2223" s="183" t="s">
        <v>2020</v>
      </c>
      <c r="C2223" s="25" t="s">
        <v>1920</v>
      </c>
      <c r="D2223" s="126" t="s">
        <v>238</v>
      </c>
      <c r="E2223" s="134">
        <v>1</v>
      </c>
      <c r="F2223" s="177">
        <f t="shared" ref="F2223:F2228" si="740">H2223</f>
        <v>2232.27</v>
      </c>
      <c r="G2223" s="129">
        <f t="shared" ref="G2223:G2228" si="741">ROUND((E2223*F2223),2)</f>
        <v>2232.27</v>
      </c>
      <c r="H2223" s="364">
        <v>2232.27</v>
      </c>
      <c r="I2223" s="166"/>
      <c r="J2223" s="364"/>
      <c r="K2223" s="237"/>
    </row>
    <row r="2224" spans="1:11" s="45" customFormat="1" ht="45">
      <c r="A2224" s="110" t="s">
        <v>2017</v>
      </c>
      <c r="B2224" s="183" t="s">
        <v>2020</v>
      </c>
      <c r="C2224" s="25" t="s">
        <v>1920</v>
      </c>
      <c r="D2224" s="126" t="s">
        <v>238</v>
      </c>
      <c r="E2224" s="134">
        <v>1</v>
      </c>
      <c r="F2224" s="177">
        <f t="shared" si="740"/>
        <v>2431.9775</v>
      </c>
      <c r="G2224" s="129">
        <f t="shared" si="741"/>
        <v>2431.98</v>
      </c>
      <c r="H2224" s="364">
        <v>2431.9775</v>
      </c>
      <c r="I2224" s="166"/>
      <c r="J2224" s="364"/>
      <c r="K2224" s="237"/>
    </row>
    <row r="2225" spans="1:11" s="45" customFormat="1" ht="45">
      <c r="A2225" s="110" t="s">
        <v>2018</v>
      </c>
      <c r="B2225" s="183" t="s">
        <v>2020</v>
      </c>
      <c r="C2225" s="25" t="s">
        <v>1920</v>
      </c>
      <c r="D2225" s="126" t="s">
        <v>238</v>
      </c>
      <c r="E2225" s="134">
        <v>1</v>
      </c>
      <c r="F2225" s="177">
        <f t="shared" si="740"/>
        <v>2480.3000000000002</v>
      </c>
      <c r="G2225" s="129">
        <f t="shared" si="741"/>
        <v>2480.3000000000002</v>
      </c>
      <c r="H2225" s="364">
        <v>2480.3000000000002</v>
      </c>
      <c r="I2225" s="166"/>
      <c r="J2225" s="364"/>
      <c r="K2225" s="237"/>
    </row>
    <row r="2226" spans="1:11" s="45" customFormat="1">
      <c r="A2226" s="110" t="s">
        <v>2016</v>
      </c>
      <c r="B2226" s="193" t="s">
        <v>2021</v>
      </c>
      <c r="C2226" s="25" t="s">
        <v>1920</v>
      </c>
      <c r="D2226" s="126" t="s">
        <v>238</v>
      </c>
      <c r="E2226" s="134">
        <v>1</v>
      </c>
      <c r="F2226" s="177">
        <f t="shared" si="740"/>
        <v>689.82600000000002</v>
      </c>
      <c r="G2226" s="129">
        <f t="shared" si="741"/>
        <v>689.83</v>
      </c>
      <c r="H2226" s="364">
        <v>689.82600000000002</v>
      </c>
      <c r="I2226" s="166"/>
      <c r="J2226" s="364"/>
      <c r="K2226" s="237"/>
    </row>
    <row r="2227" spans="1:11" s="45" customFormat="1">
      <c r="A2227" s="110" t="s">
        <v>2017</v>
      </c>
      <c r="B2227" s="193" t="s">
        <v>2021</v>
      </c>
      <c r="C2227" s="25" t="s">
        <v>1920</v>
      </c>
      <c r="D2227" s="126" t="s">
        <v>238</v>
      </c>
      <c r="E2227" s="134">
        <v>1</v>
      </c>
      <c r="F2227" s="177">
        <f t="shared" si="740"/>
        <v>594.91499999999996</v>
      </c>
      <c r="G2227" s="129">
        <f t="shared" si="741"/>
        <v>594.91999999999996</v>
      </c>
      <c r="H2227" s="364">
        <v>594.91499999999996</v>
      </c>
      <c r="I2227" s="166"/>
      <c r="J2227" s="364"/>
      <c r="K2227" s="237"/>
    </row>
    <row r="2228" spans="1:11" s="45" customFormat="1">
      <c r="A2228" s="186">
        <v>88264</v>
      </c>
      <c r="B2228" s="176" t="s">
        <v>379</v>
      </c>
      <c r="C2228" s="25" t="s">
        <v>12</v>
      </c>
      <c r="D2228" s="126" t="s">
        <v>19</v>
      </c>
      <c r="E2228" s="134">
        <v>1</v>
      </c>
      <c r="F2228" s="122">
        <f t="shared" si="740"/>
        <v>15.249000000000001</v>
      </c>
      <c r="G2228" s="123">
        <f t="shared" si="741"/>
        <v>15.25</v>
      </c>
      <c r="H2228" s="364">
        <v>15.249000000000001</v>
      </c>
      <c r="I2228" s="45" t="e">
        <f>IF(A2228&lt;&gt;0,VLOOKUP(A2228,#REF!,2,FALSE),"")</f>
        <v>#REF!</v>
      </c>
      <c r="J2228" s="364"/>
      <c r="K2228" s="237"/>
    </row>
    <row r="2229" spans="1:11" s="45" customFormat="1">
      <c r="A2229" s="956" t="s">
        <v>1894</v>
      </c>
      <c r="B2229" s="957"/>
      <c r="C2229" s="957"/>
      <c r="D2229" s="957"/>
      <c r="E2229" s="957"/>
      <c r="F2229" s="958"/>
      <c r="G2229" s="130">
        <f>ROUND(G2228+AVERAGE(G2223:G2225)+AVERAGE(G2226:G2227),2)</f>
        <v>3039.14</v>
      </c>
      <c r="H2229" s="364"/>
      <c r="I2229" s="166"/>
      <c r="J2229" s="364"/>
      <c r="K2229" s="237"/>
    </row>
    <row r="2230" spans="1:11" ht="25.5" customHeight="1">
      <c r="A2230" s="27"/>
      <c r="B2230" s="27"/>
      <c r="C2230" s="27"/>
      <c r="D2230" s="27"/>
      <c r="E2230" s="27"/>
      <c r="F2230" s="27"/>
      <c r="G2230" s="27"/>
      <c r="K2230" s="237"/>
    </row>
    <row r="2231" spans="1:11" s="45" customFormat="1" ht="25.5" customHeight="1">
      <c r="A2231" s="1126" t="s">
        <v>1957</v>
      </c>
      <c r="B2231" s="1126"/>
      <c r="C2231" s="1126"/>
      <c r="D2231" s="1126"/>
      <c r="E2231" s="1126"/>
      <c r="F2231" s="351" t="s">
        <v>1915</v>
      </c>
      <c r="G2231" s="175" t="s">
        <v>2447</v>
      </c>
      <c r="H2231" s="364"/>
      <c r="I2231" s="166"/>
      <c r="J2231" s="364"/>
      <c r="K2231" s="237"/>
    </row>
    <row r="2232" spans="1:11" s="45" customFormat="1" ht="28.5">
      <c r="A2232" s="77" t="s">
        <v>1917</v>
      </c>
      <c r="B2232" s="347"/>
      <c r="C2232" s="77" t="s">
        <v>3</v>
      </c>
      <c r="D2232" s="77" t="s">
        <v>4</v>
      </c>
      <c r="E2232" s="77" t="s">
        <v>1826</v>
      </c>
      <c r="F2232" s="77" t="s">
        <v>367</v>
      </c>
      <c r="G2232" s="77" t="s">
        <v>368</v>
      </c>
      <c r="H2232" s="364"/>
      <c r="I2232" s="166"/>
      <c r="J2232" s="364"/>
      <c r="K2232" s="237"/>
    </row>
    <row r="2233" spans="1:11" s="45" customFormat="1" ht="30">
      <c r="A2233" s="100">
        <v>38091</v>
      </c>
      <c r="B2233" s="183" t="s">
        <v>1958</v>
      </c>
      <c r="C2233" s="25" t="s">
        <v>12</v>
      </c>
      <c r="D2233" s="126" t="s">
        <v>238</v>
      </c>
      <c r="E2233" s="127">
        <v>1</v>
      </c>
      <c r="F2233" s="128">
        <f>H2233</f>
        <v>2.0145</v>
      </c>
      <c r="G2233" s="123">
        <f>ROUND((E2233*F2233),2)</f>
        <v>2.0099999999999998</v>
      </c>
      <c r="H2233" s="364">
        <v>2.0145</v>
      </c>
      <c r="I2233" s="45" t="e">
        <f>IF(A2233&lt;&gt;0,VLOOKUP(A2233,#REF!,2,FALSE),"")</f>
        <v>#REF!</v>
      </c>
      <c r="J2233" s="364"/>
      <c r="K2233" s="237"/>
    </row>
    <row r="2234" spans="1:11" s="45" customFormat="1" ht="30">
      <c r="A2234" s="100">
        <v>1872</v>
      </c>
      <c r="B2234" s="183" t="s">
        <v>1940</v>
      </c>
      <c r="C2234" s="25" t="s">
        <v>12</v>
      </c>
      <c r="D2234" s="126" t="s">
        <v>238</v>
      </c>
      <c r="E2234" s="127">
        <v>1</v>
      </c>
      <c r="F2234" s="128">
        <f>H2234</f>
        <v>1.7510000000000001</v>
      </c>
      <c r="G2234" s="123">
        <f>ROUND((E2234*F2234),2)</f>
        <v>1.75</v>
      </c>
      <c r="H2234" s="364">
        <v>1.7510000000000001</v>
      </c>
      <c r="I2234" s="45" t="e">
        <f>IF(A2234&lt;&gt;0,VLOOKUP(A2234,#REF!,2,FALSE),"")</f>
        <v>#REF!</v>
      </c>
      <c r="J2234" s="364"/>
      <c r="K2234" s="237"/>
    </row>
    <row r="2235" spans="1:11" s="45" customFormat="1" ht="30">
      <c r="A2235" s="100">
        <v>10243</v>
      </c>
      <c r="B2235" s="183" t="s">
        <v>1959</v>
      </c>
      <c r="C2235" s="25" t="s">
        <v>44</v>
      </c>
      <c r="D2235" s="126" t="s">
        <v>238</v>
      </c>
      <c r="E2235" s="127">
        <v>1</v>
      </c>
      <c r="F2235" s="128">
        <f>H2235</f>
        <v>12.75</v>
      </c>
      <c r="G2235" s="123">
        <f>ROUND((E2235*F2235),2)</f>
        <v>12.75</v>
      </c>
      <c r="H2235" s="364">
        <v>12.75</v>
      </c>
      <c r="I2235" s="45" t="e">
        <f>IF(A2235&lt;&gt;0,VLOOKUP(A2235,#REF!,2,FALSE),"")</f>
        <v>#REF!</v>
      </c>
      <c r="J2235" s="364"/>
      <c r="K2235" s="237"/>
    </row>
    <row r="2236" spans="1:11" s="45" customFormat="1" ht="30">
      <c r="A2236" s="100">
        <v>88316</v>
      </c>
      <c r="B2236" s="183" t="s">
        <v>377</v>
      </c>
      <c r="C2236" s="25" t="s">
        <v>12</v>
      </c>
      <c r="D2236" s="126" t="s">
        <v>19</v>
      </c>
      <c r="E2236" s="127">
        <v>0.7</v>
      </c>
      <c r="F2236" s="122">
        <f>H2236</f>
        <v>11.798000000000002</v>
      </c>
      <c r="G2236" s="123">
        <f>ROUND((E2236*F2236),2)</f>
        <v>8.26</v>
      </c>
      <c r="H2236" s="364">
        <v>11.798000000000002</v>
      </c>
      <c r="I2236" s="45" t="e">
        <f>IF(A2236&lt;&gt;0,VLOOKUP(A2236,#REF!,2,FALSE),"")</f>
        <v>#REF!</v>
      </c>
      <c r="J2236" s="364"/>
      <c r="K2236" s="237"/>
    </row>
    <row r="2237" spans="1:11" s="45" customFormat="1">
      <c r="A2237" s="100">
        <v>88264</v>
      </c>
      <c r="B2237" s="183" t="e">
        <f>I2237</f>
        <v>#REF!</v>
      </c>
      <c r="C2237" s="25" t="s">
        <v>12</v>
      </c>
      <c r="D2237" s="126" t="s">
        <v>19</v>
      </c>
      <c r="E2237" s="127">
        <v>0.7</v>
      </c>
      <c r="F2237" s="122">
        <f>H2237</f>
        <v>15.249000000000001</v>
      </c>
      <c r="G2237" s="123">
        <f>ROUND((E2237*F2237),2)</f>
        <v>10.67</v>
      </c>
      <c r="H2237" s="364">
        <v>15.249000000000001</v>
      </c>
      <c r="I2237" s="45" t="e">
        <f>IF(A2237&lt;&gt;0,VLOOKUP(A2237,#REF!,2,FALSE),"")</f>
        <v>#REF!</v>
      </c>
      <c r="J2237" s="364"/>
      <c r="K2237" s="237"/>
    </row>
    <row r="2238" spans="1:11" s="45" customFormat="1">
      <c r="A2238" s="956" t="s">
        <v>1894</v>
      </c>
      <c r="B2238" s="957"/>
      <c r="C2238" s="957"/>
      <c r="D2238" s="957"/>
      <c r="E2238" s="957"/>
      <c r="F2238" s="958"/>
      <c r="G2238" s="115">
        <f>ROUND(SUM(G2233:G2237),2)</f>
        <v>35.44</v>
      </c>
      <c r="H2238" s="364"/>
      <c r="I2238" s="166"/>
      <c r="J2238" s="364"/>
      <c r="K2238" s="237"/>
    </row>
    <row r="2239" spans="1:11" ht="22.5" customHeight="1">
      <c r="A2239" s="27"/>
      <c r="B2239" s="27"/>
      <c r="C2239" s="27"/>
      <c r="D2239" s="27"/>
      <c r="E2239" s="27"/>
      <c r="F2239" s="27"/>
      <c r="G2239" s="27"/>
      <c r="K2239" s="237"/>
    </row>
    <row r="2240" spans="1:11" s="45" customFormat="1">
      <c r="A2240" s="1126" t="s">
        <v>2022</v>
      </c>
      <c r="B2240" s="1126"/>
      <c r="C2240" s="1126"/>
      <c r="D2240" s="1126"/>
      <c r="E2240" s="1126"/>
      <c r="F2240" s="351" t="s">
        <v>44</v>
      </c>
      <c r="G2240" s="118">
        <v>11173</v>
      </c>
      <c r="H2240" s="364"/>
      <c r="I2240" s="166"/>
      <c r="J2240" s="364"/>
      <c r="K2240" s="237"/>
    </row>
    <row r="2241" spans="1:11" s="45" customFormat="1" ht="28.5">
      <c r="A2241" s="983" t="s">
        <v>1916</v>
      </c>
      <c r="B2241" s="983"/>
      <c r="C2241" s="350" t="s">
        <v>1917</v>
      </c>
      <c r="D2241" s="350" t="s">
        <v>1893</v>
      </c>
      <c r="E2241" s="194" t="s">
        <v>1918</v>
      </c>
      <c r="F2241" s="195" t="s">
        <v>372</v>
      </c>
      <c r="G2241" s="195" t="s">
        <v>1894</v>
      </c>
      <c r="H2241" s="364"/>
      <c r="I2241" s="166"/>
      <c r="J2241" s="364"/>
      <c r="K2241" s="237"/>
    </row>
    <row r="2242" spans="1:11" s="45" customFormat="1">
      <c r="A2242" s="100">
        <v>7123</v>
      </c>
      <c r="B2242" s="196" t="s">
        <v>2023</v>
      </c>
      <c r="C2242" s="25" t="s">
        <v>44</v>
      </c>
      <c r="D2242" s="126" t="s">
        <v>17</v>
      </c>
      <c r="E2242" s="127">
        <v>1</v>
      </c>
      <c r="F2242" s="122">
        <f>H2242</f>
        <v>2118.9225000000001</v>
      </c>
      <c r="G2242" s="137">
        <f>ROUND(E2242*F2242,2)</f>
        <v>2118.92</v>
      </c>
      <c r="H2242" s="364">
        <v>2118.9225000000001</v>
      </c>
      <c r="I2242" s="45" t="e">
        <f>IF(A2242&lt;&gt;0,VLOOKUP(A2242,#REF!,2,FALSE),"")</f>
        <v>#REF!</v>
      </c>
      <c r="J2242" s="364"/>
      <c r="K2242" s="237"/>
    </row>
    <row r="2243" spans="1:11" s="45" customFormat="1" ht="30">
      <c r="A2243" s="100">
        <v>88264</v>
      </c>
      <c r="B2243" s="196" t="s">
        <v>379</v>
      </c>
      <c r="C2243" s="25" t="s">
        <v>12</v>
      </c>
      <c r="D2243" s="126" t="s">
        <v>19</v>
      </c>
      <c r="E2243" s="127">
        <v>1</v>
      </c>
      <c r="F2243" s="122">
        <f>H2243</f>
        <v>15.249000000000001</v>
      </c>
      <c r="G2243" s="137">
        <f>ROUND(E2243*F2243,2)</f>
        <v>15.25</v>
      </c>
      <c r="H2243" s="364">
        <v>15.249000000000001</v>
      </c>
      <c r="I2243" s="45" t="e">
        <f>IF(A2243&lt;&gt;0,VLOOKUP(A2243,#REF!,2,FALSE),"")</f>
        <v>#REF!</v>
      </c>
      <c r="J2243" s="364"/>
      <c r="K2243" s="237"/>
    </row>
    <row r="2244" spans="1:11" s="45" customFormat="1" ht="30">
      <c r="A2244" s="100">
        <v>88267</v>
      </c>
      <c r="B2244" s="196" t="s">
        <v>472</v>
      </c>
      <c r="C2244" s="25" t="s">
        <v>12</v>
      </c>
      <c r="D2244" s="126" t="s">
        <v>19</v>
      </c>
      <c r="E2244" s="127">
        <v>1</v>
      </c>
      <c r="F2244" s="122">
        <f>H2244</f>
        <v>14.7135</v>
      </c>
      <c r="G2244" s="137">
        <f>ROUND(E2244*F2244,2)</f>
        <v>14.71</v>
      </c>
      <c r="H2244" s="364">
        <v>14.7135</v>
      </c>
      <c r="I2244" s="45" t="e">
        <f>IF(A2244&lt;&gt;0,VLOOKUP(A2244,#REF!,2,FALSE),"")</f>
        <v>#REF!</v>
      </c>
      <c r="J2244" s="364"/>
      <c r="K2244" s="237"/>
    </row>
    <row r="2245" spans="1:11" s="45" customFormat="1" ht="30">
      <c r="A2245" s="100">
        <v>88316</v>
      </c>
      <c r="B2245" s="196" t="s">
        <v>377</v>
      </c>
      <c r="C2245" s="25" t="s">
        <v>12</v>
      </c>
      <c r="D2245" s="126" t="s">
        <v>19</v>
      </c>
      <c r="E2245" s="127">
        <v>2</v>
      </c>
      <c r="F2245" s="122">
        <f>H2245</f>
        <v>11.798000000000002</v>
      </c>
      <c r="G2245" s="137">
        <f>ROUND(E2245*F2245,2)</f>
        <v>23.6</v>
      </c>
      <c r="H2245" s="364">
        <v>11.798000000000002</v>
      </c>
      <c r="I2245" s="45" t="e">
        <f>IF(A2245&lt;&gt;0,VLOOKUP(A2245,#REF!,2,FALSE),"")</f>
        <v>#REF!</v>
      </c>
      <c r="J2245" s="364"/>
      <c r="K2245" s="237"/>
    </row>
    <row r="2246" spans="1:11" s="45" customFormat="1">
      <c r="A2246" s="956" t="s">
        <v>1894</v>
      </c>
      <c r="B2246" s="957"/>
      <c r="C2246" s="957"/>
      <c r="D2246" s="957"/>
      <c r="E2246" s="957"/>
      <c r="F2246" s="958"/>
      <c r="G2246" s="115">
        <f>ROUND(SUM(G2242:G2245),2)</f>
        <v>2172.48</v>
      </c>
      <c r="H2246" s="364"/>
      <c r="I2246" s="166"/>
      <c r="J2246" s="364"/>
      <c r="K2246" s="237"/>
    </row>
    <row r="2247" spans="1:11" ht="24.75" customHeight="1">
      <c r="A2247" s="27"/>
      <c r="B2247" s="27"/>
      <c r="C2247" s="27"/>
      <c r="D2247" s="27"/>
      <c r="E2247" s="27"/>
      <c r="F2247" s="27"/>
      <c r="G2247" s="27"/>
      <c r="K2247" s="237"/>
    </row>
    <row r="2248" spans="1:11" s="45" customFormat="1">
      <c r="A2248" s="953" t="s">
        <v>2037</v>
      </c>
      <c r="B2248" s="954"/>
      <c r="C2248" s="954"/>
      <c r="D2248" s="954"/>
      <c r="E2248" s="954"/>
      <c r="F2248" s="351" t="s">
        <v>44</v>
      </c>
      <c r="G2248" s="118">
        <v>9218</v>
      </c>
      <c r="H2248" s="364"/>
      <c r="J2248" s="364"/>
      <c r="K2248" s="237"/>
    </row>
    <row r="2249" spans="1:11" s="45" customFormat="1" ht="28.5">
      <c r="A2249" s="983" t="s">
        <v>1916</v>
      </c>
      <c r="B2249" s="983"/>
      <c r="C2249" s="197" t="s">
        <v>1917</v>
      </c>
      <c r="D2249" s="197" t="s">
        <v>1893</v>
      </c>
      <c r="E2249" s="198" t="s">
        <v>1918</v>
      </c>
      <c r="F2249" s="199" t="s">
        <v>372</v>
      </c>
      <c r="G2249" s="200" t="s">
        <v>1894</v>
      </c>
      <c r="H2249" s="364"/>
      <c r="J2249" s="364"/>
      <c r="K2249" s="237"/>
    </row>
    <row r="2250" spans="1:11" s="45" customFormat="1">
      <c r="A2250" s="120">
        <v>9218</v>
      </c>
      <c r="B2250" s="109" t="s">
        <v>2037</v>
      </c>
      <c r="C2250" s="25" t="s">
        <v>44</v>
      </c>
      <c r="D2250" s="111" t="s">
        <v>17</v>
      </c>
      <c r="E2250" s="112">
        <v>1</v>
      </c>
      <c r="F2250" s="122">
        <f>H2250</f>
        <v>1893.8765000000001</v>
      </c>
      <c r="G2250" s="123">
        <f>ROUND((E2250*F2250),2)</f>
        <v>1893.88</v>
      </c>
      <c r="H2250" s="364">
        <v>1893.8765000000001</v>
      </c>
      <c r="I2250" s="45" t="e">
        <f>IF(A2250&lt;&gt;0,VLOOKUP(A2250,#REF!,2,FALSE),"")</f>
        <v>#REF!</v>
      </c>
      <c r="J2250" s="364"/>
      <c r="K2250" s="237"/>
    </row>
    <row r="2251" spans="1:11" s="45" customFormat="1">
      <c r="A2251" s="1116" t="s">
        <v>1894</v>
      </c>
      <c r="B2251" s="1117"/>
      <c r="C2251" s="1117"/>
      <c r="D2251" s="1117"/>
      <c r="E2251" s="1117"/>
      <c r="F2251" s="1118"/>
      <c r="G2251" s="115">
        <f>ROUND(SUM(G2250:G2250),2)</f>
        <v>1893.88</v>
      </c>
      <c r="H2251" s="364"/>
      <c r="J2251" s="364"/>
      <c r="K2251" s="237"/>
    </row>
    <row r="2252" spans="1:11" ht="24.75" customHeight="1">
      <c r="A2252" s="27"/>
      <c r="B2252" s="27"/>
      <c r="C2252" s="27"/>
      <c r="D2252" s="27"/>
      <c r="E2252" s="27"/>
      <c r="F2252" s="27"/>
      <c r="G2252" s="27"/>
      <c r="K2252" s="237"/>
    </row>
    <row r="2253" spans="1:11" s="45" customFormat="1">
      <c r="A2253" s="953" t="s">
        <v>2523</v>
      </c>
      <c r="B2253" s="954"/>
      <c r="C2253" s="954"/>
      <c r="D2253" s="954"/>
      <c r="E2253" s="954"/>
      <c r="F2253" s="351" t="s">
        <v>44</v>
      </c>
      <c r="G2253" s="118">
        <v>11509</v>
      </c>
      <c r="H2253" s="364"/>
      <c r="J2253" s="364"/>
      <c r="K2253" s="237"/>
    </row>
    <row r="2254" spans="1:11" s="45" customFormat="1" ht="28.5">
      <c r="A2254" s="983" t="s">
        <v>1916</v>
      </c>
      <c r="B2254" s="983"/>
      <c r="C2254" s="197" t="s">
        <v>1917</v>
      </c>
      <c r="D2254" s="197" t="s">
        <v>1893</v>
      </c>
      <c r="E2254" s="198" t="s">
        <v>1918</v>
      </c>
      <c r="F2254" s="199" t="s">
        <v>372</v>
      </c>
      <c r="G2254" s="200" t="s">
        <v>1894</v>
      </c>
      <c r="H2254" s="364"/>
      <c r="J2254" s="364"/>
      <c r="K2254" s="237"/>
    </row>
    <row r="2255" spans="1:11" s="45" customFormat="1">
      <c r="A2255" s="120">
        <v>8151</v>
      </c>
      <c r="B2255" s="109" t="s">
        <v>2524</v>
      </c>
      <c r="C2255" s="25" t="s">
        <v>44</v>
      </c>
      <c r="D2255" s="111" t="s">
        <v>45</v>
      </c>
      <c r="E2255" s="112">
        <v>1.05</v>
      </c>
      <c r="F2255" s="111">
        <f>H2255</f>
        <v>35.853000000000002</v>
      </c>
      <c r="G2255" s="123">
        <f>ROUND((E2255*F2255),2)</f>
        <v>37.65</v>
      </c>
      <c r="H2255" s="364">
        <v>35.853000000000002</v>
      </c>
      <c r="I2255" s="45" t="e">
        <f>IF(A2255&lt;&gt;0,VLOOKUP(A2255,#REF!,2,FALSE),"")</f>
        <v>#REF!</v>
      </c>
      <c r="J2255" s="364"/>
      <c r="K2255" s="237"/>
    </row>
    <row r="2256" spans="1:11" s="45" customFormat="1" ht="30">
      <c r="A2256" s="24">
        <v>100308</v>
      </c>
      <c r="B2256" s="78" t="s">
        <v>607</v>
      </c>
      <c r="C2256" s="25" t="s">
        <v>12</v>
      </c>
      <c r="D2256" s="25" t="s">
        <v>19</v>
      </c>
      <c r="E2256" s="25">
        <v>0.25</v>
      </c>
      <c r="F2256" s="25">
        <f t="shared" ref="F2256" si="742">H2256</f>
        <v>15.070500000000001</v>
      </c>
      <c r="G2256" s="123">
        <f>ROUND((E2256*F2256),2)</f>
        <v>3.77</v>
      </c>
      <c r="H2256" s="364">
        <v>15.070500000000001</v>
      </c>
      <c r="I2256" s="45" t="e">
        <f>IF(A2256&lt;&gt;0,VLOOKUP(A2256,#REF!,2,FALSE),"")</f>
        <v>#REF!</v>
      </c>
      <c r="J2256" s="364"/>
      <c r="K2256" s="237"/>
    </row>
    <row r="2257" spans="1:11" s="45" customFormat="1">
      <c r="A2257" s="1116" t="s">
        <v>1894</v>
      </c>
      <c r="B2257" s="1117"/>
      <c r="C2257" s="1117"/>
      <c r="D2257" s="1117"/>
      <c r="E2257" s="1117"/>
      <c r="F2257" s="1118"/>
      <c r="G2257" s="115">
        <f>ROUND(SUM(G2255:G2256),2)</f>
        <v>41.42</v>
      </c>
      <c r="H2257" s="364"/>
      <c r="J2257" s="364"/>
      <c r="K2257" s="237"/>
    </row>
    <row r="2258" spans="1:11">
      <c r="A2258" s="27"/>
      <c r="B2258" s="27"/>
      <c r="C2258" s="27"/>
      <c r="D2258" s="27"/>
      <c r="E2258" s="27"/>
      <c r="F2258" s="27"/>
      <c r="G2258" s="27"/>
      <c r="K2258" s="237"/>
    </row>
    <row r="2259" spans="1:11">
      <c r="A2259" s="27"/>
      <c r="B2259" s="27"/>
      <c r="C2259" s="27"/>
      <c r="D2259" s="27"/>
      <c r="E2259" s="27"/>
      <c r="F2259" s="27"/>
      <c r="G2259" s="27"/>
      <c r="K2259" s="237"/>
    </row>
    <row r="2260" spans="1:11" s="45" customFormat="1" ht="30.75" customHeight="1">
      <c r="A2260" s="953" t="s">
        <v>2541</v>
      </c>
      <c r="B2260" s="954"/>
      <c r="C2260" s="954"/>
      <c r="D2260" s="954"/>
      <c r="E2260" s="955"/>
      <c r="F2260" s="351" t="s">
        <v>1915</v>
      </c>
      <c r="G2260" s="118" t="s">
        <v>2539</v>
      </c>
      <c r="H2260" s="364"/>
      <c r="I2260" s="166"/>
      <c r="J2260" s="364"/>
      <c r="K2260" s="237"/>
    </row>
    <row r="2261" spans="1:11" s="45" customFormat="1" ht="28.5">
      <c r="A2261" s="77" t="s">
        <v>1917</v>
      </c>
      <c r="B2261" s="347"/>
      <c r="C2261" s="77" t="s">
        <v>3</v>
      </c>
      <c r="D2261" s="77" t="s">
        <v>4</v>
      </c>
      <c r="E2261" s="77" t="s">
        <v>1826</v>
      </c>
      <c r="F2261" s="77" t="s">
        <v>367</v>
      </c>
      <c r="G2261" s="77" t="s">
        <v>368</v>
      </c>
      <c r="H2261" s="364"/>
      <c r="I2261" s="166"/>
      <c r="J2261" s="364"/>
      <c r="K2261" s="237"/>
    </row>
    <row r="2262" spans="1:11" s="45" customFormat="1" ht="30">
      <c r="A2262" s="100" t="s">
        <v>1920</v>
      </c>
      <c r="B2262" s="109" t="s">
        <v>2542</v>
      </c>
      <c r="C2262" s="25" t="s">
        <v>2015</v>
      </c>
      <c r="D2262" s="126" t="s">
        <v>238</v>
      </c>
      <c r="E2262" s="178">
        <v>1</v>
      </c>
      <c r="F2262" s="122">
        <f>H2262</f>
        <v>1945.7775000000001</v>
      </c>
      <c r="G2262" s="177">
        <f>ROUND((E2262*F2262),2)</f>
        <v>1945.78</v>
      </c>
      <c r="H2262" s="364">
        <v>1945.7775000000001</v>
      </c>
      <c r="I2262" s="166"/>
      <c r="J2262" s="364"/>
      <c r="K2262" s="237"/>
    </row>
    <row r="2263" spans="1:11" s="45" customFormat="1" ht="30">
      <c r="A2263" s="100">
        <v>88247</v>
      </c>
      <c r="B2263" s="109" t="s">
        <v>510</v>
      </c>
      <c r="C2263" s="25" t="s">
        <v>12</v>
      </c>
      <c r="D2263" s="126" t="s">
        <v>19</v>
      </c>
      <c r="E2263" s="178">
        <v>0.3</v>
      </c>
      <c r="F2263" s="122">
        <f>H2263</f>
        <v>11.9085</v>
      </c>
      <c r="G2263" s="123">
        <f>ROUND((E2263*F2263),2)</f>
        <v>3.57</v>
      </c>
      <c r="H2263" s="364">
        <v>11.9085</v>
      </c>
      <c r="I2263" s="45" t="e">
        <f>IF(A2263&lt;&gt;0,VLOOKUP(A2263,#REF!,2,FALSE),"")</f>
        <v>#REF!</v>
      </c>
      <c r="J2263" s="364"/>
      <c r="K2263" s="237"/>
    </row>
    <row r="2264" spans="1:11" s="45" customFormat="1" ht="30">
      <c r="A2264" s="100">
        <v>88264</v>
      </c>
      <c r="B2264" s="109" t="s">
        <v>379</v>
      </c>
      <c r="C2264" s="25" t="s">
        <v>12</v>
      </c>
      <c r="D2264" s="126" t="s">
        <v>19</v>
      </c>
      <c r="E2264" s="178">
        <v>0.3</v>
      </c>
      <c r="F2264" s="122">
        <f>H2264</f>
        <v>15.249000000000001</v>
      </c>
      <c r="G2264" s="123">
        <f>ROUND((E2264*F2264),2)</f>
        <v>4.57</v>
      </c>
      <c r="H2264" s="364">
        <v>15.249000000000001</v>
      </c>
      <c r="I2264" s="45" t="e">
        <f>IF(A2264&lt;&gt;0,VLOOKUP(A2264,#REF!,2,FALSE),"")</f>
        <v>#REF!</v>
      </c>
      <c r="J2264" s="364"/>
      <c r="K2264" s="237"/>
    </row>
    <row r="2265" spans="1:11" s="45" customFormat="1">
      <c r="A2265" s="1123" t="s">
        <v>1894</v>
      </c>
      <c r="B2265" s="1124"/>
      <c r="C2265" s="1124"/>
      <c r="D2265" s="1124"/>
      <c r="E2265" s="1124"/>
      <c r="F2265" s="1125"/>
      <c r="G2265" s="115">
        <f>ROUND(SUM(G2262:G2264),2)</f>
        <v>1953.92</v>
      </c>
      <c r="H2265" s="364"/>
      <c r="I2265" s="166"/>
      <c r="J2265" s="364"/>
      <c r="K2265" s="237"/>
    </row>
    <row r="2266" spans="1:11">
      <c r="A2266" s="27"/>
      <c r="B2266" s="27"/>
      <c r="C2266" s="27"/>
      <c r="D2266" s="27"/>
      <c r="E2266" s="27"/>
      <c r="F2266" s="27"/>
      <c r="G2266" s="27"/>
      <c r="K2266" s="237"/>
    </row>
    <row r="2267" spans="1:11">
      <c r="A2267" s="27"/>
      <c r="B2267" s="27"/>
      <c r="C2267" s="27"/>
      <c r="D2267" s="27"/>
      <c r="E2267" s="27"/>
      <c r="F2267" s="27"/>
      <c r="G2267" s="27"/>
      <c r="K2267" s="237"/>
    </row>
    <row r="2268" spans="1:11" s="45" customFormat="1" ht="39" customHeight="1">
      <c r="A2268" s="953" t="s">
        <v>2561</v>
      </c>
      <c r="B2268" s="954"/>
      <c r="C2268" s="954"/>
      <c r="D2268" s="954"/>
      <c r="E2268" s="954"/>
      <c r="F2268" s="351" t="s">
        <v>44</v>
      </c>
      <c r="G2268" s="118">
        <v>10481</v>
      </c>
      <c r="H2268" s="364"/>
      <c r="J2268" s="364"/>
      <c r="K2268" s="237"/>
    </row>
    <row r="2269" spans="1:11" s="45" customFormat="1" ht="28.5">
      <c r="A2269" s="983" t="s">
        <v>1916</v>
      </c>
      <c r="B2269" s="983"/>
      <c r="C2269" s="197" t="s">
        <v>1917</v>
      </c>
      <c r="D2269" s="197" t="s">
        <v>1893</v>
      </c>
      <c r="E2269" s="198" t="s">
        <v>1918</v>
      </c>
      <c r="F2269" s="199" t="s">
        <v>372</v>
      </c>
      <c r="G2269" s="200" t="s">
        <v>1894</v>
      </c>
      <c r="H2269" s="364"/>
      <c r="J2269" s="364"/>
      <c r="K2269" s="237"/>
    </row>
    <row r="2270" spans="1:11" s="45" customFormat="1" ht="45">
      <c r="A2270" s="120">
        <v>10481</v>
      </c>
      <c r="B2270" s="109" t="s">
        <v>2560</v>
      </c>
      <c r="C2270" s="25" t="s">
        <v>44</v>
      </c>
      <c r="D2270" s="111" t="s">
        <v>238</v>
      </c>
      <c r="E2270" s="112">
        <v>1</v>
      </c>
      <c r="F2270" s="111">
        <f>H2270</f>
        <v>4369.799</v>
      </c>
      <c r="G2270" s="123">
        <f>ROUND((E2270*F2270),2)</f>
        <v>4369.8</v>
      </c>
      <c r="H2270" s="364">
        <v>4369.799</v>
      </c>
      <c r="I2270" s="45" t="e">
        <f>IF(A2270&lt;&gt;0,VLOOKUP(A2270,#REF!,2,FALSE),"")</f>
        <v>#REF!</v>
      </c>
      <c r="J2270" s="364"/>
      <c r="K2270" s="237"/>
    </row>
    <row r="2271" spans="1:11" s="45" customFormat="1" ht="30">
      <c r="A2271" s="100">
        <v>88264</v>
      </c>
      <c r="B2271" s="109" t="s">
        <v>379</v>
      </c>
      <c r="C2271" s="25" t="s">
        <v>12</v>
      </c>
      <c r="D2271" s="25" t="s">
        <v>19</v>
      </c>
      <c r="E2271" s="25">
        <v>1</v>
      </c>
      <c r="F2271" s="25">
        <f t="shared" ref="F2271" si="743">H2271</f>
        <v>15.249000000000001</v>
      </c>
      <c r="G2271" s="25">
        <f t="shared" ref="G2271" si="744">ROUND(F2271*E2271,2)</f>
        <v>15.25</v>
      </c>
      <c r="H2271" s="364">
        <v>15.249000000000001</v>
      </c>
      <c r="I2271" s="45" t="e">
        <f>IF(A2271&lt;&gt;0,VLOOKUP(A2271,#REF!,2,FALSE),"")</f>
        <v>#REF!</v>
      </c>
      <c r="J2271" s="364"/>
      <c r="K2271" s="237"/>
    </row>
    <row r="2272" spans="1:11" s="45" customFormat="1">
      <c r="A2272" s="1116" t="s">
        <v>1894</v>
      </c>
      <c r="B2272" s="1117"/>
      <c r="C2272" s="1117"/>
      <c r="D2272" s="1117"/>
      <c r="E2272" s="1117"/>
      <c r="F2272" s="1118"/>
      <c r="G2272" s="115">
        <f>ROUND(SUM(G2270:G2271),2)</f>
        <v>4385.05</v>
      </c>
      <c r="H2272" s="364"/>
      <c r="J2272" s="364"/>
      <c r="K2272" s="237"/>
    </row>
    <row r="2273" spans="1:11" ht="28.5" customHeight="1">
      <c r="A2273" s="27"/>
      <c r="B2273" s="27"/>
      <c r="C2273" s="27"/>
      <c r="D2273" s="27"/>
      <c r="E2273" s="27"/>
      <c r="F2273" s="27"/>
      <c r="G2273" s="27"/>
      <c r="K2273" s="237"/>
    </row>
    <row r="2274" spans="1:11" s="45" customFormat="1" ht="63" customHeight="1">
      <c r="A2274" s="1120" t="s">
        <v>2568</v>
      </c>
      <c r="B2274" s="1121"/>
      <c r="C2274" s="1121"/>
      <c r="D2274" s="1121"/>
      <c r="E2274" s="1122"/>
      <c r="F2274" s="201" t="s">
        <v>1915</v>
      </c>
      <c r="G2274" s="201">
        <v>72111</v>
      </c>
      <c r="H2274" s="364"/>
      <c r="J2274" s="364"/>
      <c r="K2274" s="237"/>
    </row>
    <row r="2275" spans="1:11" s="45" customFormat="1">
      <c r="A2275" s="202" t="s">
        <v>1</v>
      </c>
      <c r="B2275" s="349" t="s">
        <v>364</v>
      </c>
      <c r="C2275" s="202" t="s">
        <v>3</v>
      </c>
      <c r="D2275" s="202" t="s">
        <v>1942</v>
      </c>
      <c r="E2275" s="202" t="s">
        <v>1826</v>
      </c>
      <c r="F2275" s="202" t="s">
        <v>2563</v>
      </c>
      <c r="G2275" s="345" t="s">
        <v>368</v>
      </c>
      <c r="H2275" s="364"/>
      <c r="J2275" s="364"/>
      <c r="K2275" s="237"/>
    </row>
    <row r="2276" spans="1:11" s="45" customFormat="1">
      <c r="A2276" s="203">
        <v>10966</v>
      </c>
      <c r="B2276" s="204" t="s">
        <v>2564</v>
      </c>
      <c r="C2276" s="205" t="s">
        <v>12</v>
      </c>
      <c r="D2276" s="205" t="s">
        <v>45</v>
      </c>
      <c r="E2276" s="206">
        <v>11</v>
      </c>
      <c r="F2276" s="111">
        <f>H2276</f>
        <v>7.7945000000000002</v>
      </c>
      <c r="G2276" s="123">
        <f>ROUND((E2276*F2276),2)</f>
        <v>85.74</v>
      </c>
      <c r="H2276" s="364">
        <v>7.7945000000000002</v>
      </c>
      <c r="I2276" s="45" t="e">
        <f>IF(A2276&lt;&gt;0,VLOOKUP(A2276,#REF!,2,FALSE),"")</f>
        <v>#REF!</v>
      </c>
      <c r="J2276" s="364"/>
      <c r="K2276" s="237"/>
    </row>
    <row r="2277" spans="1:11" s="45" customFormat="1" ht="30">
      <c r="A2277" s="203">
        <v>88278</v>
      </c>
      <c r="B2277" s="204" t="s">
        <v>2565</v>
      </c>
      <c r="C2277" s="205" t="s">
        <v>12</v>
      </c>
      <c r="D2277" s="205" t="s">
        <v>19</v>
      </c>
      <c r="E2277" s="206">
        <v>0.75</v>
      </c>
      <c r="F2277" s="111">
        <f>H2277</f>
        <v>15.3</v>
      </c>
      <c r="G2277" s="123">
        <f>ROUND((E2277*F2277),2)</f>
        <v>11.48</v>
      </c>
      <c r="H2277" s="364">
        <v>15.3</v>
      </c>
      <c r="I2277" s="45" t="e">
        <f>IF(A2277&lt;&gt;0,VLOOKUP(A2277,#REF!,2,FALSE),"")</f>
        <v>#REF!</v>
      </c>
      <c r="J2277" s="364"/>
      <c r="K2277" s="237"/>
    </row>
    <row r="2278" spans="1:11" s="45" customFormat="1" ht="30">
      <c r="A2278" s="203">
        <v>88316</v>
      </c>
      <c r="B2278" s="204" t="s">
        <v>2566</v>
      </c>
      <c r="C2278" s="205" t="s">
        <v>12</v>
      </c>
      <c r="D2278" s="205" t="s">
        <v>19</v>
      </c>
      <c r="E2278" s="206">
        <v>0.75</v>
      </c>
      <c r="F2278" s="111">
        <f>H2278</f>
        <v>11.798000000000002</v>
      </c>
      <c r="G2278" s="123">
        <f>ROUND((E2278*F2278),2)</f>
        <v>8.85</v>
      </c>
      <c r="H2278" s="364">
        <v>11.798000000000002</v>
      </c>
      <c r="I2278" s="45" t="e">
        <f>IF(A2278&lt;&gt;0,VLOOKUP(A2278,#REF!,2,FALSE),"")</f>
        <v>#REF!</v>
      </c>
      <c r="J2278" s="364"/>
      <c r="K2278" s="237"/>
    </row>
    <row r="2279" spans="1:11" s="45" customFormat="1">
      <c r="A2279" s="1123" t="s">
        <v>1894</v>
      </c>
      <c r="B2279" s="1124"/>
      <c r="C2279" s="1124"/>
      <c r="D2279" s="1124"/>
      <c r="E2279" s="1124"/>
      <c r="F2279" s="1125"/>
      <c r="G2279" s="138">
        <f>ROUND(SUM(G2276:G2278),2)</f>
        <v>106.07</v>
      </c>
      <c r="H2279" s="364"/>
      <c r="J2279" s="364"/>
      <c r="K2279" s="237"/>
    </row>
    <row r="2280" spans="1:11" ht="27" customHeight="1">
      <c r="A2280" s="27"/>
      <c r="B2280" s="27"/>
      <c r="C2280" s="27"/>
      <c r="D2280" s="27"/>
      <c r="E2280" s="27"/>
      <c r="F2280" s="27"/>
      <c r="G2280" s="27"/>
      <c r="K2280" s="237"/>
    </row>
    <row r="2281" spans="1:11" s="45" customFormat="1">
      <c r="A2281" s="953" t="s">
        <v>2572</v>
      </c>
      <c r="B2281" s="954"/>
      <c r="C2281" s="954"/>
      <c r="D2281" s="954"/>
      <c r="E2281" s="955"/>
      <c r="F2281" s="351" t="s">
        <v>1915</v>
      </c>
      <c r="G2281" s="118" t="s">
        <v>2569</v>
      </c>
      <c r="H2281" s="364"/>
      <c r="I2281" s="166"/>
      <c r="J2281" s="364"/>
      <c r="K2281" s="237"/>
    </row>
    <row r="2282" spans="1:11" s="45" customFormat="1" ht="28.5">
      <c r="A2282" s="77" t="s">
        <v>1917</v>
      </c>
      <c r="B2282" s="347"/>
      <c r="C2282" s="77" t="s">
        <v>3</v>
      </c>
      <c r="D2282" s="77" t="s">
        <v>4</v>
      </c>
      <c r="E2282" s="77" t="s">
        <v>1826</v>
      </c>
      <c r="F2282" s="77" t="s">
        <v>367</v>
      </c>
      <c r="G2282" s="77" t="s">
        <v>368</v>
      </c>
      <c r="H2282" s="364"/>
      <c r="I2282" s="166"/>
      <c r="J2282" s="364"/>
      <c r="K2282" s="237"/>
    </row>
    <row r="2283" spans="1:11" s="45" customFormat="1" ht="30">
      <c r="A2283" s="110" t="s">
        <v>1920</v>
      </c>
      <c r="B2283" s="183" t="s">
        <v>2668</v>
      </c>
      <c r="C2283" s="25" t="s">
        <v>634</v>
      </c>
      <c r="D2283" s="126" t="s">
        <v>238</v>
      </c>
      <c r="E2283" s="127">
        <v>1</v>
      </c>
      <c r="F2283" s="177">
        <f>H2283</f>
        <v>39969.550000000003</v>
      </c>
      <c r="G2283" s="129">
        <f>ROUND((E2283*F2283),2)</f>
        <v>39969.550000000003</v>
      </c>
      <c r="H2283" s="364">
        <v>39969.550000000003</v>
      </c>
      <c r="I2283" s="166"/>
      <c r="J2283" s="364"/>
      <c r="K2283" s="237"/>
    </row>
    <row r="2284" spans="1:11" s="45" customFormat="1">
      <c r="A2284" s="956" t="s">
        <v>1894</v>
      </c>
      <c r="B2284" s="957"/>
      <c r="C2284" s="957"/>
      <c r="D2284" s="957"/>
      <c r="E2284" s="957"/>
      <c r="F2284" s="958"/>
      <c r="G2284" s="130">
        <f>ROUND(G2283,2)</f>
        <v>39969.550000000003</v>
      </c>
      <c r="H2284" s="364"/>
      <c r="I2284" s="166"/>
      <c r="J2284" s="364"/>
      <c r="K2284" s="237"/>
    </row>
    <row r="2285" spans="1:11" ht="23.25" customHeight="1">
      <c r="A2285" s="27"/>
      <c r="B2285" s="27"/>
      <c r="C2285" s="27"/>
      <c r="D2285" s="27"/>
      <c r="E2285" s="27"/>
      <c r="F2285" s="27"/>
      <c r="G2285" s="27"/>
      <c r="K2285" s="237"/>
    </row>
    <row r="2286" spans="1:11" s="45" customFormat="1">
      <c r="A2286" s="953" t="s">
        <v>2573</v>
      </c>
      <c r="B2286" s="954"/>
      <c r="C2286" s="954"/>
      <c r="D2286" s="954"/>
      <c r="E2286" s="955"/>
      <c r="F2286" s="351" t="s">
        <v>1915</v>
      </c>
      <c r="G2286" s="118" t="s">
        <v>2570</v>
      </c>
      <c r="H2286" s="364"/>
      <c r="J2286" s="364"/>
      <c r="K2286" s="237"/>
    </row>
    <row r="2287" spans="1:11" s="45" customFormat="1" ht="28.5">
      <c r="A2287" s="77" t="s">
        <v>1917</v>
      </c>
      <c r="B2287" s="347"/>
      <c r="C2287" s="77" t="s">
        <v>3</v>
      </c>
      <c r="D2287" s="77" t="s">
        <v>4</v>
      </c>
      <c r="E2287" s="77" t="s">
        <v>1826</v>
      </c>
      <c r="F2287" s="77" t="s">
        <v>367</v>
      </c>
      <c r="G2287" s="77" t="s">
        <v>368</v>
      </c>
      <c r="H2287" s="364"/>
      <c r="J2287" s="364"/>
      <c r="K2287" s="237"/>
    </row>
    <row r="2288" spans="1:11" s="45" customFormat="1" ht="30">
      <c r="A2288" s="110" t="s">
        <v>1920</v>
      </c>
      <c r="B2288" s="183" t="s">
        <v>2576</v>
      </c>
      <c r="C2288" s="25" t="s">
        <v>634</v>
      </c>
      <c r="D2288" s="126" t="s">
        <v>238</v>
      </c>
      <c r="E2288" s="127">
        <v>1</v>
      </c>
      <c r="F2288" s="177">
        <f>H2288</f>
        <v>28041.5</v>
      </c>
      <c r="G2288" s="129">
        <f>ROUND((E2288*F2288),2)</f>
        <v>28041.5</v>
      </c>
      <c r="H2288" s="364">
        <v>28041.5</v>
      </c>
      <c r="J2288" s="364"/>
      <c r="K2288" s="237"/>
    </row>
    <row r="2289" spans="1:13" s="45" customFormat="1">
      <c r="A2289" s="956" t="s">
        <v>1894</v>
      </c>
      <c r="B2289" s="957"/>
      <c r="C2289" s="957"/>
      <c r="D2289" s="957"/>
      <c r="E2289" s="957"/>
      <c r="F2289" s="958"/>
      <c r="G2289" s="130">
        <f>ROUND(G2288,2)</f>
        <v>28041.5</v>
      </c>
      <c r="H2289" s="364"/>
      <c r="J2289" s="364"/>
      <c r="K2289" s="237"/>
    </row>
    <row r="2290" spans="1:13" ht="24.75" customHeight="1">
      <c r="A2290" s="27"/>
      <c r="B2290" s="27"/>
      <c r="C2290" s="27"/>
      <c r="D2290" s="27"/>
      <c r="E2290" s="27"/>
      <c r="F2290" s="27"/>
      <c r="G2290" s="27"/>
      <c r="K2290" s="237"/>
    </row>
    <row r="2291" spans="1:13" s="45" customFormat="1">
      <c r="A2291" s="953" t="s">
        <v>2574</v>
      </c>
      <c r="B2291" s="954"/>
      <c r="C2291" s="954"/>
      <c r="D2291" s="954"/>
      <c r="E2291" s="955"/>
      <c r="F2291" s="351" t="s">
        <v>1915</v>
      </c>
      <c r="G2291" s="118" t="s">
        <v>2571</v>
      </c>
      <c r="H2291" s="364"/>
      <c r="J2291" s="364"/>
      <c r="K2291" s="237"/>
    </row>
    <row r="2292" spans="1:13" s="45" customFormat="1" ht="28.5">
      <c r="A2292" s="77" t="s">
        <v>1917</v>
      </c>
      <c r="B2292" s="347"/>
      <c r="C2292" s="77" t="s">
        <v>3</v>
      </c>
      <c r="D2292" s="77" t="s">
        <v>4</v>
      </c>
      <c r="E2292" s="77" t="s">
        <v>1826</v>
      </c>
      <c r="F2292" s="77" t="s">
        <v>367</v>
      </c>
      <c r="G2292" s="77" t="s">
        <v>368</v>
      </c>
      <c r="H2292" s="364"/>
      <c r="J2292" s="364"/>
      <c r="K2292" s="237"/>
    </row>
    <row r="2293" spans="1:13" s="45" customFormat="1" ht="30">
      <c r="A2293" s="110" t="s">
        <v>1920</v>
      </c>
      <c r="B2293" s="183" t="s">
        <v>2577</v>
      </c>
      <c r="C2293" s="25" t="s">
        <v>634</v>
      </c>
      <c r="D2293" s="126" t="s">
        <v>238</v>
      </c>
      <c r="E2293" s="127">
        <v>1</v>
      </c>
      <c r="F2293" s="177">
        <f>H2293</f>
        <v>21038.35</v>
      </c>
      <c r="G2293" s="129">
        <f>ROUND((E2293*F2293),2)</f>
        <v>21038.35</v>
      </c>
      <c r="H2293" s="364">
        <v>21038.35</v>
      </c>
      <c r="J2293" s="364"/>
      <c r="K2293" s="237"/>
    </row>
    <row r="2294" spans="1:13" s="45" customFormat="1">
      <c r="A2294" s="956" t="s">
        <v>1894</v>
      </c>
      <c r="B2294" s="957"/>
      <c r="C2294" s="957"/>
      <c r="D2294" s="957"/>
      <c r="E2294" s="957"/>
      <c r="F2294" s="958"/>
      <c r="G2294" s="130">
        <f>ROUND(G2293,2)</f>
        <v>21038.35</v>
      </c>
      <c r="H2294" s="364"/>
      <c r="J2294" s="364"/>
      <c r="K2294" s="237"/>
    </row>
    <row r="2295" spans="1:13" ht="24.75" customHeight="1">
      <c r="A2295" s="27"/>
      <c r="B2295" s="27"/>
      <c r="C2295" s="27"/>
      <c r="D2295" s="27"/>
      <c r="E2295" s="27"/>
      <c r="F2295" s="27"/>
      <c r="G2295" s="27"/>
      <c r="K2295" s="237"/>
    </row>
    <row r="2296" spans="1:13" s="45" customFormat="1">
      <c r="A2296" s="953" t="s">
        <v>2559</v>
      </c>
      <c r="B2296" s="954"/>
      <c r="C2296" s="954"/>
      <c r="D2296" s="954"/>
      <c r="E2296" s="955"/>
      <c r="F2296" s="351" t="s">
        <v>1915</v>
      </c>
      <c r="G2296" s="118" t="s">
        <v>2575</v>
      </c>
      <c r="H2296" s="364"/>
      <c r="J2296" s="364"/>
      <c r="K2296" s="237"/>
    </row>
    <row r="2297" spans="1:13" s="45" customFormat="1" ht="28.5">
      <c r="A2297" s="77" t="s">
        <v>1917</v>
      </c>
      <c r="B2297" s="347"/>
      <c r="C2297" s="77" t="s">
        <v>3</v>
      </c>
      <c r="D2297" s="77" t="s">
        <v>4</v>
      </c>
      <c r="E2297" s="77" t="s">
        <v>1826</v>
      </c>
      <c r="F2297" s="77" t="s">
        <v>367</v>
      </c>
      <c r="G2297" s="77" t="s">
        <v>368</v>
      </c>
      <c r="H2297" s="364"/>
      <c r="J2297" s="364"/>
      <c r="K2297" s="237"/>
    </row>
    <row r="2298" spans="1:13" s="45" customFormat="1" ht="30">
      <c r="A2298" s="110" t="s">
        <v>1920</v>
      </c>
      <c r="B2298" s="183" t="s">
        <v>2559</v>
      </c>
      <c r="C2298" s="25" t="s">
        <v>634</v>
      </c>
      <c r="D2298" s="126" t="s">
        <v>238</v>
      </c>
      <c r="E2298" s="127">
        <v>1</v>
      </c>
      <c r="F2298" s="177">
        <f>H2298</f>
        <v>1491.75</v>
      </c>
      <c r="G2298" s="129">
        <f>ROUND((E2298*F2298),2)</f>
        <v>1491.75</v>
      </c>
      <c r="H2298" s="364">
        <v>1491.75</v>
      </c>
      <c r="J2298" s="364"/>
      <c r="K2298" s="237"/>
    </row>
    <row r="2299" spans="1:13" s="45" customFormat="1">
      <c r="A2299" s="956" t="s">
        <v>1894</v>
      </c>
      <c r="B2299" s="957"/>
      <c r="C2299" s="957"/>
      <c r="D2299" s="957"/>
      <c r="E2299" s="957"/>
      <c r="F2299" s="958"/>
      <c r="G2299" s="130">
        <f>ROUND(G2298,2)</f>
        <v>1491.75</v>
      </c>
      <c r="H2299" s="364"/>
      <c r="J2299" s="364"/>
      <c r="K2299" s="237"/>
    </row>
    <row r="2300" spans="1:13" ht="23.25" customHeight="1">
      <c r="A2300" s="27"/>
      <c r="B2300" s="27"/>
      <c r="C2300" s="27"/>
      <c r="D2300" s="27"/>
      <c r="E2300" s="27"/>
      <c r="F2300" s="27"/>
      <c r="G2300" s="27"/>
      <c r="K2300" s="237"/>
    </row>
    <row r="2301" spans="1:13" s="45" customFormat="1">
      <c r="A2301" s="920" t="s">
        <v>2627</v>
      </c>
      <c r="B2301" s="921"/>
      <c r="C2301" s="921"/>
      <c r="D2301" s="921"/>
      <c r="E2301" s="922"/>
      <c r="F2301" s="207" t="s">
        <v>44</v>
      </c>
      <c r="G2301" s="95">
        <v>6801</v>
      </c>
      <c r="H2301" s="461"/>
      <c r="I2301" s="208" t="s">
        <v>2628</v>
      </c>
      <c r="J2301" s="465"/>
      <c r="K2301" s="237"/>
      <c r="L2301" s="465"/>
      <c r="M2301" s="90"/>
    </row>
    <row r="2302" spans="1:13" s="45" customFormat="1" ht="28.5">
      <c r="A2302" s="208" t="s">
        <v>366</v>
      </c>
      <c r="B2302" s="88"/>
      <c r="C2302" s="77" t="s">
        <v>3</v>
      </c>
      <c r="D2302" s="77" t="s">
        <v>4</v>
      </c>
      <c r="E2302" s="77" t="s">
        <v>1826</v>
      </c>
      <c r="F2302" s="77" t="s">
        <v>367</v>
      </c>
      <c r="G2302" s="77" t="s">
        <v>368</v>
      </c>
      <c r="H2302" s="364"/>
      <c r="J2302" s="364"/>
      <c r="K2302" s="237"/>
    </row>
    <row r="2303" spans="1:13" s="45" customFormat="1">
      <c r="A2303" s="84">
        <v>6801</v>
      </c>
      <c r="B2303" s="85" t="s">
        <v>2628</v>
      </c>
      <c r="C2303" s="86" t="s">
        <v>44</v>
      </c>
      <c r="D2303" s="86" t="s">
        <v>17</v>
      </c>
      <c r="E2303" s="81">
        <v>1</v>
      </c>
      <c r="F2303" s="260">
        <f t="shared" ref="F2303:F2305" si="745">H2303</f>
        <v>2782.9</v>
      </c>
      <c r="G2303" s="260">
        <f t="shared" ref="G2303:G2305" si="746">ROUND(F2303*E2303,2)</f>
        <v>2782.9</v>
      </c>
      <c r="H2303" s="364">
        <v>2782.9</v>
      </c>
      <c r="I2303" s="45" t="e">
        <f>IF(A2303&lt;&gt;0,VLOOKUP(A2303,#REF!,2,FALSE),"")</f>
        <v>#REF!</v>
      </c>
      <c r="J2303" s="364"/>
      <c r="K2303" s="237"/>
    </row>
    <row r="2304" spans="1:13" s="45" customFormat="1" ht="30">
      <c r="A2304" s="172">
        <v>88316</v>
      </c>
      <c r="B2304" s="261" t="s">
        <v>377</v>
      </c>
      <c r="C2304" s="262" t="s">
        <v>12</v>
      </c>
      <c r="D2304" s="262" t="s">
        <v>19</v>
      </c>
      <c r="E2304" s="260">
        <v>4</v>
      </c>
      <c r="F2304" s="260">
        <f t="shared" si="745"/>
        <v>11.798000000000002</v>
      </c>
      <c r="G2304" s="260">
        <f t="shared" si="746"/>
        <v>47.19</v>
      </c>
      <c r="H2304" s="364">
        <v>11.798000000000002</v>
      </c>
      <c r="I2304" s="45" t="e">
        <f>IF(A2304&lt;&gt;0,VLOOKUP(A2304,#REF!,2,FALSE),"")</f>
        <v>#REF!</v>
      </c>
      <c r="J2304" s="364"/>
      <c r="K2304" s="237"/>
    </row>
    <row r="2305" spans="1:11" s="45" customFormat="1">
      <c r="A2305" s="172">
        <v>88267</v>
      </c>
      <c r="B2305" s="261" t="e">
        <f>I2305</f>
        <v>#REF!</v>
      </c>
      <c r="C2305" s="262" t="s">
        <v>12</v>
      </c>
      <c r="D2305" s="262" t="s">
        <v>19</v>
      </c>
      <c r="E2305" s="260">
        <v>4</v>
      </c>
      <c r="F2305" s="260">
        <f t="shared" si="745"/>
        <v>14.7135</v>
      </c>
      <c r="G2305" s="260">
        <f t="shared" si="746"/>
        <v>58.85</v>
      </c>
      <c r="H2305" s="364">
        <v>14.7135</v>
      </c>
      <c r="I2305" s="45" t="e">
        <f>IF(A2305&lt;&gt;0,VLOOKUP(A2305,#REF!,2,FALSE),"")</f>
        <v>#REF!</v>
      </c>
      <c r="J2305" s="364"/>
      <c r="K2305" s="237"/>
    </row>
    <row r="2306" spans="1:11" s="45" customFormat="1">
      <c r="A2306" s="1107" t="s">
        <v>1894</v>
      </c>
      <c r="B2306" s="1107"/>
      <c r="C2306" s="1107"/>
      <c r="D2306" s="1107"/>
      <c r="E2306" s="1107"/>
      <c r="F2306" s="1107"/>
      <c r="G2306" s="209">
        <f>ROUND(SUM(G2303:G2305),2)</f>
        <v>2888.94</v>
      </c>
      <c r="H2306" s="364"/>
      <c r="J2306" s="364"/>
      <c r="K2306" s="237"/>
    </row>
    <row r="2307" spans="1:11" ht="28.5" customHeight="1">
      <c r="A2307" s="27"/>
      <c r="B2307" s="27"/>
      <c r="C2307" s="27"/>
      <c r="D2307" s="27"/>
      <c r="E2307" s="27"/>
      <c r="F2307" s="27"/>
      <c r="G2307" s="27"/>
      <c r="K2307" s="237"/>
    </row>
    <row r="2308" spans="1:11" s="45" customFormat="1" ht="30.75" customHeight="1">
      <c r="A2308" s="920" t="s">
        <v>2640</v>
      </c>
      <c r="B2308" s="921"/>
      <c r="C2308" s="921"/>
      <c r="D2308" s="921"/>
      <c r="E2308" s="921"/>
      <c r="F2308" s="210" t="s">
        <v>44</v>
      </c>
      <c r="G2308" s="95">
        <v>11808</v>
      </c>
      <c r="H2308" s="364"/>
      <c r="I2308" s="169"/>
      <c r="J2308" s="364"/>
      <c r="K2308" s="237"/>
    </row>
    <row r="2309" spans="1:11" s="45" customFormat="1" ht="28.5">
      <c r="A2309" s="984" t="s">
        <v>364</v>
      </c>
      <c r="B2309" s="985"/>
      <c r="C2309" s="77" t="s">
        <v>3</v>
      </c>
      <c r="D2309" s="77" t="s">
        <v>4</v>
      </c>
      <c r="E2309" s="77" t="s">
        <v>1826</v>
      </c>
      <c r="F2309" s="77" t="s">
        <v>367</v>
      </c>
      <c r="G2309" s="77" t="s">
        <v>368</v>
      </c>
      <c r="H2309" s="364"/>
      <c r="I2309" s="169"/>
      <c r="J2309" s="364"/>
      <c r="K2309" s="237"/>
    </row>
    <row r="2310" spans="1:11" s="45" customFormat="1">
      <c r="A2310" s="24">
        <v>2540</v>
      </c>
      <c r="B2310" s="78" t="s">
        <v>2641</v>
      </c>
      <c r="C2310" s="25" t="s">
        <v>12</v>
      </c>
      <c r="D2310" s="25" t="s">
        <v>45</v>
      </c>
      <c r="E2310" s="26">
        <v>0.38</v>
      </c>
      <c r="F2310" s="211">
        <f t="shared" ref="F2310:F2314" si="747">H2310</f>
        <v>4.6749999999999998</v>
      </c>
      <c r="G2310" s="211">
        <f t="shared" ref="G2310:G2314" si="748">ROUND(F2310*E2310,2)</f>
        <v>1.78</v>
      </c>
      <c r="H2310" s="364">
        <v>4.6749999999999998</v>
      </c>
      <c r="I2310" s="170" t="e">
        <f>IF(A2310&lt;&gt;0,VLOOKUP(A2310,#REF!,2,FALSE),"")</f>
        <v>#REF!</v>
      </c>
      <c r="J2310" s="364"/>
      <c r="K2310" s="237"/>
    </row>
    <row r="2311" spans="1:11" s="45" customFormat="1">
      <c r="A2311" s="24">
        <v>371</v>
      </c>
      <c r="B2311" s="78" t="e">
        <f>I2311</f>
        <v>#REF!</v>
      </c>
      <c r="C2311" s="25" t="s">
        <v>12</v>
      </c>
      <c r="D2311" s="25" t="s">
        <v>45</v>
      </c>
      <c r="E2311" s="26">
        <v>4.5</v>
      </c>
      <c r="F2311" s="211">
        <f t="shared" si="747"/>
        <v>0.52700000000000002</v>
      </c>
      <c r="G2311" s="211">
        <f t="shared" si="748"/>
        <v>2.37</v>
      </c>
      <c r="H2311" s="364">
        <v>0.52700000000000002</v>
      </c>
      <c r="I2311" s="169" t="e">
        <f>IF(A2311&lt;&gt;0,VLOOKUP(A2311,#REF!,2,FALSE),"")</f>
        <v>#REF!</v>
      </c>
      <c r="J2311" s="364"/>
      <c r="K2311" s="237"/>
    </row>
    <row r="2312" spans="1:11" s="45" customFormat="1" ht="30">
      <c r="A2312" s="24">
        <v>12659</v>
      </c>
      <c r="B2312" s="78" t="s">
        <v>2642</v>
      </c>
      <c r="C2312" s="25" t="s">
        <v>44</v>
      </c>
      <c r="D2312" s="25" t="s">
        <v>26</v>
      </c>
      <c r="E2312" s="26">
        <v>1.05</v>
      </c>
      <c r="F2312" s="211">
        <f t="shared" si="747"/>
        <v>61.284999999999997</v>
      </c>
      <c r="G2312" s="211">
        <f t="shared" si="748"/>
        <v>64.349999999999994</v>
      </c>
      <c r="H2312" s="364">
        <v>61.284999999999997</v>
      </c>
      <c r="I2312" s="45" t="e">
        <f>IF(A2312&lt;&gt;0,VLOOKUP(A2312,#REF!,2,FALSE),"")</f>
        <v>#REF!</v>
      </c>
      <c r="J2312" s="364"/>
      <c r="K2312" s="237"/>
    </row>
    <row r="2313" spans="1:11" s="45" customFormat="1" ht="30">
      <c r="A2313" s="212">
        <v>88309</v>
      </c>
      <c r="B2313" s="109" t="s">
        <v>390</v>
      </c>
      <c r="C2313" s="25" t="s">
        <v>12</v>
      </c>
      <c r="D2313" s="25" t="s">
        <v>19</v>
      </c>
      <c r="E2313" s="26">
        <v>0.55000000000000004</v>
      </c>
      <c r="F2313" s="211">
        <f t="shared" si="747"/>
        <v>15.121499999999999</v>
      </c>
      <c r="G2313" s="211">
        <f t="shared" si="748"/>
        <v>8.32</v>
      </c>
      <c r="H2313" s="364">
        <v>15.121499999999999</v>
      </c>
      <c r="I2313" s="45" t="e">
        <f>IF(A2313&lt;&gt;0,VLOOKUP(A2313,#REF!,2,FALSE),"")</f>
        <v>#REF!</v>
      </c>
      <c r="J2313" s="364"/>
      <c r="K2313" s="237"/>
    </row>
    <row r="2314" spans="1:11" s="45" customFormat="1" ht="30">
      <c r="A2314" s="24">
        <v>88316</v>
      </c>
      <c r="B2314" s="78" t="s">
        <v>377</v>
      </c>
      <c r="C2314" s="25" t="s">
        <v>12</v>
      </c>
      <c r="D2314" s="25" t="s">
        <v>19</v>
      </c>
      <c r="E2314" s="26">
        <v>0.45</v>
      </c>
      <c r="F2314" s="211">
        <f t="shared" si="747"/>
        <v>11.798000000000002</v>
      </c>
      <c r="G2314" s="211">
        <f t="shared" si="748"/>
        <v>5.31</v>
      </c>
      <c r="H2314" s="364">
        <v>11.798000000000002</v>
      </c>
      <c r="I2314" s="45" t="e">
        <f>IF(A2314&lt;&gt;0,VLOOKUP(A2314,#REF!,2,FALSE),"")</f>
        <v>#REF!</v>
      </c>
      <c r="J2314" s="364"/>
      <c r="K2314" s="237"/>
    </row>
    <row r="2315" spans="1:11" s="45" customFormat="1">
      <c r="A2315" s="1119" t="s">
        <v>1894</v>
      </c>
      <c r="B2315" s="1119"/>
      <c r="C2315" s="1119"/>
      <c r="D2315" s="1119"/>
      <c r="E2315" s="1119"/>
      <c r="F2315" s="1119"/>
      <c r="G2315" s="213">
        <f>ROUND(SUM(G2310:G2314),2)</f>
        <v>82.13</v>
      </c>
      <c r="H2315" s="364"/>
      <c r="I2315" s="169"/>
      <c r="J2315" s="364"/>
      <c r="K2315" s="237"/>
    </row>
    <row r="2316" spans="1:11" ht="27" customHeight="1">
      <c r="A2316" s="27"/>
      <c r="B2316" s="27"/>
      <c r="C2316" s="27"/>
      <c r="D2316" s="27"/>
      <c r="E2316" s="27"/>
      <c r="F2316" s="27"/>
      <c r="G2316" s="27"/>
      <c r="K2316" s="237"/>
    </row>
    <row r="2317" spans="1:11" s="45" customFormat="1" ht="20.25" customHeight="1">
      <c r="A2317" s="1114" t="s">
        <v>2653</v>
      </c>
      <c r="B2317" s="1115"/>
      <c r="C2317" s="1115"/>
      <c r="D2317" s="1115"/>
      <c r="E2317" s="1115"/>
      <c r="F2317" s="214" t="s">
        <v>44</v>
      </c>
      <c r="G2317" s="215">
        <v>3167</v>
      </c>
      <c r="H2317" s="364"/>
      <c r="I2317" s="169"/>
      <c r="J2317" s="364"/>
      <c r="K2317" s="237"/>
    </row>
    <row r="2318" spans="1:11" s="45" customFormat="1" ht="28.5">
      <c r="A2318" s="984" t="s">
        <v>364</v>
      </c>
      <c r="B2318" s="985"/>
      <c r="C2318" s="77" t="s">
        <v>3</v>
      </c>
      <c r="D2318" s="77" t="s">
        <v>4</v>
      </c>
      <c r="E2318" s="77" t="s">
        <v>1826</v>
      </c>
      <c r="F2318" s="77" t="s">
        <v>367</v>
      </c>
      <c r="G2318" s="77" t="s">
        <v>368</v>
      </c>
      <c r="H2318" s="364"/>
      <c r="I2318" s="169"/>
      <c r="J2318" s="364"/>
      <c r="K2318" s="237"/>
    </row>
    <row r="2319" spans="1:11" s="45" customFormat="1" ht="45">
      <c r="A2319" s="216">
        <v>1903</v>
      </c>
      <c r="B2319" s="109" t="s">
        <v>2654</v>
      </c>
      <c r="C2319" s="25" t="s">
        <v>44</v>
      </c>
      <c r="D2319" s="216" t="s">
        <v>35</v>
      </c>
      <c r="E2319" s="258">
        <v>0.04</v>
      </c>
      <c r="F2319" s="122">
        <f>H2319</f>
        <v>382.27050000000003</v>
      </c>
      <c r="G2319" s="123">
        <f>ROUND((E2319*F2319),2)</f>
        <v>15.29</v>
      </c>
      <c r="H2319" s="364">
        <v>382.27050000000003</v>
      </c>
      <c r="I2319" s="169"/>
      <c r="J2319" s="364"/>
      <c r="K2319" s="237"/>
    </row>
    <row r="2320" spans="1:11" s="45" customFormat="1" ht="30">
      <c r="A2320" s="216">
        <v>2614</v>
      </c>
      <c r="B2320" s="109" t="s">
        <v>2655</v>
      </c>
      <c r="C2320" s="25" t="s">
        <v>44</v>
      </c>
      <c r="D2320" s="216" t="s">
        <v>26</v>
      </c>
      <c r="E2320" s="258">
        <v>1</v>
      </c>
      <c r="F2320" s="122">
        <f>H2320</f>
        <v>1329.893</v>
      </c>
      <c r="G2320" s="123">
        <f>ROUND((E2320*F2320),2)</f>
        <v>1329.89</v>
      </c>
      <c r="H2320" s="364">
        <v>1329.893</v>
      </c>
      <c r="I2320" s="45" t="e">
        <f>IF(A2320&lt;&gt;0,VLOOKUP(A2320,#REF!,2,FALSE),"")</f>
        <v>#REF!</v>
      </c>
      <c r="J2320" s="364"/>
      <c r="K2320" s="237"/>
    </row>
    <row r="2321" spans="1:11" s="45" customFormat="1" ht="30">
      <c r="A2321" s="216">
        <v>88309</v>
      </c>
      <c r="B2321" s="109" t="s">
        <v>390</v>
      </c>
      <c r="C2321" s="25" t="s">
        <v>12</v>
      </c>
      <c r="D2321" s="111" t="s">
        <v>19</v>
      </c>
      <c r="E2321" s="180">
        <v>0.6</v>
      </c>
      <c r="F2321" s="122">
        <f>H2321</f>
        <v>15.121499999999999</v>
      </c>
      <c r="G2321" s="123">
        <f>ROUND((E2321*F2321),2)</f>
        <v>9.07</v>
      </c>
      <c r="H2321" s="364">
        <v>15.121499999999999</v>
      </c>
      <c r="I2321" s="45" t="e">
        <f>IF(A2321&lt;&gt;0,VLOOKUP(A2321,#REF!,2,FALSE),"")</f>
        <v>#REF!</v>
      </c>
      <c r="J2321" s="364"/>
      <c r="K2321" s="237"/>
    </row>
    <row r="2322" spans="1:11" s="45" customFormat="1" ht="30">
      <c r="A2322" s="216">
        <v>88316</v>
      </c>
      <c r="B2322" s="109" t="s">
        <v>377</v>
      </c>
      <c r="C2322" s="25" t="s">
        <v>12</v>
      </c>
      <c r="D2322" s="111" t="s">
        <v>19</v>
      </c>
      <c r="E2322" s="180">
        <v>0.6</v>
      </c>
      <c r="F2322" s="122">
        <f>H2322</f>
        <v>11.798000000000002</v>
      </c>
      <c r="G2322" s="123">
        <f>ROUND((E2322*F2322),2)</f>
        <v>7.08</v>
      </c>
      <c r="H2322" s="364">
        <v>11.798000000000002</v>
      </c>
      <c r="I2322" s="45" t="e">
        <f>IF(A2322&lt;&gt;0,VLOOKUP(A2322,#REF!,2,FALSE),"")</f>
        <v>#REF!</v>
      </c>
      <c r="J2322" s="364"/>
      <c r="K2322" s="237"/>
    </row>
    <row r="2323" spans="1:11" s="45" customFormat="1">
      <c r="A2323" s="1116" t="s">
        <v>1894</v>
      </c>
      <c r="B2323" s="1117"/>
      <c r="C2323" s="1117"/>
      <c r="D2323" s="1117"/>
      <c r="E2323" s="1117"/>
      <c r="F2323" s="1118"/>
      <c r="G2323" s="115">
        <f>ROUND(SUM(G2319:G2322),2)</f>
        <v>1361.33</v>
      </c>
      <c r="H2323" s="364"/>
      <c r="I2323" s="169"/>
      <c r="J2323" s="364"/>
      <c r="K2323" s="237"/>
    </row>
    <row r="2324" spans="1:11" ht="22.5" customHeight="1">
      <c r="A2324" s="27"/>
      <c r="B2324" s="27"/>
      <c r="C2324" s="27"/>
      <c r="D2324" s="27"/>
      <c r="E2324" s="27"/>
      <c r="F2324" s="27"/>
      <c r="G2324" s="27"/>
      <c r="K2324" s="237"/>
    </row>
    <row r="2325" spans="1:11" s="45" customFormat="1" ht="36.75" customHeight="1">
      <c r="A2325" s="920" t="s">
        <v>91</v>
      </c>
      <c r="B2325" s="921"/>
      <c r="C2325" s="921"/>
      <c r="D2325" s="921"/>
      <c r="E2325" s="929"/>
      <c r="F2325" s="217" t="s">
        <v>12</v>
      </c>
      <c r="G2325" s="344" t="s">
        <v>2676</v>
      </c>
      <c r="H2325" s="364"/>
      <c r="J2325" s="364"/>
      <c r="K2325" s="237"/>
    </row>
    <row r="2326" spans="1:11" s="45" customFormat="1" ht="28.5">
      <c r="A2326" s="920" t="s">
        <v>364</v>
      </c>
      <c r="B2326" s="959"/>
      <c r="C2326" s="77" t="s">
        <v>3</v>
      </c>
      <c r="D2326" s="77" t="s">
        <v>4</v>
      </c>
      <c r="E2326" s="77" t="s">
        <v>1826</v>
      </c>
      <c r="F2326" s="77" t="s">
        <v>367</v>
      </c>
      <c r="G2326" s="77" t="s">
        <v>368</v>
      </c>
      <c r="H2326" s="364"/>
      <c r="J2326" s="364"/>
      <c r="K2326" s="237"/>
    </row>
    <row r="2327" spans="1:11" s="45" customFormat="1" ht="30">
      <c r="A2327" s="24">
        <v>587</v>
      </c>
      <c r="B2327" s="78" t="s">
        <v>446</v>
      </c>
      <c r="C2327" s="25" t="s">
        <v>12</v>
      </c>
      <c r="D2327" s="25" t="s">
        <v>45</v>
      </c>
      <c r="E2327" s="218">
        <v>1.54</v>
      </c>
      <c r="F2327" s="219">
        <f t="shared" ref="F2327:F2332" si="749">H2327</f>
        <v>29.41</v>
      </c>
      <c r="G2327" s="219">
        <f t="shared" ref="G2327:G2332" si="750">ROUND(F2327*E2327,2)</f>
        <v>45.29</v>
      </c>
      <c r="H2327" s="364">
        <v>29.41</v>
      </c>
      <c r="I2327" s="169" t="e">
        <f>IF(A2327&lt;&gt;0,VLOOKUP(A2327,#REF!,2,FALSE),"")</f>
        <v>#REF!</v>
      </c>
      <c r="J2327" s="364"/>
      <c r="K2327" s="237"/>
    </row>
    <row r="2328" spans="1:11" s="45" customFormat="1" ht="45">
      <c r="A2328" s="24">
        <v>1360</v>
      </c>
      <c r="B2328" s="78" t="s">
        <v>447</v>
      </c>
      <c r="C2328" s="25" t="s">
        <v>12</v>
      </c>
      <c r="D2328" s="25" t="s">
        <v>26</v>
      </c>
      <c r="E2328" s="218">
        <v>1.05</v>
      </c>
      <c r="F2328" s="219">
        <f t="shared" si="749"/>
        <v>23.910499999999999</v>
      </c>
      <c r="G2328" s="219">
        <f t="shared" si="750"/>
        <v>25.11</v>
      </c>
      <c r="H2328" s="364">
        <v>23.910499999999999</v>
      </c>
      <c r="I2328" s="169" t="e">
        <f>IF(A2328&lt;&gt;0,VLOOKUP(A2328,#REF!,2,FALSE),"")</f>
        <v>#REF!</v>
      </c>
      <c r="J2328" s="364"/>
      <c r="K2328" s="237"/>
    </row>
    <row r="2329" spans="1:11" s="45" customFormat="1" ht="45">
      <c r="A2329" s="24">
        <v>7334</v>
      </c>
      <c r="B2329" s="78" t="s">
        <v>448</v>
      </c>
      <c r="C2329" s="25" t="s">
        <v>12</v>
      </c>
      <c r="D2329" s="25" t="s">
        <v>381</v>
      </c>
      <c r="E2329" s="218">
        <v>0.18</v>
      </c>
      <c r="F2329" s="219">
        <f t="shared" si="749"/>
        <v>11.866000000000001</v>
      </c>
      <c r="G2329" s="219">
        <f t="shared" si="750"/>
        <v>2.14</v>
      </c>
      <c r="H2329" s="364">
        <v>11.866000000000001</v>
      </c>
      <c r="I2329" s="169" t="e">
        <f>IF(A2329&lt;&gt;0,VLOOKUP(A2329,#REF!,2,FALSE),"")</f>
        <v>#REF!</v>
      </c>
      <c r="J2329" s="364"/>
      <c r="K2329" s="237"/>
    </row>
    <row r="2330" spans="1:11" s="45" customFormat="1">
      <c r="A2330" s="24">
        <v>11186</v>
      </c>
      <c r="B2330" s="78" t="s">
        <v>449</v>
      </c>
      <c r="C2330" s="25" t="s">
        <v>12</v>
      </c>
      <c r="D2330" s="25" t="s">
        <v>26</v>
      </c>
      <c r="E2330" s="218">
        <v>1</v>
      </c>
      <c r="F2330" s="219">
        <f t="shared" si="749"/>
        <v>389.86099999999999</v>
      </c>
      <c r="G2330" s="219">
        <f t="shared" si="750"/>
        <v>389.86</v>
      </c>
      <c r="H2330" s="364">
        <v>389.86099999999999</v>
      </c>
      <c r="I2330" s="169" t="e">
        <f>IF(A2330&lt;&gt;0,VLOOKUP(A2330,#REF!,2,FALSE),"")</f>
        <v>#REF!</v>
      </c>
      <c r="J2330" s="364"/>
      <c r="K2330" s="237"/>
    </row>
    <row r="2331" spans="1:11" s="45" customFormat="1" ht="30">
      <c r="A2331" s="24">
        <v>88239</v>
      </c>
      <c r="B2331" s="78" t="s">
        <v>393</v>
      </c>
      <c r="C2331" s="25" t="s">
        <v>12</v>
      </c>
      <c r="D2331" s="25" t="s">
        <v>19</v>
      </c>
      <c r="E2331" s="218">
        <v>1.8</v>
      </c>
      <c r="F2331" s="219">
        <f t="shared" si="749"/>
        <v>12.622499999999999</v>
      </c>
      <c r="G2331" s="219">
        <f t="shared" si="750"/>
        <v>22.72</v>
      </c>
      <c r="H2331" s="364">
        <v>12.622499999999999</v>
      </c>
      <c r="I2331" s="45" t="e">
        <f>IF(A2331&lt;&gt;0,VLOOKUP(A2331,#REF!,2,FALSE),"")</f>
        <v>#REF!</v>
      </c>
      <c r="J2331" s="364"/>
      <c r="K2331" s="237"/>
    </row>
    <row r="2332" spans="1:11" s="45" customFormat="1" ht="30">
      <c r="A2332" s="24">
        <v>88325</v>
      </c>
      <c r="B2332" s="78" t="s">
        <v>450</v>
      </c>
      <c r="C2332" s="25" t="s">
        <v>12</v>
      </c>
      <c r="D2332" s="25" t="s">
        <v>19</v>
      </c>
      <c r="E2332" s="218">
        <v>1.8</v>
      </c>
      <c r="F2332" s="219">
        <f t="shared" si="749"/>
        <v>12.699</v>
      </c>
      <c r="G2332" s="219">
        <f t="shared" si="750"/>
        <v>22.86</v>
      </c>
      <c r="H2332" s="364">
        <v>12.699</v>
      </c>
      <c r="I2332" s="45" t="e">
        <f>IF(A2332&lt;&gt;0,VLOOKUP(A2332,#REF!,2,FALSE),"")</f>
        <v>#REF!</v>
      </c>
      <c r="J2332" s="364"/>
      <c r="K2332" s="237"/>
    </row>
    <row r="2333" spans="1:11" s="45" customFormat="1">
      <c r="A2333" s="1109" t="s">
        <v>1894</v>
      </c>
      <c r="B2333" s="1109"/>
      <c r="C2333" s="1109"/>
      <c r="D2333" s="1109"/>
      <c r="E2333" s="1109"/>
      <c r="F2333" s="1109"/>
      <c r="G2333" s="220">
        <f>ROUND(SUM(G2327:G2332),2)</f>
        <v>507.98</v>
      </c>
      <c r="H2333" s="364"/>
      <c r="J2333" s="364"/>
      <c r="K2333" s="237"/>
    </row>
    <row r="2334" spans="1:11" ht="24.75" customHeight="1">
      <c r="A2334" s="27"/>
      <c r="B2334" s="27"/>
      <c r="C2334" s="27"/>
      <c r="D2334" s="27"/>
      <c r="E2334" s="27"/>
      <c r="F2334" s="27"/>
      <c r="G2334" s="27"/>
      <c r="K2334" s="237"/>
    </row>
    <row r="2335" spans="1:11" s="45" customFormat="1" ht="36.75" customHeight="1">
      <c r="A2335" s="920" t="s">
        <v>2677</v>
      </c>
      <c r="B2335" s="921"/>
      <c r="C2335" s="921"/>
      <c r="D2335" s="921"/>
      <c r="E2335" s="922"/>
      <c r="F2335" s="207" t="s">
        <v>44</v>
      </c>
      <c r="G2335" s="95">
        <v>13294</v>
      </c>
      <c r="H2335" s="364"/>
      <c r="J2335" s="364"/>
      <c r="K2335" s="237"/>
    </row>
    <row r="2336" spans="1:11" s="45" customFormat="1" ht="28.5">
      <c r="A2336" s="208" t="s">
        <v>366</v>
      </c>
      <c r="B2336" s="88"/>
      <c r="C2336" s="77" t="s">
        <v>3</v>
      </c>
      <c r="D2336" s="77" t="s">
        <v>4</v>
      </c>
      <c r="E2336" s="77" t="s">
        <v>1826</v>
      </c>
      <c r="F2336" s="77" t="s">
        <v>367</v>
      </c>
      <c r="G2336" s="77" t="s">
        <v>368</v>
      </c>
      <c r="H2336" s="364"/>
      <c r="J2336" s="364"/>
      <c r="K2336" s="237"/>
    </row>
    <row r="2337" spans="1:11" s="45" customFormat="1" ht="45">
      <c r="A2337" s="24">
        <v>13294</v>
      </c>
      <c r="B2337" s="78" t="s">
        <v>2678</v>
      </c>
      <c r="C2337" s="25" t="s">
        <v>44</v>
      </c>
      <c r="D2337" s="25" t="s">
        <v>17</v>
      </c>
      <c r="E2337" s="26">
        <v>1</v>
      </c>
      <c r="F2337" s="260">
        <f t="shared" ref="F2337" si="751">H2337</f>
        <v>71.697499999999991</v>
      </c>
      <c r="G2337" s="260">
        <f t="shared" ref="G2337" si="752">ROUND(F2337*E2337,2)</f>
        <v>71.7</v>
      </c>
      <c r="H2337" s="364">
        <v>71.697499999999991</v>
      </c>
      <c r="I2337" s="45" t="e">
        <f>IF(A2337&lt;&gt;0,VLOOKUP(A2337,#REF!,2,FALSE),"")</f>
        <v>#REF!</v>
      </c>
      <c r="J2337" s="364"/>
      <c r="K2337" s="237"/>
    </row>
    <row r="2338" spans="1:11" s="45" customFormat="1">
      <c r="A2338" s="1107" t="s">
        <v>1894</v>
      </c>
      <c r="B2338" s="1107"/>
      <c r="C2338" s="1107"/>
      <c r="D2338" s="1107"/>
      <c r="E2338" s="1107"/>
      <c r="F2338" s="1107"/>
      <c r="G2338" s="209">
        <f>ROUND(SUM(G2337),2)</f>
        <v>71.7</v>
      </c>
      <c r="H2338" s="364"/>
      <c r="J2338" s="364"/>
      <c r="K2338" s="237"/>
    </row>
    <row r="2339" spans="1:11" ht="24.75" customHeight="1">
      <c r="A2339" s="27"/>
      <c r="B2339" s="27"/>
      <c r="C2339" s="27"/>
      <c r="D2339" s="27"/>
      <c r="E2339" s="27"/>
      <c r="F2339" s="27"/>
      <c r="G2339" s="27"/>
      <c r="K2339" s="237"/>
    </row>
    <row r="2340" spans="1:11">
      <c r="A2340" s="920" t="s">
        <v>2970</v>
      </c>
      <c r="B2340" s="921"/>
      <c r="C2340" s="921"/>
      <c r="D2340" s="921"/>
      <c r="E2340" s="921"/>
      <c r="F2340" s="217" t="s">
        <v>1915</v>
      </c>
      <c r="G2340" s="344" t="s">
        <v>2690</v>
      </c>
      <c r="K2340" s="237"/>
    </row>
    <row r="2341" spans="1:11" ht="28.5">
      <c r="A2341" s="984" t="s">
        <v>364</v>
      </c>
      <c r="B2341" s="985"/>
      <c r="C2341" s="77" t="s">
        <v>3</v>
      </c>
      <c r="D2341" s="77" t="s">
        <v>4</v>
      </c>
      <c r="E2341" s="77" t="s">
        <v>1826</v>
      </c>
      <c r="F2341" s="77" t="s">
        <v>367</v>
      </c>
      <c r="G2341" s="77" t="s">
        <v>368</v>
      </c>
      <c r="K2341" s="237"/>
    </row>
    <row r="2342" spans="1:11" ht="30">
      <c r="A2342" s="24">
        <v>5067</v>
      </c>
      <c r="B2342" s="78" t="s">
        <v>466</v>
      </c>
      <c r="C2342" s="25" t="s">
        <v>12</v>
      </c>
      <c r="D2342" s="25" t="s">
        <v>45</v>
      </c>
      <c r="E2342" s="26">
        <v>0.4</v>
      </c>
      <c r="F2342" s="219">
        <f t="shared" ref="F2342:F2345" si="753">H2342</f>
        <v>17.050999999999998</v>
      </c>
      <c r="G2342" s="219">
        <f t="shared" ref="G2342:G2345" si="754">ROUND(F2342*E2342,2)</f>
        <v>6.82</v>
      </c>
      <c r="H2342" s="375">
        <v>17.050999999999998</v>
      </c>
      <c r="I2342" s="169" t="e">
        <f>IF(A2342&lt;&gt;0,VLOOKUP(A2342,#REF!,2,FALSE),"")</f>
        <v>#REF!</v>
      </c>
      <c r="K2342" s="237"/>
    </row>
    <row r="2343" spans="1:11" ht="30">
      <c r="A2343" s="24">
        <v>88239</v>
      </c>
      <c r="B2343" s="78" t="s">
        <v>393</v>
      </c>
      <c r="C2343" s="25" t="s">
        <v>12</v>
      </c>
      <c r="D2343" s="25" t="s">
        <v>19</v>
      </c>
      <c r="E2343" s="26">
        <v>4</v>
      </c>
      <c r="F2343" s="219">
        <f t="shared" si="753"/>
        <v>12.622499999999999</v>
      </c>
      <c r="G2343" s="219">
        <f t="shared" si="754"/>
        <v>50.49</v>
      </c>
      <c r="H2343" s="375">
        <v>12.622499999999999</v>
      </c>
      <c r="I2343" s="45" t="e">
        <f>IF(A2343&lt;&gt;0,VLOOKUP(A2343,#REF!,2,FALSE),"")</f>
        <v>#REF!</v>
      </c>
      <c r="K2343" s="237"/>
    </row>
    <row r="2344" spans="1:11" ht="30">
      <c r="A2344" s="24">
        <v>88261</v>
      </c>
      <c r="B2344" s="78" t="s">
        <v>435</v>
      </c>
      <c r="C2344" s="25" t="s">
        <v>12</v>
      </c>
      <c r="D2344" s="25" t="s">
        <v>19</v>
      </c>
      <c r="E2344" s="26">
        <v>4</v>
      </c>
      <c r="F2344" s="219">
        <f t="shared" si="753"/>
        <v>14.314</v>
      </c>
      <c r="G2344" s="219">
        <f t="shared" si="754"/>
        <v>57.26</v>
      </c>
      <c r="H2344" s="375">
        <v>14.314</v>
      </c>
      <c r="I2344" s="45" t="e">
        <f>IF(A2344&lt;&gt;0,VLOOKUP(A2344,#REF!,2,FALSE),"")</f>
        <v>#REF!</v>
      </c>
      <c r="K2344" s="237"/>
    </row>
    <row r="2345" spans="1:11" s="45" customFormat="1" ht="120">
      <c r="A2345" s="24">
        <v>12779</v>
      </c>
      <c r="B2345" s="78" t="s">
        <v>2971</v>
      </c>
      <c r="C2345" s="25" t="s">
        <v>44</v>
      </c>
      <c r="D2345" s="25" t="s">
        <v>26</v>
      </c>
      <c r="E2345" s="26">
        <v>1</v>
      </c>
      <c r="F2345" s="219">
        <f t="shared" si="753"/>
        <v>113.9</v>
      </c>
      <c r="G2345" s="219">
        <f t="shared" si="754"/>
        <v>113.9</v>
      </c>
      <c r="H2345" s="364">
        <v>113.9</v>
      </c>
      <c r="I2345" s="45" t="e">
        <f>IF(A2345&lt;&gt;0,VLOOKUP(A2345,#REF!,2,FALSE),"")</f>
        <v>#REF!</v>
      </c>
      <c r="J2345" s="364"/>
      <c r="K2345" s="237"/>
    </row>
    <row r="2346" spans="1:11">
      <c r="A2346" s="1109" t="s">
        <v>1894</v>
      </c>
      <c r="B2346" s="1109"/>
      <c r="C2346" s="1109"/>
      <c r="D2346" s="1109"/>
      <c r="E2346" s="1109"/>
      <c r="F2346" s="1109"/>
      <c r="G2346" s="220">
        <f>ROUND(SUM(G2342:G2345),2)</f>
        <v>228.47</v>
      </c>
      <c r="K2346" s="237"/>
    </row>
    <row r="2347" spans="1:11" ht="30" customHeight="1">
      <c r="A2347" s="263"/>
      <c r="B2347" s="263"/>
      <c r="C2347" s="263"/>
      <c r="D2347" s="263"/>
      <c r="E2347" s="263"/>
      <c r="F2347" s="348"/>
      <c r="G2347" s="264"/>
      <c r="K2347" s="237"/>
    </row>
    <row r="2348" spans="1:11" ht="49.5" customHeight="1">
      <c r="A2348" s="920" t="s">
        <v>2972</v>
      </c>
      <c r="B2348" s="921"/>
      <c r="C2348" s="921"/>
      <c r="D2348" s="921"/>
      <c r="E2348" s="921"/>
      <c r="F2348" s="217" t="s">
        <v>1915</v>
      </c>
      <c r="G2348" s="344" t="s">
        <v>2697</v>
      </c>
      <c r="K2348" s="237"/>
    </row>
    <row r="2349" spans="1:11" ht="28.5">
      <c r="A2349" s="984" t="s">
        <v>364</v>
      </c>
      <c r="B2349" s="985"/>
      <c r="C2349" s="77" t="s">
        <v>3</v>
      </c>
      <c r="D2349" s="77" t="s">
        <v>4</v>
      </c>
      <c r="E2349" s="77" t="s">
        <v>1826</v>
      </c>
      <c r="F2349" s="77" t="s">
        <v>367</v>
      </c>
      <c r="G2349" s="77" t="s">
        <v>368</v>
      </c>
      <c r="K2349" s="237"/>
    </row>
    <row r="2350" spans="1:11" s="45" customFormat="1" ht="30">
      <c r="A2350" s="24">
        <v>13701</v>
      </c>
      <c r="B2350" s="78" t="s">
        <v>2973</v>
      </c>
      <c r="C2350" s="25" t="s">
        <v>44</v>
      </c>
      <c r="D2350" s="25" t="s">
        <v>17</v>
      </c>
      <c r="E2350" s="26">
        <v>1</v>
      </c>
      <c r="F2350" s="219">
        <f t="shared" ref="F2350:F2351" si="755">H2350</f>
        <v>2280.3289999999997</v>
      </c>
      <c r="G2350" s="219">
        <f t="shared" ref="G2350:G2351" si="756">ROUND(F2350*E2350,2)</f>
        <v>2280.33</v>
      </c>
      <c r="H2350" s="364">
        <v>2280.3289999999997</v>
      </c>
      <c r="I2350" s="45" t="e">
        <f>IF(A2350&lt;&gt;0,VLOOKUP(A2350,#REF!,2,FALSE),"")</f>
        <v>#REF!</v>
      </c>
      <c r="J2350" s="364"/>
      <c r="K2350" s="237"/>
    </row>
    <row r="2351" spans="1:11">
      <c r="A2351" s="172">
        <v>90801</v>
      </c>
      <c r="B2351" s="78" t="e">
        <f>I2351</f>
        <v>#REF!</v>
      </c>
      <c r="C2351" s="25" t="s">
        <v>12</v>
      </c>
      <c r="D2351" s="25" t="s">
        <v>17</v>
      </c>
      <c r="E2351" s="26">
        <v>1</v>
      </c>
      <c r="F2351" s="219">
        <f t="shared" si="755"/>
        <v>170.595</v>
      </c>
      <c r="G2351" s="219">
        <f t="shared" si="756"/>
        <v>170.6</v>
      </c>
      <c r="H2351" s="375">
        <v>170.595</v>
      </c>
      <c r="I2351" s="45" t="e">
        <f>IF(A2351&lt;&gt;0,VLOOKUP(A2351,#REF!,2,FALSE),"")</f>
        <v>#REF!</v>
      </c>
      <c r="K2351" s="237"/>
    </row>
    <row r="2352" spans="1:11">
      <c r="A2352" s="24">
        <v>100659</v>
      </c>
      <c r="B2352" s="78" t="e">
        <f>I2352</f>
        <v>#REF!</v>
      </c>
      <c r="C2352" s="25" t="s">
        <v>12</v>
      </c>
      <c r="D2352" s="25" t="s">
        <v>52</v>
      </c>
      <c r="E2352" s="26">
        <v>10</v>
      </c>
      <c r="F2352" s="26">
        <f>H2352</f>
        <v>5.4994999999999994</v>
      </c>
      <c r="G2352" s="26">
        <f>ROUND(F2352*E2352,2)</f>
        <v>55</v>
      </c>
      <c r="H2352" s="375">
        <v>5.4994999999999994</v>
      </c>
      <c r="I2352" s="45" t="e">
        <f>IF(A2352&lt;&gt;0,VLOOKUP(A2352,#REF!,2,FALSE),"")</f>
        <v>#REF!</v>
      </c>
      <c r="K2352" s="237"/>
    </row>
    <row r="2353" spans="1:11" s="45" customFormat="1" ht="30">
      <c r="A2353" s="24">
        <v>3528</v>
      </c>
      <c r="B2353" s="78" t="s">
        <v>2974</v>
      </c>
      <c r="C2353" s="25" t="s">
        <v>44</v>
      </c>
      <c r="D2353" s="25" t="s">
        <v>17</v>
      </c>
      <c r="E2353" s="26">
        <v>1</v>
      </c>
      <c r="F2353" s="219">
        <f t="shared" ref="F2353" si="757">H2353</f>
        <v>116.28000000000002</v>
      </c>
      <c r="G2353" s="219">
        <f t="shared" ref="G2353" si="758">ROUND(F2353*E2353,2)</f>
        <v>116.28</v>
      </c>
      <c r="H2353" s="364">
        <v>116.28000000000002</v>
      </c>
      <c r="I2353" s="45" t="e">
        <f>IF(A2353&lt;&gt;0,VLOOKUP(A2353,#REF!,2,FALSE),"")</f>
        <v>#REF!</v>
      </c>
      <c r="J2353" s="364"/>
      <c r="K2353" s="237"/>
    </row>
    <row r="2354" spans="1:11">
      <c r="A2354" s="1109" t="s">
        <v>1894</v>
      </c>
      <c r="B2354" s="1109"/>
      <c r="C2354" s="1109"/>
      <c r="D2354" s="1109"/>
      <c r="E2354" s="1109"/>
      <c r="F2354" s="1109"/>
      <c r="G2354" s="220">
        <f>ROUND(SUM(G2350:G2353),2)</f>
        <v>2622.21</v>
      </c>
      <c r="K2354" s="237"/>
    </row>
    <row r="2355" spans="1:11" ht="24" customHeight="1">
      <c r="A2355" s="27"/>
      <c r="B2355" s="27"/>
      <c r="C2355" s="27"/>
      <c r="D2355" s="27"/>
      <c r="E2355" s="27"/>
      <c r="F2355" s="27"/>
      <c r="G2355" s="27"/>
      <c r="K2355" s="237"/>
    </row>
    <row r="2356" spans="1:11">
      <c r="A2356" s="1110" t="s">
        <v>2715</v>
      </c>
      <c r="B2356" s="1111"/>
      <c r="C2356" s="1111"/>
      <c r="D2356" s="1111"/>
      <c r="E2356" s="1112"/>
      <c r="F2356" s="217" t="s">
        <v>44</v>
      </c>
      <c r="G2356" s="265">
        <v>9083</v>
      </c>
      <c r="K2356" s="237"/>
    </row>
    <row r="2357" spans="1:11" ht="28.5">
      <c r="A2357" s="266" t="s">
        <v>1917</v>
      </c>
      <c r="B2357" s="267"/>
      <c r="C2357" s="266" t="s">
        <v>3</v>
      </c>
      <c r="D2357" s="266" t="s">
        <v>4</v>
      </c>
      <c r="E2357" s="266" t="s">
        <v>1826</v>
      </c>
      <c r="F2357" s="266" t="s">
        <v>367</v>
      </c>
      <c r="G2357" s="266" t="s">
        <v>368</v>
      </c>
      <c r="K2357" s="237"/>
    </row>
    <row r="2358" spans="1:11" s="45" customFormat="1" ht="60">
      <c r="A2358" s="268">
        <v>9369</v>
      </c>
      <c r="B2358" s="269" t="s">
        <v>2975</v>
      </c>
      <c r="C2358" s="270" t="s">
        <v>44</v>
      </c>
      <c r="D2358" s="270" t="s">
        <v>26</v>
      </c>
      <c r="E2358" s="219">
        <v>1</v>
      </c>
      <c r="F2358" s="219">
        <f t="shared" ref="F2358" si="759">H2358</f>
        <v>76.5</v>
      </c>
      <c r="G2358" s="219">
        <f t="shared" ref="G2358" si="760">ROUND(F2358*E2358,2)</f>
        <v>76.5</v>
      </c>
      <c r="H2358" s="364">
        <v>76.5</v>
      </c>
      <c r="I2358" s="45" t="e">
        <f>IF(A2358&lt;&gt;0,VLOOKUP(A2358,#REF!,2,FALSE),"")</f>
        <v>#REF!</v>
      </c>
      <c r="J2358" s="364"/>
      <c r="K2358" s="237"/>
    </row>
    <row r="2359" spans="1:11">
      <c r="A2359" s="1109" t="s">
        <v>1894</v>
      </c>
      <c r="B2359" s="1109"/>
      <c r="C2359" s="1109"/>
      <c r="D2359" s="1109"/>
      <c r="E2359" s="1109"/>
      <c r="F2359" s="1109"/>
      <c r="G2359" s="220">
        <f>ROUND(SUM(G2358:G2358),2)</f>
        <v>76.5</v>
      </c>
      <c r="K2359" s="237"/>
    </row>
    <row r="2360" spans="1:11" ht="25.5" customHeight="1">
      <c r="A2360" s="27"/>
      <c r="B2360" s="27"/>
      <c r="C2360" s="27"/>
      <c r="D2360" s="27"/>
      <c r="E2360" s="27"/>
      <c r="F2360" s="27"/>
      <c r="G2360" s="27"/>
      <c r="K2360" s="237"/>
    </row>
    <row r="2361" spans="1:11" ht="53.25" customHeight="1">
      <c r="A2361" s="920" t="s">
        <v>2976</v>
      </c>
      <c r="B2361" s="921"/>
      <c r="C2361" s="921"/>
      <c r="D2361" s="921"/>
      <c r="E2361" s="929"/>
      <c r="F2361" s="217" t="s">
        <v>1915</v>
      </c>
      <c r="G2361" s="344" t="s">
        <v>2699</v>
      </c>
      <c r="K2361" s="237"/>
    </row>
    <row r="2362" spans="1:11" ht="28.5">
      <c r="A2362" s="984" t="s">
        <v>364</v>
      </c>
      <c r="B2362" s="985"/>
      <c r="C2362" s="77" t="s">
        <v>3</v>
      </c>
      <c r="D2362" s="77" t="s">
        <v>4</v>
      </c>
      <c r="E2362" s="77" t="s">
        <v>1826</v>
      </c>
      <c r="F2362" s="77" t="s">
        <v>367</v>
      </c>
      <c r="G2362" s="77" t="s">
        <v>368</v>
      </c>
      <c r="K2362" s="237"/>
    </row>
    <row r="2363" spans="1:11" ht="45">
      <c r="A2363" s="24">
        <v>142</v>
      </c>
      <c r="B2363" s="78" t="s">
        <v>423</v>
      </c>
      <c r="C2363" s="25" t="s">
        <v>12</v>
      </c>
      <c r="D2363" s="25" t="s">
        <v>424</v>
      </c>
      <c r="E2363" s="26">
        <v>0.88290000000000002</v>
      </c>
      <c r="F2363" s="219">
        <f t="shared" ref="F2363:F2369" si="761">H2363</f>
        <v>28.126500000000004</v>
      </c>
      <c r="G2363" s="219">
        <f t="shared" ref="G2363:G2369" si="762">ROUND(F2363*E2363,2)</f>
        <v>24.83</v>
      </c>
      <c r="H2363" s="375">
        <v>28.126500000000004</v>
      </c>
      <c r="I2363" s="169" t="e">
        <f>IF(A2363&lt;&gt;0,VLOOKUP(A2363,#REF!,2,FALSE),"")</f>
        <v>#REF!</v>
      </c>
      <c r="K2363" s="237"/>
    </row>
    <row r="2364" spans="1:11" ht="60">
      <c r="A2364" s="24">
        <v>7568</v>
      </c>
      <c r="B2364" s="78" t="s">
        <v>425</v>
      </c>
      <c r="C2364" s="25" t="s">
        <v>12</v>
      </c>
      <c r="D2364" s="25" t="s">
        <v>17</v>
      </c>
      <c r="E2364" s="26">
        <v>4.8166000000000002</v>
      </c>
      <c r="F2364" s="219">
        <f t="shared" si="761"/>
        <v>0.30599999999999999</v>
      </c>
      <c r="G2364" s="219">
        <f t="shared" si="762"/>
        <v>1.47</v>
      </c>
      <c r="H2364" s="375">
        <v>0.30599999999999999</v>
      </c>
      <c r="I2364" s="169" t="e">
        <f>IF(A2364&lt;&gt;0,VLOOKUP(A2364,#REF!,2,FALSE),"")</f>
        <v>#REF!</v>
      </c>
      <c r="K2364" s="237"/>
    </row>
    <row r="2365" spans="1:11" ht="75">
      <c r="A2365" s="24">
        <v>39024</v>
      </c>
      <c r="B2365" s="78" t="s">
        <v>426</v>
      </c>
      <c r="C2365" s="25" t="s">
        <v>12</v>
      </c>
      <c r="D2365" s="25" t="s">
        <v>17</v>
      </c>
      <c r="E2365" s="26">
        <v>1.724</v>
      </c>
      <c r="F2365" s="219">
        <f t="shared" si="761"/>
        <v>555.25400000000002</v>
      </c>
      <c r="G2365" s="219">
        <f t="shared" si="762"/>
        <v>957.26</v>
      </c>
      <c r="H2365" s="375">
        <v>555.25400000000002</v>
      </c>
      <c r="I2365" s="169" t="e">
        <f>IF(A2365&lt;&gt;0,VLOOKUP(A2365,#REF!,2,FALSE),"")</f>
        <v>#REF!</v>
      </c>
      <c r="K2365" s="237"/>
    </row>
    <row r="2366" spans="1:11" s="45" customFormat="1">
      <c r="A2366" s="24">
        <v>2583</v>
      </c>
      <c r="B2366" s="78" t="s">
        <v>2977</v>
      </c>
      <c r="C2366" s="25" t="s">
        <v>44</v>
      </c>
      <c r="D2366" s="25" t="s">
        <v>68</v>
      </c>
      <c r="E2366" s="26">
        <v>0.75</v>
      </c>
      <c r="F2366" s="219">
        <f t="shared" si="761"/>
        <v>31.058999999999997</v>
      </c>
      <c r="G2366" s="219">
        <f t="shared" si="762"/>
        <v>23.29</v>
      </c>
      <c r="H2366" s="364">
        <v>31.058999999999997</v>
      </c>
      <c r="I2366" s="45" t="e">
        <f>IF(A2366&lt;&gt;0,VLOOKUP(A2366,#REF!,2,FALSE),"")</f>
        <v>#REF!</v>
      </c>
      <c r="J2366" s="364"/>
      <c r="K2366" s="237"/>
    </row>
    <row r="2367" spans="1:11" ht="45">
      <c r="A2367" s="24">
        <v>36888</v>
      </c>
      <c r="B2367" s="78" t="s">
        <v>406</v>
      </c>
      <c r="C2367" s="25" t="s">
        <v>12</v>
      </c>
      <c r="D2367" s="25" t="s">
        <v>52</v>
      </c>
      <c r="E2367" s="26">
        <v>6.8503999999999996</v>
      </c>
      <c r="F2367" s="219">
        <f t="shared" si="761"/>
        <v>11.202999999999999</v>
      </c>
      <c r="G2367" s="219">
        <f t="shared" si="762"/>
        <v>76.75</v>
      </c>
      <c r="H2367" s="375">
        <v>11.202999999999999</v>
      </c>
      <c r="I2367" s="169" t="e">
        <f>IF(A2367&lt;&gt;0,VLOOKUP(A2367,#REF!,2,FALSE),"")</f>
        <v>#REF!</v>
      </c>
      <c r="K2367" s="237"/>
    </row>
    <row r="2368" spans="1:11" ht="30">
      <c r="A2368" s="24">
        <v>88309</v>
      </c>
      <c r="B2368" s="78" t="s">
        <v>390</v>
      </c>
      <c r="C2368" s="25" t="s">
        <v>12</v>
      </c>
      <c r="D2368" s="25" t="s">
        <v>19</v>
      </c>
      <c r="E2368" s="26">
        <v>0.35630000000000001</v>
      </c>
      <c r="F2368" s="219">
        <f t="shared" si="761"/>
        <v>15.121499999999999</v>
      </c>
      <c r="G2368" s="219">
        <f t="shared" si="762"/>
        <v>5.39</v>
      </c>
      <c r="H2368" s="375">
        <v>15.121499999999999</v>
      </c>
      <c r="I2368" s="45" t="e">
        <f>IF(A2368&lt;&gt;0,VLOOKUP(A2368,#REF!,2,FALSE),"")</f>
        <v>#REF!</v>
      </c>
      <c r="K2368" s="237"/>
    </row>
    <row r="2369" spans="1:11" ht="30">
      <c r="A2369" s="24">
        <v>88316</v>
      </c>
      <c r="B2369" s="78" t="s">
        <v>377</v>
      </c>
      <c r="C2369" s="25" t="s">
        <v>12</v>
      </c>
      <c r="D2369" s="25" t="s">
        <v>19</v>
      </c>
      <c r="E2369" s="26">
        <v>0.1779</v>
      </c>
      <c r="F2369" s="219">
        <f t="shared" si="761"/>
        <v>11.798000000000002</v>
      </c>
      <c r="G2369" s="219">
        <f t="shared" si="762"/>
        <v>2.1</v>
      </c>
      <c r="H2369" s="375">
        <v>11.798000000000002</v>
      </c>
      <c r="I2369" s="45" t="e">
        <f>IF(A2369&lt;&gt;0,VLOOKUP(A2369,#REF!,2,FALSE),"")</f>
        <v>#REF!</v>
      </c>
      <c r="K2369" s="237"/>
    </row>
    <row r="2370" spans="1:11">
      <c r="A2370" s="1109" t="s">
        <v>1894</v>
      </c>
      <c r="B2370" s="1109"/>
      <c r="C2370" s="1109"/>
      <c r="D2370" s="1109"/>
      <c r="E2370" s="1109"/>
      <c r="F2370" s="1109"/>
      <c r="G2370" s="220">
        <f>ROUND(SUM(G2363:G2369),2)</f>
        <v>1091.0899999999999</v>
      </c>
      <c r="K2370" s="237"/>
    </row>
    <row r="2371" spans="1:11" ht="25.5" customHeight="1">
      <c r="A2371" s="271"/>
      <c r="B2371" s="271"/>
      <c r="C2371" s="271"/>
      <c r="D2371" s="271"/>
      <c r="E2371" s="271"/>
      <c r="F2371" s="271"/>
      <c r="G2371" s="271"/>
      <c r="K2371" s="237"/>
    </row>
    <row r="2372" spans="1:11" ht="45" customHeight="1">
      <c r="A2372" s="920" t="s">
        <v>2978</v>
      </c>
      <c r="B2372" s="921"/>
      <c r="C2372" s="921"/>
      <c r="D2372" s="921"/>
      <c r="E2372" s="929"/>
      <c r="F2372" s="217" t="s">
        <v>1915</v>
      </c>
      <c r="G2372" s="344" t="s">
        <v>2701</v>
      </c>
      <c r="K2372" s="237"/>
    </row>
    <row r="2373" spans="1:11" ht="28.5">
      <c r="A2373" s="984" t="s">
        <v>364</v>
      </c>
      <c r="B2373" s="985"/>
      <c r="C2373" s="77" t="s">
        <v>3</v>
      </c>
      <c r="D2373" s="77" t="s">
        <v>4</v>
      </c>
      <c r="E2373" s="77" t="s">
        <v>1826</v>
      </c>
      <c r="F2373" s="77" t="s">
        <v>367</v>
      </c>
      <c r="G2373" s="77" t="s">
        <v>368</v>
      </c>
      <c r="K2373" s="237"/>
    </row>
    <row r="2374" spans="1:11" ht="45">
      <c r="A2374" s="24">
        <v>142</v>
      </c>
      <c r="B2374" s="78" t="s">
        <v>423</v>
      </c>
      <c r="C2374" s="25" t="s">
        <v>12</v>
      </c>
      <c r="D2374" s="25" t="s">
        <v>424</v>
      </c>
      <c r="E2374" s="26">
        <v>0.88290000000000002</v>
      </c>
      <c r="F2374" s="219">
        <f t="shared" ref="F2374:F2380" si="763">H2374</f>
        <v>28.126500000000004</v>
      </c>
      <c r="G2374" s="219">
        <f t="shared" ref="G2374:G2380" si="764">ROUND(F2374*E2374,2)</f>
        <v>24.83</v>
      </c>
      <c r="H2374" s="375">
        <v>28.126500000000004</v>
      </c>
      <c r="I2374" s="169" t="e">
        <f>IF(A2374&lt;&gt;0,VLOOKUP(A2374,#REF!,2,FALSE),"")</f>
        <v>#REF!</v>
      </c>
      <c r="K2374" s="237"/>
    </row>
    <row r="2375" spans="1:11" ht="60">
      <c r="A2375" s="24">
        <v>7568</v>
      </c>
      <c r="B2375" s="78" t="s">
        <v>425</v>
      </c>
      <c r="C2375" s="25" t="s">
        <v>12</v>
      </c>
      <c r="D2375" s="25" t="s">
        <v>17</v>
      </c>
      <c r="E2375" s="26">
        <v>4.8166000000000002</v>
      </c>
      <c r="F2375" s="219">
        <f t="shared" si="763"/>
        <v>0.30599999999999999</v>
      </c>
      <c r="G2375" s="219">
        <f t="shared" si="764"/>
        <v>1.47</v>
      </c>
      <c r="H2375" s="375">
        <v>0.30599999999999999</v>
      </c>
      <c r="I2375" s="169" t="e">
        <f>IF(A2375&lt;&gt;0,VLOOKUP(A2375,#REF!,2,FALSE),"")</f>
        <v>#REF!</v>
      </c>
      <c r="K2375" s="237"/>
    </row>
    <row r="2376" spans="1:11" ht="75">
      <c r="A2376" s="24">
        <v>39024</v>
      </c>
      <c r="B2376" s="78" t="s">
        <v>426</v>
      </c>
      <c r="C2376" s="25" t="s">
        <v>12</v>
      </c>
      <c r="D2376" s="25" t="s">
        <v>17</v>
      </c>
      <c r="E2376" s="26">
        <v>1.0344</v>
      </c>
      <c r="F2376" s="219">
        <f t="shared" si="763"/>
        <v>555.25400000000002</v>
      </c>
      <c r="G2376" s="219">
        <f t="shared" si="764"/>
        <v>574.35</v>
      </c>
      <c r="H2376" s="375">
        <v>555.25400000000002</v>
      </c>
      <c r="I2376" s="169" t="e">
        <f>IF(A2376&lt;&gt;0,VLOOKUP(A2376,#REF!,2,FALSE),"")</f>
        <v>#REF!</v>
      </c>
      <c r="K2376" s="237"/>
    </row>
    <row r="2377" spans="1:11" s="45" customFormat="1">
      <c r="A2377" s="24">
        <v>2583</v>
      </c>
      <c r="B2377" s="78" t="s">
        <v>2977</v>
      </c>
      <c r="C2377" s="25" t="s">
        <v>44</v>
      </c>
      <c r="D2377" s="25" t="s">
        <v>68</v>
      </c>
      <c r="E2377" s="26">
        <v>0.75</v>
      </c>
      <c r="F2377" s="219">
        <f t="shared" si="763"/>
        <v>31.058999999999997</v>
      </c>
      <c r="G2377" s="219">
        <f t="shared" si="764"/>
        <v>23.29</v>
      </c>
      <c r="H2377" s="364">
        <v>31.058999999999997</v>
      </c>
      <c r="I2377" s="45" t="e">
        <f>IF(A2377&lt;&gt;0,VLOOKUP(A2377,#REF!,2,FALSE),"")</f>
        <v>#REF!</v>
      </c>
      <c r="J2377" s="364"/>
      <c r="K2377" s="237"/>
    </row>
    <row r="2378" spans="1:11" ht="45">
      <c r="A2378" s="24">
        <v>36888</v>
      </c>
      <c r="B2378" s="78" t="s">
        <v>406</v>
      </c>
      <c r="C2378" s="25" t="s">
        <v>12</v>
      </c>
      <c r="D2378" s="25" t="s">
        <v>52</v>
      </c>
      <c r="E2378" s="26">
        <v>6.8503999999999996</v>
      </c>
      <c r="F2378" s="219">
        <f t="shared" si="763"/>
        <v>11.202999999999999</v>
      </c>
      <c r="G2378" s="219">
        <f t="shared" si="764"/>
        <v>76.75</v>
      </c>
      <c r="H2378" s="375">
        <v>11.202999999999999</v>
      </c>
      <c r="I2378" s="222" t="e">
        <f>IF(A2378&lt;&gt;0,VLOOKUP(A2378,#REF!,2,FALSE),"")</f>
        <v>#REF!</v>
      </c>
      <c r="K2378" s="237"/>
    </row>
    <row r="2379" spans="1:11" ht="30">
      <c r="A2379" s="24">
        <v>88309</v>
      </c>
      <c r="B2379" s="78" t="s">
        <v>390</v>
      </c>
      <c r="C2379" s="25" t="s">
        <v>12</v>
      </c>
      <c r="D2379" s="25" t="s">
        <v>19</v>
      </c>
      <c r="E2379" s="26">
        <v>0.35630000000000001</v>
      </c>
      <c r="F2379" s="219">
        <f t="shared" si="763"/>
        <v>15.121499999999999</v>
      </c>
      <c r="G2379" s="219">
        <f t="shared" si="764"/>
        <v>5.39</v>
      </c>
      <c r="H2379" s="375">
        <v>15.121499999999999</v>
      </c>
      <c r="I2379" s="45" t="e">
        <f>IF(A2379&lt;&gt;0,VLOOKUP(A2379,#REF!,2,FALSE),"")</f>
        <v>#REF!</v>
      </c>
      <c r="K2379" s="237"/>
    </row>
    <row r="2380" spans="1:11" ht="30">
      <c r="A2380" s="24">
        <v>88316</v>
      </c>
      <c r="B2380" s="78" t="s">
        <v>377</v>
      </c>
      <c r="C2380" s="25" t="s">
        <v>12</v>
      </c>
      <c r="D2380" s="25" t="s">
        <v>19</v>
      </c>
      <c r="E2380" s="26">
        <v>0.1779</v>
      </c>
      <c r="F2380" s="219">
        <f t="shared" si="763"/>
        <v>11.798000000000002</v>
      </c>
      <c r="G2380" s="219">
        <f t="shared" si="764"/>
        <v>2.1</v>
      </c>
      <c r="H2380" s="375">
        <v>11.798000000000002</v>
      </c>
      <c r="I2380" s="45" t="e">
        <f>IF(A2380&lt;&gt;0,VLOOKUP(A2380,#REF!,2,FALSE),"")</f>
        <v>#REF!</v>
      </c>
      <c r="K2380" s="237"/>
    </row>
    <row r="2381" spans="1:11">
      <c r="A2381" s="1109" t="s">
        <v>1894</v>
      </c>
      <c r="B2381" s="1109"/>
      <c r="C2381" s="1109"/>
      <c r="D2381" s="1109"/>
      <c r="E2381" s="1109"/>
      <c r="F2381" s="1109"/>
      <c r="G2381" s="220">
        <f>ROUND(SUM(G2374:G2380),2)</f>
        <v>708.18</v>
      </c>
      <c r="K2381" s="237"/>
    </row>
    <row r="2382" spans="1:11" ht="27" customHeight="1">
      <c r="A2382" s="271"/>
      <c r="B2382" s="271"/>
      <c r="C2382" s="271"/>
      <c r="D2382" s="271"/>
      <c r="E2382" s="271"/>
      <c r="F2382" s="271"/>
      <c r="G2382" s="271"/>
      <c r="K2382" s="237"/>
    </row>
    <row r="2383" spans="1:11" ht="54.75" customHeight="1">
      <c r="A2383" s="920" t="s">
        <v>2979</v>
      </c>
      <c r="B2383" s="921"/>
      <c r="C2383" s="921"/>
      <c r="D2383" s="921"/>
      <c r="E2383" s="929"/>
      <c r="F2383" s="217" t="s">
        <v>1915</v>
      </c>
      <c r="G2383" s="344" t="s">
        <v>2703</v>
      </c>
      <c r="K2383" s="237"/>
    </row>
    <row r="2384" spans="1:11" ht="28.5">
      <c r="A2384" s="984" t="s">
        <v>364</v>
      </c>
      <c r="B2384" s="985"/>
      <c r="C2384" s="77" t="s">
        <v>3</v>
      </c>
      <c r="D2384" s="77" t="s">
        <v>4</v>
      </c>
      <c r="E2384" s="77" t="s">
        <v>1826</v>
      </c>
      <c r="F2384" s="77" t="s">
        <v>367</v>
      </c>
      <c r="G2384" s="77" t="s">
        <v>368</v>
      </c>
      <c r="K2384" s="237"/>
    </row>
    <row r="2385" spans="1:11" ht="45">
      <c r="A2385" s="24">
        <v>142</v>
      </c>
      <c r="B2385" s="78" t="s">
        <v>423</v>
      </c>
      <c r="C2385" s="25" t="s">
        <v>12</v>
      </c>
      <c r="D2385" s="25" t="s">
        <v>424</v>
      </c>
      <c r="E2385" s="26">
        <v>0.88290000000000002</v>
      </c>
      <c r="F2385" s="219">
        <f t="shared" ref="F2385:F2390" si="765">H2385</f>
        <v>28.126500000000004</v>
      </c>
      <c r="G2385" s="219">
        <f t="shared" ref="G2385:G2390" si="766">ROUND(F2385*E2385,2)</f>
        <v>24.83</v>
      </c>
      <c r="H2385" s="375">
        <v>28.126500000000004</v>
      </c>
      <c r="I2385" s="169" t="e">
        <f>IF(A2385&lt;&gt;0,VLOOKUP(A2385,#REF!,2,FALSE),"")</f>
        <v>#REF!</v>
      </c>
      <c r="K2385" s="237"/>
    </row>
    <row r="2386" spans="1:11" ht="60">
      <c r="A2386" s="24">
        <v>7568</v>
      </c>
      <c r="B2386" s="78" t="s">
        <v>425</v>
      </c>
      <c r="C2386" s="25" t="s">
        <v>12</v>
      </c>
      <c r="D2386" s="25" t="s">
        <v>17</v>
      </c>
      <c r="E2386" s="26">
        <v>4.8166000000000002</v>
      </c>
      <c r="F2386" s="219">
        <f t="shared" si="765"/>
        <v>0.30599999999999999</v>
      </c>
      <c r="G2386" s="219">
        <f t="shared" si="766"/>
        <v>1.47</v>
      </c>
      <c r="H2386" s="375">
        <v>0.30599999999999999</v>
      </c>
      <c r="I2386" s="169" t="e">
        <f>IF(A2386&lt;&gt;0,VLOOKUP(A2386,#REF!,2,FALSE),"")</f>
        <v>#REF!</v>
      </c>
      <c r="K2386" s="237"/>
    </row>
    <row r="2387" spans="1:11" ht="75">
      <c r="A2387" s="24">
        <v>39024</v>
      </c>
      <c r="B2387" s="78" t="s">
        <v>426</v>
      </c>
      <c r="C2387" s="25" t="s">
        <v>12</v>
      </c>
      <c r="D2387" s="25" t="s">
        <v>17</v>
      </c>
      <c r="E2387" s="26">
        <v>1.38</v>
      </c>
      <c r="F2387" s="219">
        <f t="shared" si="765"/>
        <v>555.25400000000002</v>
      </c>
      <c r="G2387" s="219">
        <f t="shared" si="766"/>
        <v>766.25</v>
      </c>
      <c r="H2387" s="375">
        <v>555.25400000000002</v>
      </c>
      <c r="I2387" s="169" t="e">
        <f>IF(A2387&lt;&gt;0,VLOOKUP(A2387,#REF!,2,FALSE),"")</f>
        <v>#REF!</v>
      </c>
      <c r="K2387" s="237"/>
    </row>
    <row r="2388" spans="1:11" ht="45">
      <c r="A2388" s="24">
        <v>36888</v>
      </c>
      <c r="B2388" s="78" t="s">
        <v>406</v>
      </c>
      <c r="C2388" s="25" t="s">
        <v>12</v>
      </c>
      <c r="D2388" s="25" t="s">
        <v>52</v>
      </c>
      <c r="E2388" s="26">
        <v>6.8503999999999996</v>
      </c>
      <c r="F2388" s="219">
        <f t="shared" si="765"/>
        <v>11.202999999999999</v>
      </c>
      <c r="G2388" s="219">
        <f t="shared" si="766"/>
        <v>76.75</v>
      </c>
      <c r="H2388" s="375">
        <v>11.202999999999999</v>
      </c>
      <c r="I2388" s="169" t="e">
        <f>IF(A2388&lt;&gt;0,VLOOKUP(A2388,#REF!,2,FALSE),"")</f>
        <v>#REF!</v>
      </c>
      <c r="K2388" s="237"/>
    </row>
    <row r="2389" spans="1:11" ht="30">
      <c r="A2389" s="24">
        <v>88309</v>
      </c>
      <c r="B2389" s="78" t="s">
        <v>390</v>
      </c>
      <c r="C2389" s="25" t="s">
        <v>12</v>
      </c>
      <c r="D2389" s="25" t="s">
        <v>19</v>
      </c>
      <c r="E2389" s="26">
        <v>0.35630000000000001</v>
      </c>
      <c r="F2389" s="219">
        <f t="shared" si="765"/>
        <v>15.121499999999999</v>
      </c>
      <c r="G2389" s="219">
        <f t="shared" si="766"/>
        <v>5.39</v>
      </c>
      <c r="H2389" s="375">
        <v>15.121499999999999</v>
      </c>
      <c r="I2389" s="45" t="e">
        <f>IF(A2389&lt;&gt;0,VLOOKUP(A2389,#REF!,2,FALSE),"")</f>
        <v>#REF!</v>
      </c>
      <c r="K2389" s="237"/>
    </row>
    <row r="2390" spans="1:11" ht="30">
      <c r="A2390" s="24">
        <v>88316</v>
      </c>
      <c r="B2390" s="78" t="s">
        <v>377</v>
      </c>
      <c r="C2390" s="25" t="s">
        <v>12</v>
      </c>
      <c r="D2390" s="25" t="s">
        <v>19</v>
      </c>
      <c r="E2390" s="26">
        <v>0.1779</v>
      </c>
      <c r="F2390" s="219">
        <f t="shared" si="765"/>
        <v>11.798000000000002</v>
      </c>
      <c r="G2390" s="219">
        <f t="shared" si="766"/>
        <v>2.1</v>
      </c>
      <c r="H2390" s="375">
        <v>11.798000000000002</v>
      </c>
      <c r="I2390" s="45" t="e">
        <f>IF(A2390&lt;&gt;0,VLOOKUP(A2390,#REF!,2,FALSE),"")</f>
        <v>#REF!</v>
      </c>
      <c r="K2390" s="237"/>
    </row>
    <row r="2391" spans="1:11">
      <c r="A2391" s="1109" t="s">
        <v>1894</v>
      </c>
      <c r="B2391" s="1109"/>
      <c r="C2391" s="1109"/>
      <c r="D2391" s="1109"/>
      <c r="E2391" s="1109"/>
      <c r="F2391" s="1109"/>
      <c r="G2391" s="220">
        <f>ROUND(SUM(G2385:G2390),2)</f>
        <v>876.79</v>
      </c>
      <c r="K2391" s="237"/>
    </row>
    <row r="2392" spans="1:11" ht="23.25" customHeight="1">
      <c r="A2392" s="271"/>
      <c r="B2392" s="271"/>
      <c r="C2392" s="271"/>
      <c r="D2392" s="271"/>
      <c r="E2392" s="271"/>
      <c r="F2392" s="271"/>
      <c r="G2392" s="271"/>
      <c r="K2392" s="237"/>
    </row>
    <row r="2393" spans="1:11" ht="60.75" customHeight="1">
      <c r="A2393" s="920" t="s">
        <v>2980</v>
      </c>
      <c r="B2393" s="921"/>
      <c r="C2393" s="921"/>
      <c r="D2393" s="921"/>
      <c r="E2393" s="929"/>
      <c r="F2393" s="217" t="s">
        <v>1915</v>
      </c>
      <c r="G2393" s="344" t="s">
        <v>2705</v>
      </c>
      <c r="K2393" s="237"/>
    </row>
    <row r="2394" spans="1:11" ht="28.5">
      <c r="A2394" s="984" t="s">
        <v>364</v>
      </c>
      <c r="B2394" s="985"/>
      <c r="C2394" s="77" t="s">
        <v>3</v>
      </c>
      <c r="D2394" s="77" t="s">
        <v>4</v>
      </c>
      <c r="E2394" s="77" t="s">
        <v>1826</v>
      </c>
      <c r="F2394" s="77" t="s">
        <v>367</v>
      </c>
      <c r="G2394" s="77" t="s">
        <v>368</v>
      </c>
      <c r="K2394" s="237"/>
    </row>
    <row r="2395" spans="1:11" ht="45">
      <c r="A2395" s="24">
        <v>142</v>
      </c>
      <c r="B2395" s="78" t="s">
        <v>423</v>
      </c>
      <c r="C2395" s="25" t="s">
        <v>12</v>
      </c>
      <c r="D2395" s="25" t="s">
        <v>424</v>
      </c>
      <c r="E2395" s="26">
        <v>0.88290000000000002</v>
      </c>
      <c r="F2395" s="219">
        <f t="shared" ref="F2395:F2401" si="767">H2395</f>
        <v>28.126500000000004</v>
      </c>
      <c r="G2395" s="219">
        <f t="shared" ref="G2395:G2401" si="768">ROUND(F2395*E2395,2)</f>
        <v>24.83</v>
      </c>
      <c r="H2395" s="375">
        <v>28.126500000000004</v>
      </c>
      <c r="I2395" s="169" t="e">
        <f>IF(A2395&lt;&gt;0,VLOOKUP(A2395,#REF!,2,FALSE),"")</f>
        <v>#REF!</v>
      </c>
      <c r="K2395" s="237"/>
    </row>
    <row r="2396" spans="1:11" ht="60">
      <c r="A2396" s="24">
        <v>7568</v>
      </c>
      <c r="B2396" s="78" t="s">
        <v>425</v>
      </c>
      <c r="C2396" s="25" t="s">
        <v>12</v>
      </c>
      <c r="D2396" s="25" t="s">
        <v>17</v>
      </c>
      <c r="E2396" s="26">
        <v>4.8166000000000002</v>
      </c>
      <c r="F2396" s="219">
        <f t="shared" si="767"/>
        <v>0.30599999999999999</v>
      </c>
      <c r="G2396" s="219">
        <f t="shared" si="768"/>
        <v>1.47</v>
      </c>
      <c r="H2396" s="375">
        <v>0.30599999999999999</v>
      </c>
      <c r="I2396" s="169" t="e">
        <f>IF(A2396&lt;&gt;0,VLOOKUP(A2396,#REF!,2,FALSE),"")</f>
        <v>#REF!</v>
      </c>
      <c r="K2396" s="237"/>
    </row>
    <row r="2397" spans="1:11" ht="75">
      <c r="A2397" s="24">
        <v>39024</v>
      </c>
      <c r="B2397" s="78" t="s">
        <v>426</v>
      </c>
      <c r="C2397" s="25" t="s">
        <v>12</v>
      </c>
      <c r="D2397" s="25" t="s">
        <v>17</v>
      </c>
      <c r="E2397" s="26">
        <v>2.96</v>
      </c>
      <c r="F2397" s="219">
        <f t="shared" si="767"/>
        <v>555.25400000000002</v>
      </c>
      <c r="G2397" s="219">
        <f t="shared" si="768"/>
        <v>1643.55</v>
      </c>
      <c r="H2397" s="375">
        <v>555.25400000000002</v>
      </c>
      <c r="I2397" s="169" t="e">
        <f>IF(A2397&lt;&gt;0,VLOOKUP(A2397,#REF!,2,FALSE),"")</f>
        <v>#REF!</v>
      </c>
      <c r="K2397" s="237"/>
    </row>
    <row r="2398" spans="1:11" s="45" customFormat="1">
      <c r="A2398" s="24">
        <v>2583</v>
      </c>
      <c r="B2398" s="78" t="s">
        <v>2977</v>
      </c>
      <c r="C2398" s="25" t="s">
        <v>44</v>
      </c>
      <c r="D2398" s="25" t="s">
        <v>68</v>
      </c>
      <c r="E2398" s="26">
        <v>2.0720000000000001</v>
      </c>
      <c r="F2398" s="219">
        <f t="shared" si="767"/>
        <v>31.058999999999997</v>
      </c>
      <c r="G2398" s="219">
        <f t="shared" si="768"/>
        <v>64.349999999999994</v>
      </c>
      <c r="H2398" s="364">
        <v>31.058999999999997</v>
      </c>
      <c r="I2398" s="45" t="e">
        <f>IF(A2398&lt;&gt;0,VLOOKUP(A2398,#REF!,2,FALSE),"")</f>
        <v>#REF!</v>
      </c>
      <c r="J2398" s="364"/>
      <c r="K2398" s="237"/>
    </row>
    <row r="2399" spans="1:11" ht="45">
      <c r="A2399" s="24">
        <v>36888</v>
      </c>
      <c r="B2399" s="78" t="s">
        <v>406</v>
      </c>
      <c r="C2399" s="25" t="s">
        <v>12</v>
      </c>
      <c r="D2399" s="25" t="s">
        <v>52</v>
      </c>
      <c r="E2399" s="26">
        <v>6.8503999999999996</v>
      </c>
      <c r="F2399" s="219">
        <f t="shared" si="767"/>
        <v>11.202999999999999</v>
      </c>
      <c r="G2399" s="219">
        <f t="shared" si="768"/>
        <v>76.75</v>
      </c>
      <c r="H2399" s="375">
        <v>11.202999999999999</v>
      </c>
      <c r="I2399" s="169" t="e">
        <f>IF(A2399&lt;&gt;0,VLOOKUP(A2399,#REF!,2,FALSE),"")</f>
        <v>#REF!</v>
      </c>
      <c r="K2399" s="237"/>
    </row>
    <row r="2400" spans="1:11" ht="30">
      <c r="A2400" s="24">
        <v>88309</v>
      </c>
      <c r="B2400" s="78" t="s">
        <v>390</v>
      </c>
      <c r="C2400" s="25" t="s">
        <v>12</v>
      </c>
      <c r="D2400" s="25" t="s">
        <v>19</v>
      </c>
      <c r="E2400" s="26">
        <v>0.35630000000000001</v>
      </c>
      <c r="F2400" s="219">
        <f t="shared" si="767"/>
        <v>15.121499999999999</v>
      </c>
      <c r="G2400" s="219">
        <f t="shared" si="768"/>
        <v>5.39</v>
      </c>
      <c r="H2400" s="375">
        <v>15.121499999999999</v>
      </c>
      <c r="I2400" s="45" t="e">
        <f>IF(A2400&lt;&gt;0,VLOOKUP(A2400,#REF!,2,FALSE),"")</f>
        <v>#REF!</v>
      </c>
      <c r="K2400" s="237"/>
    </row>
    <row r="2401" spans="1:11" ht="30">
      <c r="A2401" s="24">
        <v>88316</v>
      </c>
      <c r="B2401" s="78" t="s">
        <v>377</v>
      </c>
      <c r="C2401" s="25" t="s">
        <v>12</v>
      </c>
      <c r="D2401" s="25" t="s">
        <v>19</v>
      </c>
      <c r="E2401" s="26">
        <v>0.1779</v>
      </c>
      <c r="F2401" s="219">
        <f t="shared" si="767"/>
        <v>11.798000000000002</v>
      </c>
      <c r="G2401" s="219">
        <f t="shared" si="768"/>
        <v>2.1</v>
      </c>
      <c r="H2401" s="375">
        <v>11.798000000000002</v>
      </c>
      <c r="I2401" s="46" t="e">
        <f>IF(A2401&lt;&gt;0,VLOOKUP(A2401,#REF!,2,FALSE),"")</f>
        <v>#REF!</v>
      </c>
      <c r="K2401" s="237"/>
    </row>
    <row r="2402" spans="1:11">
      <c r="A2402" s="1109" t="s">
        <v>1894</v>
      </c>
      <c r="B2402" s="1109"/>
      <c r="C2402" s="1109"/>
      <c r="D2402" s="1109"/>
      <c r="E2402" s="1109"/>
      <c r="F2402" s="1109"/>
      <c r="G2402" s="220">
        <f>ROUND(SUM(G2395:G2401),2)</f>
        <v>1818.44</v>
      </c>
      <c r="K2402" s="237"/>
    </row>
    <row r="2403" spans="1:11" ht="27" customHeight="1">
      <c r="A2403" s="27"/>
      <c r="B2403" s="27"/>
      <c r="C2403" s="27"/>
      <c r="D2403" s="27"/>
      <c r="E2403" s="27"/>
      <c r="F2403" s="27"/>
      <c r="G2403" s="27"/>
      <c r="K2403" s="237"/>
    </row>
    <row r="2404" spans="1:11" ht="30.75" customHeight="1">
      <c r="A2404" s="920" t="s">
        <v>2981</v>
      </c>
      <c r="B2404" s="921"/>
      <c r="C2404" s="921"/>
      <c r="D2404" s="921"/>
      <c r="E2404" s="929"/>
      <c r="F2404" s="217" t="s">
        <v>1915</v>
      </c>
      <c r="G2404" s="75" t="s">
        <v>2707</v>
      </c>
      <c r="K2404" s="237"/>
    </row>
    <row r="2405" spans="1:11" ht="28.5">
      <c r="A2405" s="984" t="s">
        <v>364</v>
      </c>
      <c r="B2405" s="985"/>
      <c r="C2405" s="77" t="s">
        <v>3</v>
      </c>
      <c r="D2405" s="77" t="s">
        <v>4</v>
      </c>
      <c r="E2405" s="77" t="s">
        <v>1826</v>
      </c>
      <c r="F2405" s="77" t="s">
        <v>367</v>
      </c>
      <c r="G2405" s="93" t="s">
        <v>368</v>
      </c>
      <c r="K2405" s="237"/>
    </row>
    <row r="2406" spans="1:11" ht="45">
      <c r="A2406" s="24">
        <v>599</v>
      </c>
      <c r="B2406" s="78" t="s">
        <v>439</v>
      </c>
      <c r="C2406" s="25" t="s">
        <v>12</v>
      </c>
      <c r="D2406" s="25" t="s">
        <v>26</v>
      </c>
      <c r="E2406" s="26">
        <v>0.5</v>
      </c>
      <c r="F2406" s="219">
        <f t="shared" ref="F2406:F2413" si="769">H2406</f>
        <v>383.16300000000001</v>
      </c>
      <c r="G2406" s="219">
        <f t="shared" ref="G2406:G2413" si="770">ROUND(F2406*E2406,2)</f>
        <v>191.58</v>
      </c>
      <c r="H2406" s="375">
        <v>383.16300000000001</v>
      </c>
      <c r="I2406" s="169" t="e">
        <f>IF(A2406&lt;&gt;0,VLOOKUP(A2406,#REF!,2,FALSE),"")</f>
        <v>#REF!</v>
      </c>
      <c r="K2406" s="237"/>
    </row>
    <row r="2407" spans="1:11" ht="30">
      <c r="A2407" s="24">
        <v>88309</v>
      </c>
      <c r="B2407" s="78" t="s">
        <v>390</v>
      </c>
      <c r="C2407" s="25" t="s">
        <v>12</v>
      </c>
      <c r="D2407" s="25" t="s">
        <v>19</v>
      </c>
      <c r="E2407" s="26">
        <v>0.3</v>
      </c>
      <c r="F2407" s="219">
        <f t="shared" si="769"/>
        <v>15.121499999999999</v>
      </c>
      <c r="G2407" s="219">
        <f t="shared" si="770"/>
        <v>4.54</v>
      </c>
      <c r="H2407" s="375">
        <v>15.121499999999999</v>
      </c>
      <c r="I2407" s="46" t="e">
        <f>IF(A2407&lt;&gt;0,VLOOKUP(A2407,#REF!,2,FALSE),"")</f>
        <v>#REF!</v>
      </c>
      <c r="K2407" s="237"/>
    </row>
    <row r="2408" spans="1:11" ht="30">
      <c r="A2408" s="24">
        <v>88315</v>
      </c>
      <c r="B2408" s="78" t="s">
        <v>420</v>
      </c>
      <c r="C2408" s="25" t="s">
        <v>12</v>
      </c>
      <c r="D2408" s="25" t="s">
        <v>19</v>
      </c>
      <c r="E2408" s="26">
        <v>0.8</v>
      </c>
      <c r="F2408" s="219">
        <f t="shared" si="769"/>
        <v>15.045</v>
      </c>
      <c r="G2408" s="219">
        <f t="shared" si="770"/>
        <v>12.04</v>
      </c>
      <c r="H2408" s="375">
        <v>15.045</v>
      </c>
      <c r="I2408" s="46" t="e">
        <f>IF(A2408&lt;&gt;0,VLOOKUP(A2408,#REF!,2,FALSE),"")</f>
        <v>#REF!</v>
      </c>
      <c r="K2408" s="237"/>
    </row>
    <row r="2409" spans="1:11" ht="30">
      <c r="A2409" s="24">
        <v>88316</v>
      </c>
      <c r="B2409" s="78" t="s">
        <v>377</v>
      </c>
      <c r="C2409" s="25" t="s">
        <v>12</v>
      </c>
      <c r="D2409" s="25" t="s">
        <v>19</v>
      </c>
      <c r="E2409" s="26">
        <v>1.2</v>
      </c>
      <c r="F2409" s="219">
        <f t="shared" si="769"/>
        <v>11.798000000000002</v>
      </c>
      <c r="G2409" s="219">
        <f t="shared" si="770"/>
        <v>14.16</v>
      </c>
      <c r="H2409" s="375">
        <v>11.798000000000002</v>
      </c>
      <c r="I2409" s="46" t="e">
        <f>IF(A2409&lt;&gt;0,VLOOKUP(A2409,#REF!,2,FALSE),"")</f>
        <v>#REF!</v>
      </c>
      <c r="K2409" s="237"/>
    </row>
    <row r="2410" spans="1:11" ht="45">
      <c r="A2410" s="24">
        <v>88627</v>
      </c>
      <c r="B2410" s="78" t="s">
        <v>1793</v>
      </c>
      <c r="C2410" s="25" t="s">
        <v>12</v>
      </c>
      <c r="D2410" s="25" t="s">
        <v>35</v>
      </c>
      <c r="E2410" s="26">
        <v>6.0000000000000001E-3</v>
      </c>
      <c r="F2410" s="219">
        <f t="shared" si="769"/>
        <v>414.29849999999999</v>
      </c>
      <c r="G2410" s="219">
        <f t="shared" si="770"/>
        <v>2.4900000000000002</v>
      </c>
      <c r="H2410" s="375">
        <v>414.29849999999999</v>
      </c>
      <c r="I2410" s="46" t="e">
        <f>IF(A2410&lt;&gt;0,VLOOKUP(A2410,#REF!,2,FALSE),"")</f>
        <v>#REF!</v>
      </c>
      <c r="K2410" s="237"/>
    </row>
    <row r="2411" spans="1:11">
      <c r="A2411" s="24">
        <v>94569</v>
      </c>
      <c r="B2411" s="78" t="e">
        <f>I2411</f>
        <v>#REF!</v>
      </c>
      <c r="C2411" s="25" t="s">
        <v>12</v>
      </c>
      <c r="D2411" s="25" t="s">
        <v>26</v>
      </c>
      <c r="E2411" s="26">
        <v>0.5</v>
      </c>
      <c r="F2411" s="219">
        <f t="shared" si="769"/>
        <v>600.58450000000005</v>
      </c>
      <c r="G2411" s="219">
        <f t="shared" si="770"/>
        <v>300.29000000000002</v>
      </c>
      <c r="H2411" s="375">
        <v>600.58450000000005</v>
      </c>
      <c r="I2411" s="46" t="e">
        <f>IF(A2411&lt;&gt;0,VLOOKUP(A2411,#REF!,2,FALSE),"")</f>
        <v>#REF!</v>
      </c>
      <c r="K2411" s="237"/>
    </row>
    <row r="2412" spans="1:11">
      <c r="A2412" s="24">
        <v>10498</v>
      </c>
      <c r="B2412" s="78" t="e">
        <f>I2412</f>
        <v>#REF!</v>
      </c>
      <c r="C2412" s="25" t="s">
        <v>12</v>
      </c>
      <c r="D2412" s="25" t="s">
        <v>45</v>
      </c>
      <c r="E2412" s="26">
        <v>1.5</v>
      </c>
      <c r="F2412" s="219">
        <f t="shared" si="769"/>
        <v>8.6445000000000007</v>
      </c>
      <c r="G2412" s="219">
        <f t="shared" si="770"/>
        <v>12.97</v>
      </c>
      <c r="H2412" s="375">
        <v>8.6445000000000007</v>
      </c>
      <c r="I2412" s="169" t="e">
        <f>IF(A2412&lt;&gt;0,VLOOKUP(A2412,#REF!,2,FALSE),"")</f>
        <v>#REF!</v>
      </c>
      <c r="K2412" s="237"/>
    </row>
    <row r="2413" spans="1:11">
      <c r="A2413" s="24">
        <v>88325</v>
      </c>
      <c r="B2413" s="78" t="e">
        <f>I2413</f>
        <v>#REF!</v>
      </c>
      <c r="C2413" s="25" t="s">
        <v>12</v>
      </c>
      <c r="D2413" s="25" t="s">
        <v>19</v>
      </c>
      <c r="E2413" s="26">
        <v>1</v>
      </c>
      <c r="F2413" s="219">
        <f t="shared" si="769"/>
        <v>12.699</v>
      </c>
      <c r="G2413" s="219">
        <f t="shared" si="770"/>
        <v>12.7</v>
      </c>
      <c r="H2413" s="375">
        <v>12.699</v>
      </c>
      <c r="I2413" s="46" t="e">
        <f>IF(A2413&lt;&gt;0,VLOOKUP(A2413,#REF!,2,FALSE),"")</f>
        <v>#REF!</v>
      </c>
      <c r="K2413" s="237"/>
    </row>
    <row r="2414" spans="1:11">
      <c r="A2414" s="1109" t="s">
        <v>1894</v>
      </c>
      <c r="B2414" s="1109"/>
      <c r="C2414" s="1109"/>
      <c r="D2414" s="1109"/>
      <c r="E2414" s="1109"/>
      <c r="F2414" s="1109"/>
      <c r="G2414" s="220">
        <f>ROUND(SUM(G2406:G2413),2)</f>
        <v>550.77</v>
      </c>
      <c r="K2414" s="237"/>
    </row>
    <row r="2415" spans="1:11" ht="25.5" customHeight="1">
      <c r="A2415" s="271"/>
      <c r="B2415" s="271"/>
      <c r="C2415" s="271"/>
      <c r="D2415" s="271"/>
      <c r="E2415" s="271"/>
      <c r="F2415" s="271"/>
      <c r="G2415" s="271"/>
      <c r="K2415" s="237"/>
    </row>
    <row r="2416" spans="1:11" ht="29.25" customHeight="1">
      <c r="A2416" s="920" t="s">
        <v>2982</v>
      </c>
      <c r="B2416" s="921"/>
      <c r="C2416" s="921"/>
      <c r="D2416" s="921"/>
      <c r="E2416" s="929"/>
      <c r="F2416" s="217" t="s">
        <v>1915</v>
      </c>
      <c r="G2416" s="344" t="s">
        <v>2710</v>
      </c>
      <c r="K2416" s="237"/>
    </row>
    <row r="2417" spans="1:11" ht="28.5">
      <c r="A2417" s="984" t="s">
        <v>364</v>
      </c>
      <c r="B2417" s="985"/>
      <c r="C2417" s="77" t="s">
        <v>3</v>
      </c>
      <c r="D2417" s="77" t="s">
        <v>4</v>
      </c>
      <c r="E2417" s="77" t="s">
        <v>1826</v>
      </c>
      <c r="F2417" s="77" t="s">
        <v>367</v>
      </c>
      <c r="G2417" s="77" t="s">
        <v>368</v>
      </c>
      <c r="K2417" s="237"/>
    </row>
    <row r="2418" spans="1:11" ht="30">
      <c r="A2418" s="24">
        <v>13284</v>
      </c>
      <c r="B2418" s="78" t="s">
        <v>443</v>
      </c>
      <c r="C2418" s="25" t="s">
        <v>12</v>
      </c>
      <c r="D2418" s="25" t="s">
        <v>45</v>
      </c>
      <c r="E2418" s="26">
        <v>1.2</v>
      </c>
      <c r="F2418" s="219">
        <f t="shared" ref="F2418:F2426" si="771">H2418</f>
        <v>0.60349999999999993</v>
      </c>
      <c r="G2418" s="219">
        <f t="shared" ref="G2418:G2426" si="772">ROUND(F2418*E2418,2)</f>
        <v>0.72</v>
      </c>
      <c r="H2418" s="375">
        <v>0.60349999999999993</v>
      </c>
      <c r="I2418" s="169" t="e">
        <f>IF(A2418&lt;&gt;0,VLOOKUP(A2418,#REF!,2,FALSE),"")</f>
        <v>#REF!</v>
      </c>
      <c r="K2418" s="237"/>
    </row>
    <row r="2419" spans="1:11" ht="45">
      <c r="A2419" s="24">
        <v>367</v>
      </c>
      <c r="B2419" s="78" t="s">
        <v>444</v>
      </c>
      <c r="C2419" s="25" t="s">
        <v>12</v>
      </c>
      <c r="D2419" s="25" t="s">
        <v>35</v>
      </c>
      <c r="E2419" s="26">
        <v>3.0000000000000001E-3</v>
      </c>
      <c r="F2419" s="219">
        <f t="shared" si="771"/>
        <v>43.919499999999999</v>
      </c>
      <c r="G2419" s="219">
        <f t="shared" si="772"/>
        <v>0.13</v>
      </c>
      <c r="H2419" s="375">
        <v>43.919499999999999</v>
      </c>
      <c r="I2419" s="169" t="e">
        <f>IF(A2419&lt;&gt;0,VLOOKUP(A2419,#REF!,2,FALSE),"")</f>
        <v>#REF!</v>
      </c>
      <c r="K2419" s="237"/>
    </row>
    <row r="2420" spans="1:11" ht="30">
      <c r="A2420" s="24">
        <v>88315</v>
      </c>
      <c r="B2420" s="78" t="s">
        <v>420</v>
      </c>
      <c r="C2420" s="25" t="s">
        <v>12</v>
      </c>
      <c r="D2420" s="25" t="s">
        <v>19</v>
      </c>
      <c r="E2420" s="26">
        <v>1.3779999999999999</v>
      </c>
      <c r="F2420" s="219">
        <f t="shared" si="771"/>
        <v>15.045</v>
      </c>
      <c r="G2420" s="219">
        <f t="shared" si="772"/>
        <v>20.73</v>
      </c>
      <c r="H2420" s="375">
        <v>15.045</v>
      </c>
      <c r="I2420" s="46" t="e">
        <f>IF(A2420&lt;&gt;0,VLOOKUP(A2420,#REF!,2,FALSE),"")</f>
        <v>#REF!</v>
      </c>
      <c r="K2420" s="237"/>
    </row>
    <row r="2421" spans="1:11" ht="30">
      <c r="A2421" s="24">
        <v>88325</v>
      </c>
      <c r="B2421" s="78" t="s">
        <v>450</v>
      </c>
      <c r="C2421" s="25" t="s">
        <v>12</v>
      </c>
      <c r="D2421" s="25" t="s">
        <v>19</v>
      </c>
      <c r="E2421" s="26">
        <v>0.35</v>
      </c>
      <c r="F2421" s="219">
        <f t="shared" si="771"/>
        <v>12.699</v>
      </c>
      <c r="G2421" s="219">
        <f t="shared" si="772"/>
        <v>4.4400000000000004</v>
      </c>
      <c r="H2421" s="375">
        <v>12.699</v>
      </c>
      <c r="I2421" s="46" t="e">
        <f>IF(A2421&lt;&gt;0,VLOOKUP(A2421,#REF!,2,FALSE),"")</f>
        <v>#REF!</v>
      </c>
      <c r="K2421" s="237"/>
    </row>
    <row r="2422" spans="1:11" ht="30">
      <c r="A2422" s="24">
        <v>88243</v>
      </c>
      <c r="B2422" s="78" t="s">
        <v>416</v>
      </c>
      <c r="C2422" s="25" t="s">
        <v>12</v>
      </c>
      <c r="D2422" s="25" t="s">
        <v>19</v>
      </c>
      <c r="E2422" s="26">
        <v>1.3779999999999999</v>
      </c>
      <c r="F2422" s="219">
        <f t="shared" si="771"/>
        <v>14.075999999999999</v>
      </c>
      <c r="G2422" s="219">
        <f t="shared" si="772"/>
        <v>19.399999999999999</v>
      </c>
      <c r="H2422" s="375">
        <v>14.075999999999999</v>
      </c>
      <c r="I2422" s="46" t="e">
        <f>IF(A2422&lt;&gt;0,VLOOKUP(A2422,#REF!,2,FALSE),"")</f>
        <v>#REF!</v>
      </c>
      <c r="K2422" s="237"/>
    </row>
    <row r="2423" spans="1:11">
      <c r="A2423" s="24">
        <v>599</v>
      </c>
      <c r="B2423" s="78" t="e">
        <f>I2423</f>
        <v>#REF!</v>
      </c>
      <c r="C2423" s="25" t="s">
        <v>12</v>
      </c>
      <c r="D2423" s="25" t="s">
        <v>26</v>
      </c>
      <c r="E2423" s="26">
        <v>1</v>
      </c>
      <c r="F2423" s="219">
        <f t="shared" si="771"/>
        <v>383.16300000000001</v>
      </c>
      <c r="G2423" s="219">
        <f t="shared" si="772"/>
        <v>383.16</v>
      </c>
      <c r="H2423" s="375">
        <v>383.16300000000001</v>
      </c>
      <c r="I2423" s="169" t="e">
        <f>IF(A2423&lt;&gt;0,VLOOKUP(A2423,#REF!,2,FALSE),"")</f>
        <v>#REF!</v>
      </c>
      <c r="K2423" s="237"/>
    </row>
    <row r="2424" spans="1:11">
      <c r="A2424" s="24">
        <v>10506</v>
      </c>
      <c r="B2424" s="78" t="e">
        <f>I2424</f>
        <v>#REF!</v>
      </c>
      <c r="C2424" s="25" t="s">
        <v>12</v>
      </c>
      <c r="D2424" s="25" t="s">
        <v>26</v>
      </c>
      <c r="E2424" s="26">
        <v>1</v>
      </c>
      <c r="F2424" s="219">
        <f t="shared" si="771"/>
        <v>254.24350000000001</v>
      </c>
      <c r="G2424" s="219">
        <f t="shared" si="772"/>
        <v>254.24</v>
      </c>
      <c r="H2424" s="375">
        <v>254.24350000000001</v>
      </c>
      <c r="I2424" s="169" t="e">
        <f>IF(A2424&lt;&gt;0,VLOOKUP(A2424,#REF!,2,FALSE),"")</f>
        <v>#REF!</v>
      </c>
      <c r="K2424" s="237"/>
    </row>
    <row r="2425" spans="1:11">
      <c r="A2425" s="24">
        <v>10498</v>
      </c>
      <c r="B2425" s="78" t="e">
        <f>I2425</f>
        <v>#REF!</v>
      </c>
      <c r="C2425" s="25" t="s">
        <v>12</v>
      </c>
      <c r="D2425" s="25" t="s">
        <v>45</v>
      </c>
      <c r="E2425" s="26">
        <v>1.5</v>
      </c>
      <c r="F2425" s="219">
        <f t="shared" si="771"/>
        <v>8.6445000000000007</v>
      </c>
      <c r="G2425" s="219">
        <f t="shared" si="772"/>
        <v>12.97</v>
      </c>
      <c r="H2425" s="375">
        <v>8.6445000000000007</v>
      </c>
      <c r="I2425" s="169" t="e">
        <f>IF(A2425&lt;&gt;0,VLOOKUP(A2425,#REF!,2,FALSE),"")</f>
        <v>#REF!</v>
      </c>
      <c r="K2425" s="237"/>
    </row>
    <row r="2426" spans="1:11">
      <c r="A2426" s="24">
        <v>88325</v>
      </c>
      <c r="B2426" s="78" t="e">
        <f>I2426</f>
        <v>#REF!</v>
      </c>
      <c r="C2426" s="25" t="s">
        <v>12</v>
      </c>
      <c r="D2426" s="25" t="s">
        <v>19</v>
      </c>
      <c r="E2426" s="26">
        <v>1</v>
      </c>
      <c r="F2426" s="219">
        <f t="shared" si="771"/>
        <v>12.699</v>
      </c>
      <c r="G2426" s="219">
        <f t="shared" si="772"/>
        <v>12.7</v>
      </c>
      <c r="H2426" s="375">
        <v>12.699</v>
      </c>
      <c r="I2426" s="46" t="e">
        <f>IF(A2426&lt;&gt;0,VLOOKUP(A2426,#REF!,2,FALSE),"")</f>
        <v>#REF!</v>
      </c>
      <c r="K2426" s="237"/>
    </row>
    <row r="2427" spans="1:11">
      <c r="A2427" s="1109" t="s">
        <v>1894</v>
      </c>
      <c r="B2427" s="1109"/>
      <c r="C2427" s="1109"/>
      <c r="D2427" s="1109"/>
      <c r="E2427" s="1109"/>
      <c r="F2427" s="1109"/>
      <c r="G2427" s="220">
        <f>ROUND(SUM(G2418:G2426),2)</f>
        <v>708.49</v>
      </c>
      <c r="K2427" s="237"/>
    </row>
    <row r="2428" spans="1:11" ht="22.5" customHeight="1">
      <c r="A2428" s="271"/>
      <c r="B2428" s="271"/>
      <c r="C2428" s="271"/>
      <c r="D2428" s="271"/>
      <c r="E2428" s="271"/>
      <c r="F2428" s="271"/>
      <c r="G2428" s="271"/>
      <c r="K2428" s="237"/>
    </row>
    <row r="2429" spans="1:11">
      <c r="A2429" s="920" t="s">
        <v>2983</v>
      </c>
      <c r="B2429" s="921"/>
      <c r="C2429" s="921"/>
      <c r="D2429" s="921"/>
      <c r="E2429" s="929"/>
      <c r="F2429" s="217" t="s">
        <v>70</v>
      </c>
      <c r="G2429" s="344" t="s">
        <v>2713</v>
      </c>
      <c r="K2429" s="237"/>
    </row>
    <row r="2430" spans="1:11" ht="28.5">
      <c r="A2430" s="984" t="s">
        <v>364</v>
      </c>
      <c r="B2430" s="985"/>
      <c r="C2430" s="77" t="s">
        <v>3</v>
      </c>
      <c r="D2430" s="77" t="s">
        <v>4</v>
      </c>
      <c r="E2430" s="77" t="s">
        <v>1826</v>
      </c>
      <c r="F2430" s="77" t="s">
        <v>367</v>
      </c>
      <c r="G2430" s="77" t="s">
        <v>368</v>
      </c>
      <c r="K2430" s="237"/>
    </row>
    <row r="2431" spans="1:11" ht="30">
      <c r="A2431" s="24">
        <v>345</v>
      </c>
      <c r="B2431" s="78" t="s">
        <v>2984</v>
      </c>
      <c r="C2431" s="25" t="s">
        <v>12</v>
      </c>
      <c r="D2431" s="25" t="s">
        <v>45</v>
      </c>
      <c r="E2431" s="26">
        <v>0.22500000000000001</v>
      </c>
      <c r="F2431" s="219">
        <f t="shared" ref="F2431:F2442" si="773">H2431</f>
        <v>25.449000000000002</v>
      </c>
      <c r="G2431" s="219">
        <f t="shared" ref="G2431:G2442" si="774">ROUND(F2431*E2431,2)</f>
        <v>5.73</v>
      </c>
      <c r="H2431" s="375">
        <v>25.449000000000002</v>
      </c>
      <c r="I2431" s="169" t="e">
        <f>IF(A2431&lt;&gt;0,VLOOKUP(A2431,#REF!,2,FALSE),"")</f>
        <v>#REF!</v>
      </c>
      <c r="K2431" s="237"/>
    </row>
    <row r="2432" spans="1:11" ht="45">
      <c r="A2432" s="24">
        <v>367</v>
      </c>
      <c r="B2432" s="78" t="s">
        <v>444</v>
      </c>
      <c r="C2432" s="25" t="s">
        <v>12</v>
      </c>
      <c r="D2432" s="25" t="s">
        <v>35</v>
      </c>
      <c r="E2432" s="26">
        <v>3.5000000000000001E-3</v>
      </c>
      <c r="F2432" s="219">
        <f t="shared" si="773"/>
        <v>43.919499999999999</v>
      </c>
      <c r="G2432" s="219">
        <f t="shared" si="774"/>
        <v>0.15</v>
      </c>
      <c r="H2432" s="375">
        <v>43.919499999999999</v>
      </c>
      <c r="I2432" s="169" t="e">
        <f>IF(A2432&lt;&gt;0,VLOOKUP(A2432,#REF!,2,FALSE),"")</f>
        <v>#REF!</v>
      </c>
      <c r="K2432" s="237"/>
    </row>
    <row r="2433" spans="1:11">
      <c r="A2433" s="24">
        <v>1379</v>
      </c>
      <c r="B2433" s="78" t="s">
        <v>397</v>
      </c>
      <c r="C2433" s="25" t="s">
        <v>12</v>
      </c>
      <c r="D2433" s="25" t="s">
        <v>45</v>
      </c>
      <c r="E2433" s="26">
        <v>3.25</v>
      </c>
      <c r="F2433" s="219">
        <f t="shared" si="773"/>
        <v>0.60349999999999993</v>
      </c>
      <c r="G2433" s="219">
        <f t="shared" si="774"/>
        <v>1.96</v>
      </c>
      <c r="H2433" s="375">
        <v>0.60349999999999993</v>
      </c>
      <c r="I2433" s="169" t="e">
        <f>IF(A2433&lt;&gt;0,VLOOKUP(A2433,#REF!,2,FALSE),"")</f>
        <v>#REF!</v>
      </c>
      <c r="K2433" s="237"/>
    </row>
    <row r="2434" spans="1:11" ht="45">
      <c r="A2434" s="24">
        <v>4720</v>
      </c>
      <c r="B2434" s="78" t="s">
        <v>544</v>
      </c>
      <c r="C2434" s="25" t="s">
        <v>12</v>
      </c>
      <c r="D2434" s="25" t="s">
        <v>35</v>
      </c>
      <c r="E2434" s="26">
        <v>1.2E-2</v>
      </c>
      <c r="F2434" s="219">
        <f t="shared" si="773"/>
        <v>90.295500000000004</v>
      </c>
      <c r="G2434" s="219">
        <f t="shared" si="774"/>
        <v>1.08</v>
      </c>
      <c r="H2434" s="375">
        <v>90.295500000000004</v>
      </c>
      <c r="I2434" s="169" t="e">
        <f>IF(A2434&lt;&gt;0,VLOOKUP(A2434,#REF!,2,FALSE),"")</f>
        <v>#REF!</v>
      </c>
      <c r="K2434" s="237"/>
    </row>
    <row r="2435" spans="1:11" ht="45">
      <c r="A2435" s="24">
        <v>2692</v>
      </c>
      <c r="B2435" s="78" t="s">
        <v>399</v>
      </c>
      <c r="C2435" s="25" t="s">
        <v>12</v>
      </c>
      <c r="D2435" s="25" t="s">
        <v>381</v>
      </c>
      <c r="E2435" s="26">
        <v>0.2</v>
      </c>
      <c r="F2435" s="219">
        <f t="shared" si="773"/>
        <v>5.6355000000000004</v>
      </c>
      <c r="G2435" s="219">
        <f t="shared" si="774"/>
        <v>1.1299999999999999</v>
      </c>
      <c r="H2435" s="375">
        <v>5.6355000000000004</v>
      </c>
      <c r="I2435" s="169" t="e">
        <f>IF(A2435&lt;&gt;0,VLOOKUP(A2435,#REF!,2,FALSE),"")</f>
        <v>#REF!</v>
      </c>
      <c r="K2435" s="237"/>
    </row>
    <row r="2436" spans="1:11" ht="45">
      <c r="A2436" s="24">
        <v>1355</v>
      </c>
      <c r="B2436" s="78" t="s">
        <v>1851</v>
      </c>
      <c r="C2436" s="25" t="s">
        <v>12</v>
      </c>
      <c r="D2436" s="25" t="s">
        <v>26</v>
      </c>
      <c r="E2436" s="26">
        <v>0.35</v>
      </c>
      <c r="F2436" s="219">
        <f t="shared" si="773"/>
        <v>24.913499999999999</v>
      </c>
      <c r="G2436" s="219">
        <f t="shared" si="774"/>
        <v>8.7200000000000006</v>
      </c>
      <c r="H2436" s="375">
        <v>24.913499999999999</v>
      </c>
      <c r="I2436" s="169" t="e">
        <f>IF(A2436&lt;&gt;0,VLOOKUP(A2436,#REF!,2,FALSE),"")</f>
        <v>#REF!</v>
      </c>
      <c r="K2436" s="237"/>
    </row>
    <row r="2437" spans="1:11" ht="30">
      <c r="A2437" s="24">
        <v>5061</v>
      </c>
      <c r="B2437" s="78" t="s">
        <v>386</v>
      </c>
      <c r="C2437" s="25" t="s">
        <v>12</v>
      </c>
      <c r="D2437" s="25" t="s">
        <v>45</v>
      </c>
      <c r="E2437" s="26">
        <v>3.5000000000000003E-2</v>
      </c>
      <c r="F2437" s="219">
        <f t="shared" si="773"/>
        <v>15.725</v>
      </c>
      <c r="G2437" s="219">
        <f t="shared" si="774"/>
        <v>0.55000000000000004</v>
      </c>
      <c r="H2437" s="375">
        <v>15.725</v>
      </c>
      <c r="I2437" s="169" t="e">
        <f>IF(A2437&lt;&gt;0,VLOOKUP(A2437,#REF!,2,FALSE),"")</f>
        <v>#REF!</v>
      </c>
      <c r="K2437" s="237"/>
    </row>
    <row r="2438" spans="1:11" ht="30">
      <c r="A2438" s="24">
        <v>88316</v>
      </c>
      <c r="B2438" s="78" t="s">
        <v>377</v>
      </c>
      <c r="C2438" s="25" t="s">
        <v>12</v>
      </c>
      <c r="D2438" s="25" t="s">
        <v>19</v>
      </c>
      <c r="E2438" s="26">
        <v>0.15</v>
      </c>
      <c r="F2438" s="219">
        <f t="shared" si="773"/>
        <v>11.798000000000002</v>
      </c>
      <c r="G2438" s="219">
        <f t="shared" si="774"/>
        <v>1.77</v>
      </c>
      <c r="H2438" s="375">
        <v>11.798000000000002</v>
      </c>
      <c r="I2438" s="46" t="e">
        <f>IF(A2438&lt;&gt;0,VLOOKUP(A2438,#REF!,2,FALSE),"")</f>
        <v>#REF!</v>
      </c>
      <c r="K2438" s="237"/>
    </row>
    <row r="2439" spans="1:11" ht="30">
      <c r="A2439" s="24">
        <v>88309</v>
      </c>
      <c r="B2439" s="78" t="s">
        <v>390</v>
      </c>
      <c r="C2439" s="25" t="s">
        <v>12</v>
      </c>
      <c r="D2439" s="25" t="s">
        <v>19</v>
      </c>
      <c r="E2439" s="26">
        <v>0.15</v>
      </c>
      <c r="F2439" s="219">
        <f t="shared" si="773"/>
        <v>15.121499999999999</v>
      </c>
      <c r="G2439" s="219">
        <f t="shared" si="774"/>
        <v>2.27</v>
      </c>
      <c r="H2439" s="375">
        <v>15.121499999999999</v>
      </c>
      <c r="I2439" s="46" t="e">
        <f>IF(A2439&lt;&gt;0,VLOOKUP(A2439,#REF!,2,FALSE),"")</f>
        <v>#REF!</v>
      </c>
      <c r="K2439" s="237"/>
    </row>
    <row r="2440" spans="1:11" ht="30">
      <c r="A2440" s="24">
        <v>88245</v>
      </c>
      <c r="B2440" s="78" t="s">
        <v>395</v>
      </c>
      <c r="C2440" s="25" t="s">
        <v>12</v>
      </c>
      <c r="D2440" s="25" t="s">
        <v>19</v>
      </c>
      <c r="E2440" s="26">
        <v>0.36</v>
      </c>
      <c r="F2440" s="219">
        <f t="shared" si="773"/>
        <v>15.045</v>
      </c>
      <c r="G2440" s="219">
        <f t="shared" si="774"/>
        <v>5.42</v>
      </c>
      <c r="H2440" s="375">
        <v>15.045</v>
      </c>
      <c r="I2440" s="46" t="e">
        <f>IF(A2440&lt;&gt;0,VLOOKUP(A2440,#REF!,2,FALSE),"")</f>
        <v>#REF!</v>
      </c>
      <c r="K2440" s="237"/>
    </row>
    <row r="2441" spans="1:11" ht="30">
      <c r="A2441" s="24">
        <v>88239</v>
      </c>
      <c r="B2441" s="78" t="s">
        <v>393</v>
      </c>
      <c r="C2441" s="25" t="s">
        <v>12</v>
      </c>
      <c r="D2441" s="25" t="s">
        <v>19</v>
      </c>
      <c r="E2441" s="26">
        <v>0.33</v>
      </c>
      <c r="F2441" s="219">
        <f t="shared" si="773"/>
        <v>12.622499999999999</v>
      </c>
      <c r="G2441" s="219">
        <f t="shared" si="774"/>
        <v>4.17</v>
      </c>
      <c r="H2441" s="375">
        <v>12.622499999999999</v>
      </c>
      <c r="I2441" s="46" t="e">
        <f>IF(A2441&lt;&gt;0,VLOOKUP(A2441,#REF!,2,FALSE),"")</f>
        <v>#REF!</v>
      </c>
      <c r="K2441" s="237"/>
    </row>
    <row r="2442" spans="1:11" ht="60">
      <c r="A2442" s="24">
        <v>92916</v>
      </c>
      <c r="B2442" s="78" t="s">
        <v>2985</v>
      </c>
      <c r="C2442" s="25" t="s">
        <v>12</v>
      </c>
      <c r="D2442" s="25" t="s">
        <v>45</v>
      </c>
      <c r="E2442" s="26">
        <v>11.445</v>
      </c>
      <c r="F2442" s="219">
        <f t="shared" si="773"/>
        <v>14.246000000000002</v>
      </c>
      <c r="G2442" s="219">
        <f t="shared" si="774"/>
        <v>163.05000000000001</v>
      </c>
      <c r="H2442" s="375">
        <v>14.246000000000002</v>
      </c>
      <c r="I2442" s="46" t="e">
        <f>IF(A2442&lt;&gt;0,VLOOKUP(A2442,#REF!,2,FALSE),"")</f>
        <v>#REF!</v>
      </c>
      <c r="K2442" s="237"/>
    </row>
    <row r="2443" spans="1:11">
      <c r="A2443" s="1109" t="s">
        <v>1894</v>
      </c>
      <c r="B2443" s="1109"/>
      <c r="C2443" s="1109"/>
      <c r="D2443" s="1109"/>
      <c r="E2443" s="1109"/>
      <c r="F2443" s="1109"/>
      <c r="G2443" s="220">
        <f>ROUND(SUM(G2431:G2442),2)</f>
        <v>196</v>
      </c>
      <c r="K2443" s="237"/>
    </row>
    <row r="2444" spans="1:11">
      <c r="A2444" s="27"/>
      <c r="B2444" s="27"/>
      <c r="C2444" s="27"/>
      <c r="D2444" s="27"/>
      <c r="E2444" s="27"/>
      <c r="F2444" s="27"/>
      <c r="G2444" s="27"/>
      <c r="K2444" s="237"/>
    </row>
    <row r="2445" spans="1:11" ht="35.25" customHeight="1">
      <c r="A2445" s="920" t="s">
        <v>2986</v>
      </c>
      <c r="B2445" s="921"/>
      <c r="C2445" s="921"/>
      <c r="D2445" s="921"/>
      <c r="E2445" s="921"/>
      <c r="F2445" s="217" t="s">
        <v>1915</v>
      </c>
      <c r="G2445" s="95">
        <v>84190</v>
      </c>
      <c r="K2445" s="237"/>
    </row>
    <row r="2446" spans="1:11" ht="28.5">
      <c r="A2446" s="984" t="s">
        <v>364</v>
      </c>
      <c r="B2446" s="985"/>
      <c r="C2446" s="77" t="s">
        <v>3</v>
      </c>
      <c r="D2446" s="77" t="s">
        <v>4</v>
      </c>
      <c r="E2446" s="77" t="s">
        <v>1826</v>
      </c>
      <c r="F2446" s="77" t="s">
        <v>367</v>
      </c>
      <c r="G2446" s="77" t="s">
        <v>368</v>
      </c>
      <c r="K2446" s="237"/>
    </row>
    <row r="2447" spans="1:11">
      <c r="A2447" s="24">
        <v>1380</v>
      </c>
      <c r="B2447" s="78" t="s">
        <v>409</v>
      </c>
      <c r="C2447" s="25" t="s">
        <v>12</v>
      </c>
      <c r="D2447" s="25" t="s">
        <v>45</v>
      </c>
      <c r="E2447" s="26">
        <v>0.75</v>
      </c>
      <c r="F2447" s="219">
        <f t="shared" ref="F2447:F2451" si="775">H2447</f>
        <v>1.8955</v>
      </c>
      <c r="G2447" s="219">
        <f t="shared" ref="G2447:G2451" si="776">ROUND(F2447*E2447,2)</f>
        <v>1.42</v>
      </c>
      <c r="H2447" s="375">
        <v>1.8955</v>
      </c>
      <c r="I2447" s="223" t="e">
        <f>IF(A2447&lt;&gt;0,VLOOKUP(A2447,#REF!,2,FALSE),"")</f>
        <v>#REF!</v>
      </c>
      <c r="K2447" s="237"/>
    </row>
    <row r="2448" spans="1:11" ht="75">
      <c r="A2448" s="24">
        <v>10841</v>
      </c>
      <c r="B2448" s="78" t="s">
        <v>1878</v>
      </c>
      <c r="C2448" s="25" t="s">
        <v>12</v>
      </c>
      <c r="D2448" s="25" t="s">
        <v>26</v>
      </c>
      <c r="E2448" s="26">
        <v>1</v>
      </c>
      <c r="F2448" s="219">
        <f t="shared" si="775"/>
        <v>179.62199999999999</v>
      </c>
      <c r="G2448" s="219">
        <f t="shared" si="776"/>
        <v>179.62</v>
      </c>
      <c r="H2448" s="375">
        <v>179.62199999999999</v>
      </c>
      <c r="I2448" s="223" t="e">
        <f>IF(A2448&lt;&gt;0,VLOOKUP(A2448,#REF!,2,FALSE),"")</f>
        <v>#REF!</v>
      </c>
      <c r="K2448" s="237"/>
    </row>
    <row r="2449" spans="1:11" ht="45">
      <c r="A2449" s="24">
        <v>87298</v>
      </c>
      <c r="B2449" s="78" t="s">
        <v>1796</v>
      </c>
      <c r="C2449" s="25" t="s">
        <v>12</v>
      </c>
      <c r="D2449" s="25" t="s">
        <v>35</v>
      </c>
      <c r="E2449" s="26">
        <v>2.5000000000000001E-2</v>
      </c>
      <c r="F2449" s="219">
        <f t="shared" si="775"/>
        <v>467.32149999999996</v>
      </c>
      <c r="G2449" s="219">
        <f t="shared" si="776"/>
        <v>11.68</v>
      </c>
      <c r="H2449" s="375">
        <v>467.32149999999996</v>
      </c>
      <c r="I2449" s="49" t="e">
        <f>IF(A2449&lt;&gt;0,VLOOKUP(A2449,#REF!,2,FALSE),"")</f>
        <v>#REF!</v>
      </c>
      <c r="K2449" s="237"/>
    </row>
    <row r="2450" spans="1:11" ht="30">
      <c r="A2450" s="24">
        <v>88274</v>
      </c>
      <c r="B2450" s="78" t="s">
        <v>501</v>
      </c>
      <c r="C2450" s="25" t="s">
        <v>12</v>
      </c>
      <c r="D2450" s="25" t="s">
        <v>19</v>
      </c>
      <c r="E2450" s="26">
        <v>1</v>
      </c>
      <c r="F2450" s="219">
        <f t="shared" si="775"/>
        <v>16.745000000000001</v>
      </c>
      <c r="G2450" s="219">
        <f t="shared" si="776"/>
        <v>16.75</v>
      </c>
      <c r="H2450" s="375">
        <v>16.745000000000001</v>
      </c>
      <c r="I2450" s="49" t="e">
        <f>IF(A2450&lt;&gt;0,VLOOKUP(A2450,#REF!,2,FALSE),"")</f>
        <v>#REF!</v>
      </c>
      <c r="K2450" s="237"/>
    </row>
    <row r="2451" spans="1:11" ht="30">
      <c r="A2451" s="24">
        <v>88316</v>
      </c>
      <c r="B2451" s="78" t="s">
        <v>377</v>
      </c>
      <c r="C2451" s="25" t="s">
        <v>12</v>
      </c>
      <c r="D2451" s="25" t="s">
        <v>19</v>
      </c>
      <c r="E2451" s="26">
        <v>0.5</v>
      </c>
      <c r="F2451" s="219">
        <f t="shared" si="775"/>
        <v>11.798000000000002</v>
      </c>
      <c r="G2451" s="219">
        <f t="shared" si="776"/>
        <v>5.9</v>
      </c>
      <c r="H2451" s="375">
        <v>11.798000000000002</v>
      </c>
      <c r="I2451" s="49" t="e">
        <f>IF(A2451&lt;&gt;0,VLOOKUP(A2451,#REF!,2,FALSE),"")</f>
        <v>#REF!</v>
      </c>
      <c r="K2451" s="237"/>
    </row>
    <row r="2452" spans="1:11">
      <c r="A2452" s="1109" t="s">
        <v>1894</v>
      </c>
      <c r="B2452" s="1109"/>
      <c r="C2452" s="1109"/>
      <c r="D2452" s="1109"/>
      <c r="E2452" s="1109"/>
      <c r="F2452" s="1109"/>
      <c r="G2452" s="220">
        <f>ROUND(SUM(G2447:G2451),2)</f>
        <v>215.37</v>
      </c>
      <c r="K2452" s="237"/>
    </row>
    <row r="2453" spans="1:11" ht="23.25" customHeight="1">
      <c r="A2453" s="27"/>
      <c r="B2453" s="27"/>
      <c r="C2453" s="27"/>
      <c r="D2453" s="27"/>
      <c r="E2453" s="27"/>
      <c r="F2453" s="27"/>
      <c r="G2453" s="27"/>
      <c r="K2453" s="237"/>
    </row>
    <row r="2454" spans="1:11" ht="36.75" customHeight="1">
      <c r="A2454" s="975" t="s">
        <v>2987</v>
      </c>
      <c r="B2454" s="979"/>
      <c r="C2454" s="979"/>
      <c r="D2454" s="979"/>
      <c r="E2454" s="979"/>
      <c r="F2454" s="272" t="s">
        <v>1915</v>
      </c>
      <c r="G2454" s="273"/>
      <c r="K2454" s="237"/>
    </row>
    <row r="2455" spans="1:11" ht="60">
      <c r="A2455" s="262"/>
      <c r="B2455" s="261" t="s">
        <v>2829</v>
      </c>
      <c r="C2455" s="262" t="s">
        <v>2015</v>
      </c>
      <c r="D2455" s="262" t="s">
        <v>17</v>
      </c>
      <c r="E2455" s="260">
        <v>1</v>
      </c>
      <c r="F2455" s="260">
        <f t="shared" ref="F2455" si="777">H2455</f>
        <v>86750.872499999998</v>
      </c>
      <c r="G2455" s="260">
        <f t="shared" ref="G2455" si="778">ROUND(F2455*E2455,2)</f>
        <v>86750.87</v>
      </c>
      <c r="H2455" s="375">
        <v>86750.872499999998</v>
      </c>
      <c r="K2455" s="237"/>
    </row>
    <row r="2456" spans="1:11">
      <c r="A2456" s="1113" t="s">
        <v>1894</v>
      </c>
      <c r="B2456" s="1113"/>
      <c r="C2456" s="1113"/>
      <c r="D2456" s="1113"/>
      <c r="E2456" s="1113"/>
      <c r="F2456" s="1113"/>
      <c r="G2456" s="274">
        <f>ROUND(SUM(G2455),2)</f>
        <v>86750.87</v>
      </c>
      <c r="K2456" s="237"/>
    </row>
    <row r="2457" spans="1:11" ht="30" customHeight="1">
      <c r="A2457" s="27"/>
      <c r="B2457" s="27"/>
      <c r="C2457" s="27"/>
      <c r="D2457" s="27"/>
      <c r="E2457" s="27"/>
      <c r="F2457" s="27"/>
      <c r="G2457" s="27"/>
      <c r="K2457" s="237"/>
    </row>
    <row r="2458" spans="1:11">
      <c r="A2458" s="975" t="s">
        <v>2990</v>
      </c>
      <c r="B2458" s="979"/>
      <c r="C2458" s="979"/>
      <c r="D2458" s="979"/>
      <c r="E2458" s="1108"/>
      <c r="F2458" s="272" t="s">
        <v>70</v>
      </c>
      <c r="G2458" s="354" t="s">
        <v>2755</v>
      </c>
      <c r="K2458" s="237"/>
    </row>
    <row r="2459" spans="1:11" ht="28.5">
      <c r="A2459" s="977" t="s">
        <v>364</v>
      </c>
      <c r="B2459" s="978"/>
      <c r="C2459" s="207" t="s">
        <v>3</v>
      </c>
      <c r="D2459" s="207" t="s">
        <v>4</v>
      </c>
      <c r="E2459" s="207" t="s">
        <v>1826</v>
      </c>
      <c r="F2459" s="207" t="s">
        <v>367</v>
      </c>
      <c r="G2459" s="207" t="s">
        <v>368</v>
      </c>
      <c r="K2459" s="237"/>
    </row>
    <row r="2460" spans="1:11" ht="45">
      <c r="A2460" s="172">
        <v>39775</v>
      </c>
      <c r="B2460" s="261" t="s">
        <v>2991</v>
      </c>
      <c r="C2460" s="262" t="s">
        <v>12</v>
      </c>
      <c r="D2460" s="262" t="s">
        <v>17</v>
      </c>
      <c r="E2460" s="260">
        <v>1</v>
      </c>
      <c r="F2460" s="260">
        <f t="shared" ref="F2460:F2462" si="779">H2460</f>
        <v>168.99699999999999</v>
      </c>
      <c r="G2460" s="260">
        <f t="shared" ref="G2460:G2462" si="780">ROUND(F2460*E2460,2)</f>
        <v>169</v>
      </c>
      <c r="H2460" s="375">
        <v>168.99699999999999</v>
      </c>
      <c r="I2460" s="223" t="e">
        <f>IF(A2460&lt;&gt;0,VLOOKUP(A2460,#REF!,2,FALSE),"")</f>
        <v>#REF!</v>
      </c>
      <c r="K2460" s="237"/>
    </row>
    <row r="2461" spans="1:11" ht="30">
      <c r="A2461" s="172">
        <v>88247</v>
      </c>
      <c r="B2461" s="261" t="s">
        <v>510</v>
      </c>
      <c r="C2461" s="262" t="s">
        <v>12</v>
      </c>
      <c r="D2461" s="262" t="s">
        <v>19</v>
      </c>
      <c r="E2461" s="260">
        <v>2</v>
      </c>
      <c r="F2461" s="260">
        <f t="shared" si="779"/>
        <v>11.9085</v>
      </c>
      <c r="G2461" s="260">
        <f t="shared" si="780"/>
        <v>23.82</v>
      </c>
      <c r="H2461" s="375">
        <v>11.9085</v>
      </c>
      <c r="I2461" s="49" t="e">
        <f>IF(A2461&lt;&gt;0,VLOOKUP(A2461,#REF!,2,FALSE),"")</f>
        <v>#REF!</v>
      </c>
      <c r="K2461" s="237"/>
    </row>
    <row r="2462" spans="1:11" ht="30">
      <c r="A2462" s="172">
        <v>88264</v>
      </c>
      <c r="B2462" s="261" t="s">
        <v>379</v>
      </c>
      <c r="C2462" s="262" t="s">
        <v>12</v>
      </c>
      <c r="D2462" s="262" t="s">
        <v>19</v>
      </c>
      <c r="E2462" s="260">
        <v>2</v>
      </c>
      <c r="F2462" s="260">
        <f t="shared" si="779"/>
        <v>15.249000000000001</v>
      </c>
      <c r="G2462" s="260">
        <f t="shared" si="780"/>
        <v>30.5</v>
      </c>
      <c r="H2462" s="375">
        <v>15.249000000000001</v>
      </c>
      <c r="I2462" s="49" t="e">
        <f>IF(A2462&lt;&gt;0,VLOOKUP(A2462,#REF!,2,FALSE),"")</f>
        <v>#REF!</v>
      </c>
      <c r="K2462" s="237"/>
    </row>
    <row r="2463" spans="1:11">
      <c r="A2463" s="1107" t="s">
        <v>1894</v>
      </c>
      <c r="B2463" s="1107"/>
      <c r="C2463" s="1107"/>
      <c r="D2463" s="1107"/>
      <c r="E2463" s="1107"/>
      <c r="F2463" s="1107"/>
      <c r="G2463" s="209">
        <f>ROUND(SUM(G2460:G2462),2)</f>
        <v>223.32</v>
      </c>
      <c r="K2463" s="237"/>
    </row>
    <row r="2464" spans="1:11" ht="21" customHeight="1">
      <c r="A2464" s="27"/>
      <c r="B2464" s="27"/>
      <c r="C2464" s="27"/>
      <c r="D2464" s="27"/>
      <c r="E2464" s="27"/>
      <c r="F2464" s="27"/>
      <c r="G2464" s="27"/>
      <c r="K2464" s="237"/>
    </row>
    <row r="2465" spans="1:11">
      <c r="A2465" s="975" t="s">
        <v>2992</v>
      </c>
      <c r="B2465" s="979"/>
      <c r="C2465" s="979"/>
      <c r="D2465" s="979"/>
      <c r="E2465" s="1108"/>
      <c r="F2465" s="272" t="s">
        <v>44</v>
      </c>
      <c r="G2465" s="273"/>
      <c r="K2465" s="237"/>
    </row>
    <row r="2466" spans="1:11" ht="28.5">
      <c r="A2466" s="977" t="s">
        <v>364</v>
      </c>
      <c r="B2466" s="978"/>
      <c r="C2466" s="207" t="s">
        <v>3</v>
      </c>
      <c r="D2466" s="207" t="s">
        <v>4</v>
      </c>
      <c r="E2466" s="207" t="s">
        <v>1826</v>
      </c>
      <c r="F2466" s="207" t="s">
        <v>367</v>
      </c>
      <c r="G2466" s="207" t="s">
        <v>368</v>
      </c>
      <c r="K2466" s="237"/>
    </row>
    <row r="2467" spans="1:11" s="45" customFormat="1" ht="30">
      <c r="A2467" s="172">
        <v>11085</v>
      </c>
      <c r="B2467" s="261" t="s">
        <v>2993</v>
      </c>
      <c r="C2467" s="262" t="s">
        <v>44</v>
      </c>
      <c r="D2467" s="262" t="s">
        <v>17</v>
      </c>
      <c r="E2467" s="260">
        <v>1</v>
      </c>
      <c r="F2467" s="260">
        <f t="shared" ref="F2467:F2469" si="781">H2467</f>
        <v>1603.4059999999999</v>
      </c>
      <c r="G2467" s="260">
        <f t="shared" ref="G2467:G2469" si="782">ROUND(F2467*E2467,2)</f>
        <v>1603.41</v>
      </c>
      <c r="H2467" s="364">
        <v>1603.4059999999999</v>
      </c>
      <c r="I2467" s="45" t="e">
        <f>IF(A2467&lt;&gt;0,VLOOKUP(A2467,#REF!,2,FALSE),"")</f>
        <v>#REF!</v>
      </c>
      <c r="J2467" s="364"/>
      <c r="K2467" s="237"/>
    </row>
    <row r="2468" spans="1:11" ht="30">
      <c r="A2468" s="172">
        <v>88247</v>
      </c>
      <c r="B2468" s="261" t="s">
        <v>510</v>
      </c>
      <c r="C2468" s="262" t="s">
        <v>12</v>
      </c>
      <c r="D2468" s="262" t="s">
        <v>19</v>
      </c>
      <c r="E2468" s="260">
        <v>2</v>
      </c>
      <c r="F2468" s="260">
        <f t="shared" si="781"/>
        <v>11.9085</v>
      </c>
      <c r="G2468" s="260">
        <f t="shared" si="782"/>
        <v>23.82</v>
      </c>
      <c r="H2468" s="375">
        <v>11.9085</v>
      </c>
      <c r="I2468" s="49" t="e">
        <f>IF(A2468&lt;&gt;0,VLOOKUP(A2468,#REF!,2,FALSE),"")</f>
        <v>#REF!</v>
      </c>
      <c r="K2468" s="237"/>
    </row>
    <row r="2469" spans="1:11" ht="30">
      <c r="A2469" s="172">
        <v>88264</v>
      </c>
      <c r="B2469" s="261" t="s">
        <v>379</v>
      </c>
      <c r="C2469" s="262" t="s">
        <v>12</v>
      </c>
      <c r="D2469" s="262" t="s">
        <v>19</v>
      </c>
      <c r="E2469" s="260">
        <v>2</v>
      </c>
      <c r="F2469" s="260">
        <f t="shared" si="781"/>
        <v>15.249000000000001</v>
      </c>
      <c r="G2469" s="260">
        <f t="shared" si="782"/>
        <v>30.5</v>
      </c>
      <c r="H2469" s="375">
        <v>15.249000000000001</v>
      </c>
      <c r="I2469" s="49" t="e">
        <f>IF(A2469&lt;&gt;0,VLOOKUP(A2469,#REF!,2,FALSE),"")</f>
        <v>#REF!</v>
      </c>
      <c r="K2469" s="237"/>
    </row>
    <row r="2470" spans="1:11">
      <c r="A2470" s="1107" t="s">
        <v>1894</v>
      </c>
      <c r="B2470" s="1107"/>
      <c r="C2470" s="1107"/>
      <c r="D2470" s="1107"/>
      <c r="E2470" s="1107"/>
      <c r="F2470" s="1107"/>
      <c r="G2470" s="209">
        <f>ROUND(SUM(G2467:G2469),2)</f>
        <v>1657.73</v>
      </c>
      <c r="K2470" s="237"/>
    </row>
    <row r="2471" spans="1:11">
      <c r="A2471" s="27"/>
      <c r="B2471" s="27"/>
      <c r="C2471" s="27"/>
      <c r="D2471" s="27"/>
      <c r="E2471" s="27"/>
      <c r="F2471" s="27"/>
      <c r="G2471" s="27"/>
      <c r="K2471" s="237"/>
    </row>
    <row r="2472" spans="1:11">
      <c r="A2472" s="975" t="s">
        <v>2994</v>
      </c>
      <c r="B2472" s="979"/>
      <c r="C2472" s="979"/>
      <c r="D2472" s="979"/>
      <c r="E2472" s="1108"/>
      <c r="F2472" s="272" t="s">
        <v>70</v>
      </c>
      <c r="G2472" s="354" t="s">
        <v>2761</v>
      </c>
      <c r="K2472" s="237"/>
    </row>
    <row r="2473" spans="1:11" ht="28.5">
      <c r="A2473" s="977" t="s">
        <v>364</v>
      </c>
      <c r="B2473" s="978"/>
      <c r="C2473" s="207" t="s">
        <v>3</v>
      </c>
      <c r="D2473" s="207" t="s">
        <v>4</v>
      </c>
      <c r="E2473" s="207" t="s">
        <v>1826</v>
      </c>
      <c r="F2473" s="207" t="s">
        <v>367</v>
      </c>
      <c r="G2473" s="207" t="s">
        <v>368</v>
      </c>
      <c r="K2473" s="237"/>
    </row>
    <row r="2474" spans="1:11" ht="45">
      <c r="A2474" s="172">
        <v>39771</v>
      </c>
      <c r="B2474" s="261" t="s">
        <v>1845</v>
      </c>
      <c r="C2474" s="262" t="s">
        <v>12</v>
      </c>
      <c r="D2474" s="262" t="s">
        <v>17</v>
      </c>
      <c r="E2474" s="260">
        <v>1</v>
      </c>
      <c r="F2474" s="260">
        <f t="shared" ref="F2474:F2476" si="783">H2474</f>
        <v>26.792000000000002</v>
      </c>
      <c r="G2474" s="260">
        <f t="shared" ref="G2474:G2476" si="784">ROUND(F2474*E2474,2)</f>
        <v>26.79</v>
      </c>
      <c r="H2474" s="375">
        <v>26.792000000000002</v>
      </c>
      <c r="I2474" s="223" t="e">
        <f>IF(A2474&lt;&gt;0,VLOOKUP(A2474,#REF!,2,FALSE),"")</f>
        <v>#REF!</v>
      </c>
      <c r="K2474" s="237"/>
    </row>
    <row r="2475" spans="1:11" ht="30">
      <c r="A2475" s="172">
        <v>88247</v>
      </c>
      <c r="B2475" s="261" t="s">
        <v>510</v>
      </c>
      <c r="C2475" s="262" t="s">
        <v>12</v>
      </c>
      <c r="D2475" s="262" t="s">
        <v>19</v>
      </c>
      <c r="E2475" s="260">
        <v>2</v>
      </c>
      <c r="F2475" s="260">
        <f t="shared" si="783"/>
        <v>11.9085</v>
      </c>
      <c r="G2475" s="260">
        <f t="shared" si="784"/>
        <v>23.82</v>
      </c>
      <c r="H2475" s="375">
        <v>11.9085</v>
      </c>
      <c r="I2475" s="49" t="e">
        <f>IF(A2475&lt;&gt;0,VLOOKUP(A2475,#REF!,2,FALSE),"")</f>
        <v>#REF!</v>
      </c>
      <c r="K2475" s="237"/>
    </row>
    <row r="2476" spans="1:11" ht="30">
      <c r="A2476" s="172">
        <v>88264</v>
      </c>
      <c r="B2476" s="261" t="s">
        <v>379</v>
      </c>
      <c r="C2476" s="262" t="s">
        <v>12</v>
      </c>
      <c r="D2476" s="262" t="s">
        <v>19</v>
      </c>
      <c r="E2476" s="260">
        <v>2</v>
      </c>
      <c r="F2476" s="260">
        <f t="shared" si="783"/>
        <v>15.249000000000001</v>
      </c>
      <c r="G2476" s="260">
        <f t="shared" si="784"/>
        <v>30.5</v>
      </c>
      <c r="H2476" s="375">
        <v>15.249000000000001</v>
      </c>
      <c r="I2476" s="49" t="e">
        <f>IF(A2476&lt;&gt;0,VLOOKUP(A2476,#REF!,2,FALSE),"")</f>
        <v>#REF!</v>
      </c>
      <c r="K2476" s="237"/>
    </row>
    <row r="2477" spans="1:11">
      <c r="A2477" s="1107" t="s">
        <v>1894</v>
      </c>
      <c r="B2477" s="1107"/>
      <c r="C2477" s="1107"/>
      <c r="D2477" s="1107"/>
      <c r="E2477" s="1107"/>
      <c r="F2477" s="1107"/>
      <c r="G2477" s="209">
        <f>ROUND(SUM(G2474:G2476),2)</f>
        <v>81.11</v>
      </c>
      <c r="K2477" s="237"/>
    </row>
    <row r="2478" spans="1:11" ht="24.75" customHeight="1">
      <c r="A2478" s="27"/>
      <c r="B2478" s="27"/>
      <c r="C2478" s="27"/>
      <c r="D2478" s="27"/>
      <c r="E2478" s="27"/>
      <c r="F2478" s="27"/>
      <c r="G2478" s="27"/>
      <c r="K2478" s="237"/>
    </row>
    <row r="2479" spans="1:11">
      <c r="A2479" s="920" t="s">
        <v>2767</v>
      </c>
      <c r="B2479" s="921"/>
      <c r="C2479" s="921"/>
      <c r="D2479" s="921"/>
      <c r="E2479" s="929"/>
      <c r="F2479" s="272" t="s">
        <v>44</v>
      </c>
      <c r="G2479" s="275">
        <v>13248</v>
      </c>
      <c r="K2479" s="237"/>
    </row>
    <row r="2480" spans="1:11" ht="28.5">
      <c r="A2480" s="984" t="s">
        <v>366</v>
      </c>
      <c r="B2480" s="985"/>
      <c r="C2480" s="77" t="s">
        <v>3</v>
      </c>
      <c r="D2480" s="77" t="s">
        <v>4</v>
      </c>
      <c r="E2480" s="77" t="s">
        <v>1826</v>
      </c>
      <c r="F2480" s="77" t="s">
        <v>367</v>
      </c>
      <c r="G2480" s="77" t="s">
        <v>368</v>
      </c>
      <c r="K2480" s="237"/>
    </row>
    <row r="2481" spans="1:11" s="45" customFormat="1" ht="45">
      <c r="A2481" s="24">
        <v>13248</v>
      </c>
      <c r="B2481" s="23" t="s">
        <v>2995</v>
      </c>
      <c r="C2481" s="25" t="s">
        <v>44</v>
      </c>
      <c r="D2481" s="25" t="s">
        <v>52</v>
      </c>
      <c r="E2481" s="26">
        <v>1.02</v>
      </c>
      <c r="F2481" s="260">
        <f t="shared" ref="F2481:F2483" si="785">H2481</f>
        <v>12.9625</v>
      </c>
      <c r="G2481" s="260">
        <f t="shared" ref="G2481:G2483" si="786">ROUND(F2481*E2481,2)</f>
        <v>13.22</v>
      </c>
      <c r="H2481" s="364">
        <v>12.9625</v>
      </c>
      <c r="I2481" s="45" t="e">
        <f>IF(A2481&lt;&gt;0,VLOOKUP(A2481,#REF!,2,FALSE),"")</f>
        <v>#REF!</v>
      </c>
      <c r="J2481" s="364"/>
      <c r="K2481" s="237"/>
    </row>
    <row r="2482" spans="1:11" ht="30">
      <c r="A2482" s="24">
        <v>88264</v>
      </c>
      <c r="B2482" s="78" t="s">
        <v>379</v>
      </c>
      <c r="C2482" s="25" t="s">
        <v>12</v>
      </c>
      <c r="D2482" s="25" t="s">
        <v>19</v>
      </c>
      <c r="E2482" s="26">
        <v>0.11</v>
      </c>
      <c r="F2482" s="260">
        <f t="shared" si="785"/>
        <v>15.249000000000001</v>
      </c>
      <c r="G2482" s="260">
        <f t="shared" si="786"/>
        <v>1.68</v>
      </c>
      <c r="H2482" s="375">
        <v>15.249000000000001</v>
      </c>
      <c r="I2482" s="49" t="e">
        <f>IF(A2482&lt;&gt;0,VLOOKUP(A2482,#REF!,2,FALSE),"")</f>
        <v>#REF!</v>
      </c>
      <c r="K2482" s="237"/>
    </row>
    <row r="2483" spans="1:11" ht="30">
      <c r="A2483" s="24">
        <v>88247</v>
      </c>
      <c r="B2483" s="78" t="s">
        <v>510</v>
      </c>
      <c r="C2483" s="25" t="s">
        <v>12</v>
      </c>
      <c r="D2483" s="25" t="s">
        <v>19</v>
      </c>
      <c r="E2483" s="26">
        <v>0.11</v>
      </c>
      <c r="F2483" s="260">
        <f t="shared" si="785"/>
        <v>11.9085</v>
      </c>
      <c r="G2483" s="260">
        <f t="shared" si="786"/>
        <v>1.31</v>
      </c>
      <c r="H2483" s="375">
        <v>11.9085</v>
      </c>
      <c r="I2483" s="49" t="e">
        <f>IF(A2483&lt;&gt;0,VLOOKUP(A2483,#REF!,2,FALSE),"")</f>
        <v>#REF!</v>
      </c>
      <c r="K2483" s="237"/>
    </row>
    <row r="2484" spans="1:11">
      <c r="A2484" s="1107" t="s">
        <v>1894</v>
      </c>
      <c r="B2484" s="1107"/>
      <c r="C2484" s="1107"/>
      <c r="D2484" s="1107"/>
      <c r="E2484" s="1107"/>
      <c r="F2484" s="1107"/>
      <c r="G2484" s="209">
        <f>ROUND(SUM(G2481:G2483),2)</f>
        <v>16.21</v>
      </c>
      <c r="K2484" s="237"/>
    </row>
    <row r="2485" spans="1:11" ht="23.25" customHeight="1">
      <c r="A2485" s="271"/>
      <c r="B2485" s="271"/>
      <c r="C2485" s="271"/>
      <c r="D2485" s="271"/>
      <c r="E2485" s="271"/>
      <c r="F2485" s="271"/>
      <c r="G2485" s="271"/>
      <c r="K2485" s="237"/>
    </row>
    <row r="2486" spans="1:11">
      <c r="A2486" s="920" t="s">
        <v>2768</v>
      </c>
      <c r="B2486" s="921"/>
      <c r="C2486" s="921"/>
      <c r="D2486" s="921"/>
      <c r="E2486" s="929"/>
      <c r="F2486" s="272" t="s">
        <v>44</v>
      </c>
      <c r="G2486" s="275">
        <v>11633</v>
      </c>
      <c r="K2486" s="237"/>
    </row>
    <row r="2487" spans="1:11" ht="28.5">
      <c r="A2487" s="984" t="s">
        <v>366</v>
      </c>
      <c r="B2487" s="985"/>
      <c r="C2487" s="77" t="s">
        <v>3</v>
      </c>
      <c r="D2487" s="77" t="s">
        <v>4</v>
      </c>
      <c r="E2487" s="77" t="s">
        <v>1826</v>
      </c>
      <c r="F2487" s="77" t="s">
        <v>367</v>
      </c>
      <c r="G2487" s="77" t="s">
        <v>368</v>
      </c>
      <c r="K2487" s="237"/>
    </row>
    <row r="2488" spans="1:11" s="45" customFormat="1" ht="30">
      <c r="A2488" s="24">
        <v>11633</v>
      </c>
      <c r="B2488" s="276" t="s">
        <v>2996</v>
      </c>
      <c r="C2488" s="25" t="s">
        <v>44</v>
      </c>
      <c r="D2488" s="25" t="s">
        <v>52</v>
      </c>
      <c r="E2488" s="26">
        <v>1.02</v>
      </c>
      <c r="F2488" s="260">
        <f t="shared" ref="F2488:F2490" si="787">H2488</f>
        <v>5.0999999999999996</v>
      </c>
      <c r="G2488" s="260">
        <f t="shared" ref="G2488:G2490" si="788">ROUND(F2488*E2488,2)</f>
        <v>5.2</v>
      </c>
      <c r="H2488" s="364">
        <v>5.0999999999999996</v>
      </c>
      <c r="I2488" s="45" t="e">
        <f>IF(A2488&lt;&gt;0,VLOOKUP(A2488,#REF!,2,FALSE),"")</f>
        <v>#REF!</v>
      </c>
      <c r="J2488" s="364"/>
      <c r="K2488" s="237"/>
    </row>
    <row r="2489" spans="1:11" ht="30">
      <c r="A2489" s="24">
        <v>88264</v>
      </c>
      <c r="B2489" s="78" t="s">
        <v>379</v>
      </c>
      <c r="C2489" s="25" t="s">
        <v>12</v>
      </c>
      <c r="D2489" s="25" t="s">
        <v>19</v>
      </c>
      <c r="E2489" s="26">
        <v>0.11</v>
      </c>
      <c r="F2489" s="260">
        <f t="shared" si="787"/>
        <v>15.249000000000001</v>
      </c>
      <c r="G2489" s="260">
        <f t="shared" si="788"/>
        <v>1.68</v>
      </c>
      <c r="H2489" s="375">
        <v>15.249000000000001</v>
      </c>
      <c r="I2489" s="49" t="e">
        <f>IF(A2489&lt;&gt;0,VLOOKUP(A2489,#REF!,2,FALSE),"")</f>
        <v>#REF!</v>
      </c>
      <c r="K2489" s="237"/>
    </row>
    <row r="2490" spans="1:11" ht="30">
      <c r="A2490" s="24">
        <v>88247</v>
      </c>
      <c r="B2490" s="78" t="s">
        <v>510</v>
      </c>
      <c r="C2490" s="25" t="s">
        <v>12</v>
      </c>
      <c r="D2490" s="25" t="s">
        <v>19</v>
      </c>
      <c r="E2490" s="26">
        <v>0.11</v>
      </c>
      <c r="F2490" s="260">
        <f t="shared" si="787"/>
        <v>11.9085</v>
      </c>
      <c r="G2490" s="260">
        <f t="shared" si="788"/>
        <v>1.31</v>
      </c>
      <c r="H2490" s="375">
        <v>11.9085</v>
      </c>
      <c r="I2490" s="49" t="e">
        <f>IF(A2490&lt;&gt;0,VLOOKUP(A2490,#REF!,2,FALSE),"")</f>
        <v>#REF!</v>
      </c>
      <c r="K2490" s="237"/>
    </row>
    <row r="2491" spans="1:11">
      <c r="A2491" s="1107" t="s">
        <v>1894</v>
      </c>
      <c r="B2491" s="1107"/>
      <c r="C2491" s="1107"/>
      <c r="D2491" s="1107"/>
      <c r="E2491" s="1107"/>
      <c r="F2491" s="1107"/>
      <c r="G2491" s="209">
        <f>ROUND(SUM(G2488:G2490),2)</f>
        <v>8.19</v>
      </c>
      <c r="K2491" s="237"/>
    </row>
    <row r="2492" spans="1:11" ht="29.25" customHeight="1">
      <c r="A2492" s="27"/>
      <c r="B2492" s="27"/>
      <c r="C2492" s="27"/>
      <c r="D2492" s="27"/>
      <c r="E2492" s="27"/>
      <c r="F2492" s="27"/>
      <c r="G2492" s="27"/>
      <c r="K2492" s="237"/>
    </row>
    <row r="2493" spans="1:11">
      <c r="A2493" s="975" t="s">
        <v>2997</v>
      </c>
      <c r="B2493" s="979"/>
      <c r="C2493" s="979"/>
      <c r="D2493" s="979"/>
      <c r="E2493" s="1108"/>
      <c r="F2493" s="272" t="s">
        <v>44</v>
      </c>
      <c r="G2493" s="275">
        <v>7881</v>
      </c>
      <c r="K2493" s="237"/>
    </row>
    <row r="2494" spans="1:11" ht="28.5">
      <c r="A2494" s="977" t="s">
        <v>364</v>
      </c>
      <c r="B2494" s="978"/>
      <c r="C2494" s="207" t="s">
        <v>3</v>
      </c>
      <c r="D2494" s="207" t="s">
        <v>4</v>
      </c>
      <c r="E2494" s="207" t="s">
        <v>1826</v>
      </c>
      <c r="F2494" s="207" t="s">
        <v>367</v>
      </c>
      <c r="G2494" s="207" t="s">
        <v>368</v>
      </c>
      <c r="K2494" s="237"/>
    </row>
    <row r="2495" spans="1:11" s="45" customFormat="1" ht="30">
      <c r="A2495" s="172">
        <v>4112</v>
      </c>
      <c r="B2495" s="261" t="s">
        <v>2998</v>
      </c>
      <c r="C2495" s="262" t="s">
        <v>44</v>
      </c>
      <c r="D2495" s="262" t="s">
        <v>17</v>
      </c>
      <c r="E2495" s="260">
        <v>1</v>
      </c>
      <c r="F2495" s="260">
        <f t="shared" ref="F2495:F2497" si="789">H2495</f>
        <v>3.5275000000000003</v>
      </c>
      <c r="G2495" s="260">
        <f t="shared" ref="G2495:G2497" si="790">ROUND(F2495*E2495,2)</f>
        <v>3.53</v>
      </c>
      <c r="H2495" s="364">
        <v>3.5275000000000003</v>
      </c>
      <c r="I2495" s="45" t="e">
        <f>IF(A2495&lt;&gt;0,VLOOKUP(A2495,#REF!,2,FALSE),"")</f>
        <v>#REF!</v>
      </c>
      <c r="J2495" s="364"/>
      <c r="K2495" s="237"/>
    </row>
    <row r="2496" spans="1:11" ht="30">
      <c r="A2496" s="172">
        <v>88264</v>
      </c>
      <c r="B2496" s="261" t="s">
        <v>379</v>
      </c>
      <c r="C2496" s="262" t="s">
        <v>12</v>
      </c>
      <c r="D2496" s="262" t="s">
        <v>19</v>
      </c>
      <c r="E2496" s="260">
        <v>0.2</v>
      </c>
      <c r="F2496" s="260">
        <f t="shared" si="789"/>
        <v>15.249000000000001</v>
      </c>
      <c r="G2496" s="260">
        <f t="shared" si="790"/>
        <v>3.05</v>
      </c>
      <c r="H2496" s="375">
        <v>15.249000000000001</v>
      </c>
      <c r="I2496" s="49" t="e">
        <f>IF(A2496&lt;&gt;0,VLOOKUP(A2496,#REF!,2,FALSE),"")</f>
        <v>#REF!</v>
      </c>
      <c r="K2496" s="237"/>
    </row>
    <row r="2497" spans="1:11" ht="30">
      <c r="A2497" s="172">
        <v>88316</v>
      </c>
      <c r="B2497" s="261" t="s">
        <v>377</v>
      </c>
      <c r="C2497" s="262" t="s">
        <v>12</v>
      </c>
      <c r="D2497" s="262" t="s">
        <v>19</v>
      </c>
      <c r="E2497" s="260">
        <v>0.2</v>
      </c>
      <c r="F2497" s="260">
        <f t="shared" si="789"/>
        <v>11.798000000000002</v>
      </c>
      <c r="G2497" s="260">
        <f t="shared" si="790"/>
        <v>2.36</v>
      </c>
      <c r="H2497" s="375">
        <v>11.798000000000002</v>
      </c>
      <c r="I2497" s="49" t="e">
        <f>IF(A2497&lt;&gt;0,VLOOKUP(A2497,#REF!,2,FALSE),"")</f>
        <v>#REF!</v>
      </c>
      <c r="K2497" s="237"/>
    </row>
    <row r="2498" spans="1:11">
      <c r="A2498" s="1107" t="s">
        <v>1894</v>
      </c>
      <c r="B2498" s="1107"/>
      <c r="C2498" s="1107"/>
      <c r="D2498" s="1107"/>
      <c r="E2498" s="1107"/>
      <c r="F2498" s="1107"/>
      <c r="G2498" s="209">
        <f>ROUND(SUM(G2495:G2497),2)</f>
        <v>8.94</v>
      </c>
      <c r="K2498" s="237"/>
    </row>
    <row r="2499" spans="1:11" ht="25.5" customHeight="1">
      <c r="A2499" s="27"/>
      <c r="B2499" s="27"/>
      <c r="C2499" s="27"/>
      <c r="D2499" s="27"/>
      <c r="E2499" s="27"/>
      <c r="F2499" s="27"/>
      <c r="G2499" s="27"/>
      <c r="K2499" s="237"/>
    </row>
    <row r="2500" spans="1:11">
      <c r="A2500" s="975" t="s">
        <v>2999</v>
      </c>
      <c r="B2500" s="979"/>
      <c r="C2500" s="979"/>
      <c r="D2500" s="979"/>
      <c r="E2500" s="979"/>
      <c r="F2500" s="272" t="s">
        <v>44</v>
      </c>
      <c r="G2500" s="275">
        <v>8689</v>
      </c>
      <c r="K2500" s="237"/>
    </row>
    <row r="2501" spans="1:11" ht="28.5">
      <c r="A2501" s="977" t="s">
        <v>366</v>
      </c>
      <c r="B2501" s="978"/>
      <c r="C2501" s="207" t="s">
        <v>3</v>
      </c>
      <c r="D2501" s="207" t="s">
        <v>4</v>
      </c>
      <c r="E2501" s="207" t="s">
        <v>1826</v>
      </c>
      <c r="F2501" s="207" t="s">
        <v>367</v>
      </c>
      <c r="G2501" s="207" t="s">
        <v>368</v>
      </c>
      <c r="K2501" s="237"/>
    </row>
    <row r="2502" spans="1:11" s="45" customFormat="1" ht="30">
      <c r="A2502" s="172">
        <v>8946</v>
      </c>
      <c r="B2502" s="261" t="s">
        <v>3000</v>
      </c>
      <c r="C2502" s="262" t="s">
        <v>44</v>
      </c>
      <c r="D2502" s="262" t="s">
        <v>17</v>
      </c>
      <c r="E2502" s="260">
        <v>1</v>
      </c>
      <c r="F2502" s="260">
        <f t="shared" ref="F2502:F2504" si="791">H2502</f>
        <v>11.05</v>
      </c>
      <c r="G2502" s="260">
        <f t="shared" ref="G2502:G2504" si="792">ROUND(F2502*E2502,2)</f>
        <v>11.05</v>
      </c>
      <c r="H2502" s="364">
        <v>11.05</v>
      </c>
      <c r="I2502" s="45" t="e">
        <f>IF(A2502&lt;&gt;0,VLOOKUP(A2502,#REF!,2,FALSE),"")</f>
        <v>#REF!</v>
      </c>
      <c r="J2502" s="364"/>
      <c r="K2502" s="237"/>
    </row>
    <row r="2503" spans="1:11" ht="30">
      <c r="A2503" s="172">
        <v>88264</v>
      </c>
      <c r="B2503" s="261" t="s">
        <v>379</v>
      </c>
      <c r="C2503" s="262" t="s">
        <v>12</v>
      </c>
      <c r="D2503" s="262" t="s">
        <v>19</v>
      </c>
      <c r="E2503" s="260">
        <v>0.2</v>
      </c>
      <c r="F2503" s="260">
        <f t="shared" si="791"/>
        <v>15.249000000000001</v>
      </c>
      <c r="G2503" s="260">
        <f t="shared" si="792"/>
        <v>3.05</v>
      </c>
      <c r="H2503" s="375">
        <v>15.249000000000001</v>
      </c>
      <c r="I2503" s="49" t="e">
        <f>IF(A2503&lt;&gt;0,VLOOKUP(A2503,#REF!,2,FALSE),"")</f>
        <v>#REF!</v>
      </c>
      <c r="K2503" s="237"/>
    </row>
    <row r="2504" spans="1:11" ht="30">
      <c r="A2504" s="172">
        <v>88247</v>
      </c>
      <c r="B2504" s="261" t="s">
        <v>510</v>
      </c>
      <c r="C2504" s="262" t="s">
        <v>12</v>
      </c>
      <c r="D2504" s="262" t="s">
        <v>19</v>
      </c>
      <c r="E2504" s="260">
        <v>0.2</v>
      </c>
      <c r="F2504" s="260">
        <f t="shared" si="791"/>
        <v>11.9085</v>
      </c>
      <c r="G2504" s="260">
        <f t="shared" si="792"/>
        <v>2.38</v>
      </c>
      <c r="H2504" s="375">
        <v>11.9085</v>
      </c>
      <c r="I2504" s="49" t="e">
        <f>IF(A2504&lt;&gt;0,VLOOKUP(A2504,#REF!,2,FALSE),"")</f>
        <v>#REF!</v>
      </c>
      <c r="K2504" s="237"/>
    </row>
    <row r="2505" spans="1:11">
      <c r="A2505" s="1107" t="s">
        <v>1894</v>
      </c>
      <c r="B2505" s="1107"/>
      <c r="C2505" s="1107"/>
      <c r="D2505" s="1107"/>
      <c r="E2505" s="1107"/>
      <c r="F2505" s="1107"/>
      <c r="G2505" s="209">
        <f>ROUND(SUM(G2502:G2504),2)</f>
        <v>16.48</v>
      </c>
      <c r="K2505" s="237"/>
    </row>
    <row r="2506" spans="1:11" ht="30" customHeight="1">
      <c r="A2506" s="27"/>
      <c r="B2506" s="27"/>
      <c r="C2506" s="27"/>
      <c r="D2506" s="27"/>
      <c r="E2506" s="27"/>
      <c r="F2506" s="27"/>
      <c r="G2506" s="27"/>
      <c r="K2506" s="237"/>
    </row>
    <row r="2507" spans="1:11">
      <c r="A2507" s="975" t="s">
        <v>3001</v>
      </c>
      <c r="B2507" s="979"/>
      <c r="C2507" s="979"/>
      <c r="D2507" s="979"/>
      <c r="E2507" s="979"/>
      <c r="F2507" s="272" t="s">
        <v>44</v>
      </c>
      <c r="G2507" s="275">
        <v>765</v>
      </c>
      <c r="K2507" s="237"/>
    </row>
    <row r="2508" spans="1:11" ht="28.5">
      <c r="A2508" s="977" t="s">
        <v>364</v>
      </c>
      <c r="B2508" s="978"/>
      <c r="C2508" s="207" t="s">
        <v>3</v>
      </c>
      <c r="D2508" s="207" t="s">
        <v>4</v>
      </c>
      <c r="E2508" s="207" t="s">
        <v>1826</v>
      </c>
      <c r="F2508" s="207" t="s">
        <v>367</v>
      </c>
      <c r="G2508" s="207" t="s">
        <v>368</v>
      </c>
      <c r="K2508" s="237"/>
    </row>
    <row r="2509" spans="1:11" s="45" customFormat="1" ht="45">
      <c r="A2509" s="172">
        <v>857</v>
      </c>
      <c r="B2509" s="261" t="s">
        <v>3002</v>
      </c>
      <c r="C2509" s="262" t="s">
        <v>44</v>
      </c>
      <c r="D2509" s="262" t="s">
        <v>17</v>
      </c>
      <c r="E2509" s="260">
        <v>1</v>
      </c>
      <c r="F2509" s="260">
        <f t="shared" ref="F2509:F2511" si="793">H2509</f>
        <v>42.160000000000004</v>
      </c>
      <c r="G2509" s="260">
        <f t="shared" ref="G2509:G2511" si="794">ROUND(F2509*E2509,2)</f>
        <v>42.16</v>
      </c>
      <c r="H2509" s="364">
        <v>42.160000000000004</v>
      </c>
      <c r="I2509" s="45" t="e">
        <f>IF(A2509&lt;&gt;0,VLOOKUP(A2509,#REF!,2,FALSE),"")</f>
        <v>#REF!</v>
      </c>
      <c r="J2509" s="364"/>
      <c r="K2509" s="237"/>
    </row>
    <row r="2510" spans="1:11" ht="30">
      <c r="A2510" s="172">
        <v>88264</v>
      </c>
      <c r="B2510" s="261" t="s">
        <v>379</v>
      </c>
      <c r="C2510" s="262" t="s">
        <v>12</v>
      </c>
      <c r="D2510" s="262" t="s">
        <v>19</v>
      </c>
      <c r="E2510" s="260">
        <v>0.2</v>
      </c>
      <c r="F2510" s="260">
        <f t="shared" si="793"/>
        <v>15.249000000000001</v>
      </c>
      <c r="G2510" s="260">
        <f t="shared" si="794"/>
        <v>3.05</v>
      </c>
      <c r="H2510" s="375">
        <v>15.249000000000001</v>
      </c>
      <c r="I2510" s="49" t="e">
        <f>IF(A2510&lt;&gt;0,VLOOKUP(A2510,#REF!,2,FALSE),"")</f>
        <v>#REF!</v>
      </c>
      <c r="K2510" s="237"/>
    </row>
    <row r="2511" spans="1:11" ht="30">
      <c r="A2511" s="172">
        <v>88316</v>
      </c>
      <c r="B2511" s="261" t="s">
        <v>377</v>
      </c>
      <c r="C2511" s="262" t="s">
        <v>12</v>
      </c>
      <c r="D2511" s="262" t="s">
        <v>19</v>
      </c>
      <c r="E2511" s="260">
        <v>0.2</v>
      </c>
      <c r="F2511" s="260">
        <f t="shared" si="793"/>
        <v>11.798000000000002</v>
      </c>
      <c r="G2511" s="260">
        <f t="shared" si="794"/>
        <v>2.36</v>
      </c>
      <c r="H2511" s="375">
        <v>11.798000000000002</v>
      </c>
      <c r="I2511" s="49" t="e">
        <f>IF(A2511&lt;&gt;0,VLOOKUP(A2511,#REF!,2,FALSE),"")</f>
        <v>#REF!</v>
      </c>
      <c r="K2511" s="237"/>
    </row>
    <row r="2512" spans="1:11">
      <c r="A2512" s="1107" t="s">
        <v>1894</v>
      </c>
      <c r="B2512" s="1107"/>
      <c r="C2512" s="1107"/>
      <c r="D2512" s="1107"/>
      <c r="E2512" s="1107"/>
      <c r="F2512" s="1107"/>
      <c r="G2512" s="209">
        <f>ROUND(SUM(G2509:G2511),2)</f>
        <v>47.57</v>
      </c>
      <c r="K2512" s="237"/>
    </row>
    <row r="2513" spans="1:11" ht="29.25" customHeight="1">
      <c r="A2513" s="27"/>
      <c r="B2513" s="27"/>
      <c r="C2513" s="27"/>
      <c r="D2513" s="27"/>
      <c r="E2513" s="27"/>
      <c r="F2513" s="27"/>
      <c r="G2513" s="27"/>
      <c r="K2513" s="237"/>
    </row>
    <row r="2514" spans="1:11" ht="39" customHeight="1">
      <c r="A2514" s="975" t="s">
        <v>3074</v>
      </c>
      <c r="B2514" s="979"/>
      <c r="C2514" s="979"/>
      <c r="D2514" s="979"/>
      <c r="E2514" s="980"/>
      <c r="F2514" s="207" t="s">
        <v>3049</v>
      </c>
      <c r="G2514" s="275" t="s">
        <v>3353</v>
      </c>
      <c r="K2514" s="237"/>
    </row>
    <row r="2515" spans="1:11" ht="28.5">
      <c r="A2515" s="975" t="s">
        <v>366</v>
      </c>
      <c r="B2515" s="976"/>
      <c r="C2515" s="207" t="s">
        <v>3</v>
      </c>
      <c r="D2515" s="207" t="s">
        <v>4</v>
      </c>
      <c r="E2515" s="207" t="s">
        <v>1826</v>
      </c>
      <c r="F2515" s="207" t="s">
        <v>367</v>
      </c>
      <c r="G2515" s="207" t="s">
        <v>368</v>
      </c>
      <c r="K2515" s="237"/>
    </row>
    <row r="2516" spans="1:11" ht="30">
      <c r="A2516" s="172" t="s">
        <v>3354</v>
      </c>
      <c r="B2516" s="261" t="s">
        <v>3352</v>
      </c>
      <c r="C2516" s="262" t="s">
        <v>3049</v>
      </c>
      <c r="D2516" s="262" t="s">
        <v>17</v>
      </c>
      <c r="E2516" s="260">
        <v>2</v>
      </c>
      <c r="F2516" s="260">
        <f t="shared" ref="F2516" si="795">H2516</f>
        <v>41140.467499999999</v>
      </c>
      <c r="G2516" s="260">
        <f t="shared" ref="G2516" si="796">ROUND(F2516*E2516,2)</f>
        <v>82280.94</v>
      </c>
      <c r="H2516" s="375">
        <v>41140.467499999999</v>
      </c>
      <c r="K2516" s="237"/>
    </row>
    <row r="2517" spans="1:11">
      <c r="A2517" s="1107" t="s">
        <v>1894</v>
      </c>
      <c r="B2517" s="1107"/>
      <c r="C2517" s="1107"/>
      <c r="D2517" s="1107"/>
      <c r="E2517" s="1107"/>
      <c r="F2517" s="1107"/>
      <c r="G2517" s="209">
        <f>ROUND(SUM(G2516:G2516),2)</f>
        <v>82280.94</v>
      </c>
      <c r="K2517" s="237"/>
    </row>
    <row r="2518" spans="1:11" ht="29.25" customHeight="1">
      <c r="A2518" s="277"/>
      <c r="B2518" s="277"/>
      <c r="C2518" s="981"/>
      <c r="D2518" s="982"/>
      <c r="E2518" s="277"/>
      <c r="F2518" s="277"/>
      <c r="G2518" s="277"/>
      <c r="K2518" s="237"/>
    </row>
    <row r="2519" spans="1:11" ht="37.5" customHeight="1">
      <c r="A2519" s="975" t="s">
        <v>3075</v>
      </c>
      <c r="B2519" s="979"/>
      <c r="C2519" s="979"/>
      <c r="D2519" s="979"/>
      <c r="E2519" s="980"/>
      <c r="F2519" s="207" t="s">
        <v>3049</v>
      </c>
      <c r="G2519" s="275" t="s">
        <v>3438</v>
      </c>
      <c r="K2519" s="237"/>
    </row>
    <row r="2520" spans="1:11" ht="28.5">
      <c r="A2520" s="977" t="s">
        <v>366</v>
      </c>
      <c r="B2520" s="978"/>
      <c r="C2520" s="207" t="s">
        <v>3</v>
      </c>
      <c r="D2520" s="207" t="s">
        <v>4</v>
      </c>
      <c r="E2520" s="207" t="s">
        <v>1826</v>
      </c>
      <c r="F2520" s="207" t="s">
        <v>367</v>
      </c>
      <c r="G2520" s="207" t="s">
        <v>368</v>
      </c>
      <c r="K2520" s="237"/>
    </row>
    <row r="2521" spans="1:11" ht="30">
      <c r="A2521" s="172" t="s">
        <v>3359</v>
      </c>
      <c r="B2521" s="261" t="s">
        <v>3358</v>
      </c>
      <c r="C2521" s="262" t="s">
        <v>3049</v>
      </c>
      <c r="D2521" s="262" t="s">
        <v>17</v>
      </c>
      <c r="E2521" s="260">
        <v>2</v>
      </c>
      <c r="F2521" s="260">
        <f t="shared" ref="F2521" si="797">H2521</f>
        <v>45846.399000000005</v>
      </c>
      <c r="G2521" s="260">
        <f t="shared" ref="G2521" si="798">ROUND(F2521*E2521,2)</f>
        <v>91692.800000000003</v>
      </c>
      <c r="H2521" s="375">
        <v>45846.399000000005</v>
      </c>
      <c r="K2521" s="237"/>
    </row>
    <row r="2522" spans="1:11">
      <c r="A2522" s="1107" t="s">
        <v>1894</v>
      </c>
      <c r="B2522" s="1107"/>
      <c r="C2522" s="1107"/>
      <c r="D2522" s="1107"/>
      <c r="E2522" s="1107"/>
      <c r="F2522" s="1107"/>
      <c r="G2522" s="209">
        <f>ROUND(SUM(G2521:G2521),2)</f>
        <v>91692.800000000003</v>
      </c>
      <c r="K2522" s="237"/>
    </row>
    <row r="2523" spans="1:11" ht="25.5" customHeight="1">
      <c r="A2523" s="277"/>
      <c r="B2523" s="277"/>
      <c r="C2523" s="981"/>
      <c r="D2523" s="982"/>
      <c r="E2523" s="277"/>
      <c r="F2523" s="277"/>
      <c r="G2523" s="277"/>
      <c r="K2523" s="237"/>
    </row>
    <row r="2524" spans="1:11" ht="31.5" customHeight="1">
      <c r="A2524" s="975" t="s">
        <v>3076</v>
      </c>
      <c r="B2524" s="979"/>
      <c r="C2524" s="979"/>
      <c r="D2524" s="979"/>
      <c r="E2524" s="980"/>
      <c r="F2524" s="207" t="s">
        <v>3049</v>
      </c>
      <c r="G2524" s="275" t="s">
        <v>3365</v>
      </c>
      <c r="K2524" s="237"/>
    </row>
    <row r="2525" spans="1:11" ht="28.5">
      <c r="A2525" s="977" t="s">
        <v>366</v>
      </c>
      <c r="B2525" s="978"/>
      <c r="C2525" s="207" t="s">
        <v>3</v>
      </c>
      <c r="D2525" s="207" t="s">
        <v>4</v>
      </c>
      <c r="E2525" s="207" t="s">
        <v>1826</v>
      </c>
      <c r="F2525" s="207" t="s">
        <v>367</v>
      </c>
      <c r="G2525" s="207" t="s">
        <v>368</v>
      </c>
      <c r="K2525" s="237"/>
    </row>
    <row r="2526" spans="1:11" ht="30">
      <c r="A2526" s="172" t="s">
        <v>3359</v>
      </c>
      <c r="B2526" s="261" t="s">
        <v>3358</v>
      </c>
      <c r="C2526" s="262" t="s">
        <v>3049</v>
      </c>
      <c r="D2526" s="262" t="s">
        <v>17</v>
      </c>
      <c r="E2526" s="260">
        <v>3</v>
      </c>
      <c r="F2526" s="260">
        <f t="shared" ref="F2526" si="799">H2526</f>
        <v>45846.399000000005</v>
      </c>
      <c r="G2526" s="260">
        <f t="shared" ref="G2526" si="800">ROUND(F2526*E2526,2)</f>
        <v>137539.20000000001</v>
      </c>
      <c r="H2526" s="375">
        <v>45846.399000000005</v>
      </c>
      <c r="K2526" s="237"/>
    </row>
    <row r="2527" spans="1:11">
      <c r="A2527" s="1107" t="s">
        <v>1894</v>
      </c>
      <c r="B2527" s="1107"/>
      <c r="C2527" s="1107"/>
      <c r="D2527" s="1107"/>
      <c r="E2527" s="1107"/>
      <c r="F2527" s="1107"/>
      <c r="G2527" s="209">
        <f>ROUND(SUM(G2526:G2526),2)</f>
        <v>137539.20000000001</v>
      </c>
      <c r="K2527" s="237"/>
    </row>
    <row r="2528" spans="1:11" ht="20.25" customHeight="1">
      <c r="A2528" s="27"/>
      <c r="B2528" s="27"/>
      <c r="C2528" s="27"/>
      <c r="D2528" s="27"/>
      <c r="E2528" s="27"/>
      <c r="F2528" s="27"/>
      <c r="G2528" s="27"/>
      <c r="K2528" s="237"/>
    </row>
    <row r="2529" spans="1:11">
      <c r="A2529" s="920" t="s">
        <v>3003</v>
      </c>
      <c r="B2529" s="921"/>
      <c r="C2529" s="921"/>
      <c r="D2529" s="921"/>
      <c r="E2529" s="922"/>
      <c r="F2529" s="207" t="s">
        <v>3049</v>
      </c>
      <c r="G2529" s="95" t="s">
        <v>3369</v>
      </c>
      <c r="K2529" s="237"/>
    </row>
    <row r="2530" spans="1:11" ht="28.5">
      <c r="A2530" s="208" t="s">
        <v>366</v>
      </c>
      <c r="B2530" s="88"/>
      <c r="C2530" s="77" t="s">
        <v>3</v>
      </c>
      <c r="D2530" s="77" t="s">
        <v>4</v>
      </c>
      <c r="E2530" s="77" t="s">
        <v>1826</v>
      </c>
      <c r="F2530" s="77" t="s">
        <v>367</v>
      </c>
      <c r="G2530" s="77" t="s">
        <v>368</v>
      </c>
      <c r="K2530" s="237"/>
    </row>
    <row r="2531" spans="1:11" ht="30">
      <c r="A2531" s="84" t="s">
        <v>3370</v>
      </c>
      <c r="B2531" s="78" t="s">
        <v>3004</v>
      </c>
      <c r="C2531" s="25" t="s">
        <v>3049</v>
      </c>
      <c r="D2531" s="25" t="s">
        <v>17</v>
      </c>
      <c r="E2531" s="26">
        <v>1</v>
      </c>
      <c r="F2531" s="26">
        <v>77.48</v>
      </c>
      <c r="G2531" s="26">
        <v>77.48</v>
      </c>
      <c r="H2531" s="375">
        <v>65.858000000000004</v>
      </c>
      <c r="K2531" s="237"/>
    </row>
    <row r="2532" spans="1:11">
      <c r="A2532" s="1107" t="s">
        <v>1894</v>
      </c>
      <c r="B2532" s="1107"/>
      <c r="C2532" s="1107"/>
      <c r="D2532" s="1107"/>
      <c r="E2532" s="1107"/>
      <c r="F2532" s="1107"/>
      <c r="G2532" s="209">
        <f>ROUND(SUM(G2531),2)</f>
        <v>77.48</v>
      </c>
      <c r="K2532" s="237"/>
    </row>
    <row r="2533" spans="1:11" ht="20.25" customHeight="1">
      <c r="A2533" s="27"/>
      <c r="B2533" s="27"/>
      <c r="C2533" s="27"/>
      <c r="D2533" s="27"/>
      <c r="E2533" s="27"/>
      <c r="F2533" s="27"/>
      <c r="G2533" s="27"/>
      <c r="K2533" s="237"/>
    </row>
    <row r="2534" spans="1:11">
      <c r="A2534" s="920" t="s">
        <v>3376</v>
      </c>
      <c r="B2534" s="921"/>
      <c r="C2534" s="921"/>
      <c r="D2534" s="921"/>
      <c r="E2534" s="929"/>
      <c r="F2534" s="75" t="s">
        <v>70</v>
      </c>
      <c r="G2534" s="344" t="s">
        <v>3377</v>
      </c>
      <c r="K2534" s="237"/>
    </row>
    <row r="2535" spans="1:11" ht="28.5">
      <c r="A2535" s="920" t="s">
        <v>366</v>
      </c>
      <c r="B2535" s="959"/>
      <c r="C2535" s="77" t="s">
        <v>3</v>
      </c>
      <c r="D2535" s="77" t="s">
        <v>4</v>
      </c>
      <c r="E2535" s="77" t="s">
        <v>1826</v>
      </c>
      <c r="F2535" s="77" t="s">
        <v>367</v>
      </c>
      <c r="G2535" s="77" t="s">
        <v>368</v>
      </c>
      <c r="K2535" s="237"/>
    </row>
    <row r="2536" spans="1:11" ht="30">
      <c r="A2536" s="24">
        <v>88264</v>
      </c>
      <c r="B2536" s="78" t="s">
        <v>379</v>
      </c>
      <c r="C2536" s="25" t="s">
        <v>12</v>
      </c>
      <c r="D2536" s="25" t="s">
        <v>19</v>
      </c>
      <c r="E2536" s="26">
        <v>60</v>
      </c>
      <c r="F2536" s="26">
        <f t="shared" ref="F2536:F2538" si="801">H2536</f>
        <v>15.249000000000001</v>
      </c>
      <c r="G2536" s="26">
        <f t="shared" ref="G2536:G2538" si="802">ROUND(F2536*E2536,2)</f>
        <v>914.94</v>
      </c>
      <c r="H2536" s="375">
        <v>15.249000000000001</v>
      </c>
      <c r="I2536" s="49" t="e">
        <f>IF(A2536&lt;&gt;0,VLOOKUP(A2536,#REF!,2,FALSE),"")</f>
        <v>#REF!</v>
      </c>
      <c r="K2536" s="237"/>
    </row>
    <row r="2537" spans="1:11" ht="30">
      <c r="A2537" s="24">
        <v>88247</v>
      </c>
      <c r="B2537" s="78" t="s">
        <v>510</v>
      </c>
      <c r="C2537" s="25" t="s">
        <v>12</v>
      </c>
      <c r="D2537" s="25" t="s">
        <v>19</v>
      </c>
      <c r="E2537" s="26">
        <v>60</v>
      </c>
      <c r="F2537" s="26">
        <f t="shared" si="801"/>
        <v>11.9085</v>
      </c>
      <c r="G2537" s="26">
        <f t="shared" si="802"/>
        <v>714.51</v>
      </c>
      <c r="H2537" s="375">
        <v>11.9085</v>
      </c>
      <c r="I2537" s="49" t="e">
        <f>IF(A2537&lt;&gt;0,VLOOKUP(A2537,#REF!,2,FALSE),"")</f>
        <v>#REF!</v>
      </c>
      <c r="K2537" s="237"/>
    </row>
    <row r="2538" spans="1:11" ht="30">
      <c r="A2538" s="24">
        <v>88266</v>
      </c>
      <c r="B2538" s="78" t="s">
        <v>570</v>
      </c>
      <c r="C2538" s="25" t="s">
        <v>12</v>
      </c>
      <c r="D2538" s="25" t="s">
        <v>19</v>
      </c>
      <c r="E2538" s="26">
        <v>60</v>
      </c>
      <c r="F2538" s="26">
        <f t="shared" si="801"/>
        <v>25.6785</v>
      </c>
      <c r="G2538" s="26">
        <f t="shared" si="802"/>
        <v>1540.71</v>
      </c>
      <c r="H2538" s="375">
        <v>25.6785</v>
      </c>
      <c r="I2538" s="49" t="e">
        <f>IF(A2538&lt;&gt;0,VLOOKUP(A2538,#REF!,2,FALSE),"")</f>
        <v>#REF!</v>
      </c>
      <c r="K2538" s="237"/>
    </row>
    <row r="2539" spans="1:11">
      <c r="A2539" s="986" t="s">
        <v>1894</v>
      </c>
      <c r="B2539" s="986"/>
      <c r="C2539" s="986"/>
      <c r="D2539" s="986"/>
      <c r="E2539" s="986"/>
      <c r="F2539" s="986"/>
      <c r="G2539" s="79">
        <f>ROUND(SUM(G2536:G2538),2)</f>
        <v>3170.16</v>
      </c>
      <c r="K2539" s="237"/>
    </row>
    <row r="2540" spans="1:11" ht="18" customHeight="1">
      <c r="A2540" s="27"/>
      <c r="B2540" s="27"/>
      <c r="C2540" s="27"/>
      <c r="D2540" s="27"/>
      <c r="E2540" s="27"/>
      <c r="F2540" s="27"/>
      <c r="G2540" s="27"/>
      <c r="K2540" s="237"/>
    </row>
    <row r="2541" spans="1:11" ht="18" customHeight="1">
      <c r="A2541" s="975" t="s">
        <v>3048</v>
      </c>
      <c r="B2541" s="979"/>
      <c r="C2541" s="979"/>
      <c r="D2541" s="979"/>
      <c r="E2541" s="980"/>
      <c r="F2541" s="207" t="s">
        <v>3049</v>
      </c>
      <c r="G2541" s="354" t="s">
        <v>3050</v>
      </c>
      <c r="K2541" s="237"/>
    </row>
    <row r="2542" spans="1:11" ht="28.5">
      <c r="A2542" s="975" t="s">
        <v>366</v>
      </c>
      <c r="B2542" s="976"/>
      <c r="C2542" s="207" t="s">
        <v>3</v>
      </c>
      <c r="D2542" s="207" t="s">
        <v>4</v>
      </c>
      <c r="E2542" s="207" t="s">
        <v>1826</v>
      </c>
      <c r="F2542" s="207" t="s">
        <v>367</v>
      </c>
      <c r="G2542" s="207" t="s">
        <v>368</v>
      </c>
      <c r="K2542" s="237"/>
    </row>
    <row r="2543" spans="1:11" ht="30">
      <c r="A2543" s="24">
        <v>88264</v>
      </c>
      <c r="B2543" s="78" t="s">
        <v>379</v>
      </c>
      <c r="C2543" s="262" t="s">
        <v>12</v>
      </c>
      <c r="D2543" s="262" t="s">
        <v>19</v>
      </c>
      <c r="E2543" s="260">
        <v>7</v>
      </c>
      <c r="F2543" s="260">
        <f t="shared" ref="F2543:F2545" si="803">H2543</f>
        <v>15.249000000000001</v>
      </c>
      <c r="G2543" s="260">
        <f t="shared" ref="G2543:G2545" si="804">ROUND(F2543*E2543,2)</f>
        <v>106.74</v>
      </c>
      <c r="H2543" s="375">
        <v>15.249000000000001</v>
      </c>
      <c r="I2543" s="49" t="e">
        <f>IF(A2543&lt;&gt;0,VLOOKUP(A2543,#REF!,2,FALSE),"")</f>
        <v>#REF!</v>
      </c>
      <c r="K2543" s="237"/>
    </row>
    <row r="2544" spans="1:11" ht="30">
      <c r="A2544" s="172">
        <v>100308</v>
      </c>
      <c r="B2544" s="261" t="s">
        <v>607</v>
      </c>
      <c r="C2544" s="262" t="s">
        <v>12</v>
      </c>
      <c r="D2544" s="262" t="s">
        <v>19</v>
      </c>
      <c r="E2544" s="260">
        <v>7</v>
      </c>
      <c r="F2544" s="260">
        <f t="shared" si="803"/>
        <v>15.070500000000001</v>
      </c>
      <c r="G2544" s="260">
        <f t="shared" si="804"/>
        <v>105.49</v>
      </c>
      <c r="H2544" s="375">
        <v>15.070500000000001</v>
      </c>
      <c r="I2544" s="49" t="e">
        <f>IF(A2544&lt;&gt;0,VLOOKUP(A2544,#REF!,2,FALSE),"")</f>
        <v>#REF!</v>
      </c>
      <c r="K2544" s="237"/>
    </row>
    <row r="2545" spans="1:11" ht="30">
      <c r="A2545" s="24">
        <v>88247</v>
      </c>
      <c r="B2545" s="78" t="s">
        <v>510</v>
      </c>
      <c r="C2545" s="262" t="s">
        <v>12</v>
      </c>
      <c r="D2545" s="262" t="s">
        <v>19</v>
      </c>
      <c r="E2545" s="260">
        <v>7</v>
      </c>
      <c r="F2545" s="260">
        <f t="shared" si="803"/>
        <v>11.9085</v>
      </c>
      <c r="G2545" s="260">
        <f t="shared" si="804"/>
        <v>83.36</v>
      </c>
      <c r="H2545" s="375">
        <v>11.9085</v>
      </c>
      <c r="I2545" s="49" t="e">
        <f>IF(A2545&lt;&gt;0,VLOOKUP(A2545,#REF!,2,FALSE),"")</f>
        <v>#REF!</v>
      </c>
      <c r="K2545" s="237"/>
    </row>
    <row r="2546" spans="1:11">
      <c r="A2546" s="944" t="s">
        <v>1894</v>
      </c>
      <c r="B2546" s="945"/>
      <c r="C2546" s="945"/>
      <c r="D2546" s="945"/>
      <c r="E2546" s="945"/>
      <c r="F2546" s="946"/>
      <c r="G2546" s="209">
        <f>ROUND(SUM(G2543:G2545),2)</f>
        <v>295.58999999999997</v>
      </c>
      <c r="K2546" s="237"/>
    </row>
    <row r="2547" spans="1:11" ht="21" customHeight="1">
      <c r="A2547" s="27"/>
      <c r="B2547" s="27"/>
      <c r="C2547" s="27"/>
      <c r="D2547" s="27"/>
      <c r="E2547" s="27"/>
      <c r="F2547" s="27"/>
      <c r="G2547" s="27"/>
      <c r="K2547" s="237"/>
    </row>
    <row r="2548" spans="1:11" ht="24.75" customHeight="1">
      <c r="A2548" s="975" t="s">
        <v>3066</v>
      </c>
      <c r="B2548" s="979"/>
      <c r="C2548" s="979"/>
      <c r="D2548" s="979"/>
      <c r="E2548" s="980"/>
      <c r="F2548" s="207" t="s">
        <v>3049</v>
      </c>
      <c r="G2548" s="354" t="s">
        <v>3065</v>
      </c>
      <c r="K2548" s="237"/>
    </row>
    <row r="2549" spans="1:11" ht="28.5">
      <c r="A2549" s="975" t="s">
        <v>366</v>
      </c>
      <c r="B2549" s="976"/>
      <c r="C2549" s="207" t="s">
        <v>3</v>
      </c>
      <c r="D2549" s="207" t="s">
        <v>4</v>
      </c>
      <c r="E2549" s="207" t="s">
        <v>1826</v>
      </c>
      <c r="F2549" s="207" t="s">
        <v>367</v>
      </c>
      <c r="G2549" s="207" t="s">
        <v>368</v>
      </c>
      <c r="K2549" s="237"/>
    </row>
    <row r="2550" spans="1:11" ht="30">
      <c r="A2550" s="24">
        <v>88264</v>
      </c>
      <c r="B2550" s="78" t="s">
        <v>379</v>
      </c>
      <c r="C2550" s="262" t="s">
        <v>12</v>
      </c>
      <c r="D2550" s="262" t="s">
        <v>19</v>
      </c>
      <c r="E2550" s="260">
        <v>8</v>
      </c>
      <c r="F2550" s="260">
        <f t="shared" ref="F2550:F2553" si="805">H2550</f>
        <v>15.249000000000001</v>
      </c>
      <c r="G2550" s="260">
        <f t="shared" ref="G2550:G2553" si="806">ROUND(F2550*E2550,2)</f>
        <v>121.99</v>
      </c>
      <c r="H2550" s="375">
        <v>15.249000000000001</v>
      </c>
      <c r="I2550" s="49" t="e">
        <f>IF(A2550&lt;&gt;0,VLOOKUP(A2550,#REF!,2,FALSE),"")</f>
        <v>#REF!</v>
      </c>
      <c r="K2550" s="237"/>
    </row>
    <row r="2551" spans="1:11" ht="30">
      <c r="A2551" s="172">
        <v>100308</v>
      </c>
      <c r="B2551" s="261" t="s">
        <v>607</v>
      </c>
      <c r="C2551" s="262" t="s">
        <v>12</v>
      </c>
      <c r="D2551" s="262" t="s">
        <v>19</v>
      </c>
      <c r="E2551" s="260">
        <v>8</v>
      </c>
      <c r="F2551" s="260">
        <f t="shared" si="805"/>
        <v>15.070500000000001</v>
      </c>
      <c r="G2551" s="260">
        <f t="shared" si="806"/>
        <v>120.56</v>
      </c>
      <c r="H2551" s="375">
        <v>15.070500000000001</v>
      </c>
      <c r="I2551" s="49" t="e">
        <f>IF(A2551&lt;&gt;0,VLOOKUP(A2551,#REF!,2,FALSE),"")</f>
        <v>#REF!</v>
      </c>
      <c r="K2551" s="237"/>
    </row>
    <row r="2552" spans="1:11" ht="30">
      <c r="A2552" s="24">
        <v>88266</v>
      </c>
      <c r="B2552" s="78" t="s">
        <v>570</v>
      </c>
      <c r="C2552" s="25" t="s">
        <v>12</v>
      </c>
      <c r="D2552" s="25" t="s">
        <v>19</v>
      </c>
      <c r="E2552" s="26">
        <v>8</v>
      </c>
      <c r="F2552" s="26">
        <f t="shared" si="805"/>
        <v>25.6785</v>
      </c>
      <c r="G2552" s="26">
        <f t="shared" si="806"/>
        <v>205.43</v>
      </c>
      <c r="H2552" s="375">
        <v>25.6785</v>
      </c>
      <c r="I2552" s="49" t="e">
        <f>IF(A2552&lt;&gt;0,VLOOKUP(A2552,#REF!,2,FALSE),"")</f>
        <v>#REF!</v>
      </c>
      <c r="K2552" s="237"/>
    </row>
    <row r="2553" spans="1:11" ht="30">
      <c r="A2553" s="24">
        <v>88247</v>
      </c>
      <c r="B2553" s="78" t="s">
        <v>510</v>
      </c>
      <c r="C2553" s="262" t="s">
        <v>12</v>
      </c>
      <c r="D2553" s="262" t="s">
        <v>19</v>
      </c>
      <c r="E2553" s="260">
        <v>8</v>
      </c>
      <c r="F2553" s="260">
        <f t="shared" si="805"/>
        <v>11.9085</v>
      </c>
      <c r="G2553" s="260">
        <f t="shared" si="806"/>
        <v>95.27</v>
      </c>
      <c r="H2553" s="375">
        <v>11.9085</v>
      </c>
      <c r="I2553" s="49" t="e">
        <f>IF(A2553&lt;&gt;0,VLOOKUP(A2553,#REF!,2,FALSE),"")</f>
        <v>#REF!</v>
      </c>
      <c r="K2553" s="237"/>
    </row>
    <row r="2554" spans="1:11">
      <c r="A2554" s="944" t="s">
        <v>1894</v>
      </c>
      <c r="B2554" s="945"/>
      <c r="C2554" s="945"/>
      <c r="D2554" s="945"/>
      <c r="E2554" s="945"/>
      <c r="F2554" s="946"/>
      <c r="G2554" s="209">
        <f>ROUND(SUM(G2550:G2553),2)</f>
        <v>543.25</v>
      </c>
      <c r="K2554" s="237"/>
    </row>
    <row r="2555" spans="1:11" ht="24.75" customHeight="1">
      <c r="A2555" s="27"/>
      <c r="B2555" s="27"/>
      <c r="C2555" s="27"/>
      <c r="D2555" s="27"/>
      <c r="E2555" s="27"/>
      <c r="F2555" s="27"/>
      <c r="G2555" s="27"/>
      <c r="K2555" s="237"/>
    </row>
    <row r="2556" spans="1:11">
      <c r="A2556" s="953" t="s">
        <v>3088</v>
      </c>
      <c r="B2556" s="954"/>
      <c r="C2556" s="954"/>
      <c r="D2556" s="954"/>
      <c r="E2556" s="955"/>
      <c r="F2556" s="351" t="s">
        <v>44</v>
      </c>
      <c r="G2556" s="118">
        <v>11417</v>
      </c>
      <c r="I2556" s="166"/>
      <c r="K2556" s="237"/>
    </row>
    <row r="2557" spans="1:11" ht="28.5">
      <c r="A2557" s="77" t="s">
        <v>1917</v>
      </c>
      <c r="B2557" s="347"/>
      <c r="C2557" s="77" t="s">
        <v>3</v>
      </c>
      <c r="D2557" s="77" t="s">
        <v>4</v>
      </c>
      <c r="E2557" s="77" t="s">
        <v>1826</v>
      </c>
      <c r="F2557" s="77" t="s">
        <v>367</v>
      </c>
      <c r="G2557" s="77" t="s">
        <v>368</v>
      </c>
      <c r="I2557" s="166"/>
      <c r="K2557" s="237"/>
    </row>
    <row r="2558" spans="1:11" s="45" customFormat="1">
      <c r="A2558" s="100">
        <v>11098</v>
      </c>
      <c r="B2558" s="109" t="s">
        <v>3088</v>
      </c>
      <c r="C2558" s="25" t="s">
        <v>44</v>
      </c>
      <c r="D2558" s="126" t="s">
        <v>1942</v>
      </c>
      <c r="E2558" s="178">
        <v>1</v>
      </c>
      <c r="F2558" s="177">
        <f>H2558</f>
        <v>127.7975</v>
      </c>
      <c r="G2558" s="177">
        <f>ROUND((E2558*F2558),2)</f>
        <v>127.8</v>
      </c>
      <c r="H2558" s="364">
        <v>127.7975</v>
      </c>
      <c r="I2558" s="45" t="e">
        <f>IF(A2558&lt;&gt;0,VLOOKUP(A2558,#REF!,2,FALSE),"")</f>
        <v>#REF!</v>
      </c>
      <c r="J2558" s="364"/>
      <c r="K2558" s="237"/>
    </row>
    <row r="2559" spans="1:11">
      <c r="A2559" s="172">
        <v>88316</v>
      </c>
      <c r="B2559" s="243" t="e">
        <f>I2559</f>
        <v>#REF!</v>
      </c>
      <c r="C2559" s="25" t="s">
        <v>12</v>
      </c>
      <c r="D2559" s="126" t="s">
        <v>19</v>
      </c>
      <c r="E2559" s="127">
        <v>0.2</v>
      </c>
      <c r="F2559" s="122">
        <f>H2559</f>
        <v>11.798000000000002</v>
      </c>
      <c r="G2559" s="123">
        <f>ROUND((E2559*F2559),2)</f>
        <v>2.36</v>
      </c>
      <c r="H2559" s="375">
        <v>11.798000000000002</v>
      </c>
      <c r="I2559" s="45" t="e">
        <f>IF(A2559&lt;&gt;0,VLOOKUP(A2559,#REF!,2,FALSE),"")</f>
        <v>#REF!</v>
      </c>
      <c r="K2559" s="237"/>
    </row>
    <row r="2560" spans="1:11" ht="30">
      <c r="A2560" s="100">
        <v>88264</v>
      </c>
      <c r="B2560" s="109" t="s">
        <v>379</v>
      </c>
      <c r="C2560" s="25" t="s">
        <v>12</v>
      </c>
      <c r="D2560" s="126" t="s">
        <v>19</v>
      </c>
      <c r="E2560" s="127">
        <v>0.2</v>
      </c>
      <c r="F2560" s="122">
        <f>H2560</f>
        <v>15.249000000000001</v>
      </c>
      <c r="G2560" s="123">
        <f>ROUND((E2560*F2560),2)</f>
        <v>3.05</v>
      </c>
      <c r="H2560" s="375">
        <v>15.249000000000001</v>
      </c>
      <c r="I2560" s="45" t="e">
        <f>IF(A2560&lt;&gt;0,VLOOKUP(A2560,#REF!,2,FALSE),"")</f>
        <v>#REF!</v>
      </c>
      <c r="K2560" s="237"/>
    </row>
    <row r="2561" spans="1:11">
      <c r="A2561" s="1123" t="s">
        <v>1894</v>
      </c>
      <c r="B2561" s="1124"/>
      <c r="C2561" s="1124"/>
      <c r="D2561" s="1124"/>
      <c r="E2561" s="1124"/>
      <c r="F2561" s="1125"/>
      <c r="G2561" s="115">
        <f>ROUND(SUM(G2558:G2560),2)</f>
        <v>133.21</v>
      </c>
      <c r="I2561" s="166"/>
      <c r="K2561" s="237"/>
    </row>
    <row r="2562" spans="1:11" ht="24.75" customHeight="1">
      <c r="A2562" s="27"/>
      <c r="B2562" s="27"/>
      <c r="C2562" s="27"/>
      <c r="D2562" s="27"/>
      <c r="E2562" s="27"/>
      <c r="F2562" s="27"/>
      <c r="G2562" s="27"/>
      <c r="K2562" s="237"/>
    </row>
    <row r="2563" spans="1:11">
      <c r="A2563" s="920" t="str">
        <f>UPPER(B2565)</f>
        <v>CABO DE COBRE PP CORDPLAST 5 X 4.0 MM2, 450/750V</v>
      </c>
      <c r="B2563" s="921"/>
      <c r="C2563" s="921"/>
      <c r="D2563" s="921"/>
      <c r="E2563" s="922"/>
      <c r="F2563" s="77" t="s">
        <v>44</v>
      </c>
      <c r="G2563" s="95">
        <v>4235</v>
      </c>
      <c r="K2563" s="237"/>
    </row>
    <row r="2564" spans="1:11" ht="28.5">
      <c r="A2564" s="984" t="s">
        <v>366</v>
      </c>
      <c r="B2564" s="985"/>
      <c r="C2564" s="77" t="s">
        <v>3</v>
      </c>
      <c r="D2564" s="77" t="s">
        <v>4</v>
      </c>
      <c r="E2564" s="77" t="s">
        <v>1826</v>
      </c>
      <c r="F2564" s="77" t="s">
        <v>367</v>
      </c>
      <c r="G2564" s="77" t="s">
        <v>368</v>
      </c>
      <c r="K2564" s="237"/>
    </row>
    <row r="2565" spans="1:11">
      <c r="A2565" s="24">
        <v>3314</v>
      </c>
      <c r="B2565" s="78" t="s">
        <v>3081</v>
      </c>
      <c r="C2565" s="25" t="s">
        <v>44</v>
      </c>
      <c r="D2565" s="25" t="s">
        <v>52</v>
      </c>
      <c r="E2565" s="26">
        <v>1.02</v>
      </c>
      <c r="F2565" s="26">
        <f t="shared" ref="F2565:F2567" si="807">H2565</f>
        <v>19.329000000000001</v>
      </c>
      <c r="G2565" s="26">
        <f t="shared" ref="G2565:G2567" si="808">ROUND(F2565*E2565,2)</f>
        <v>19.72</v>
      </c>
      <c r="H2565" s="375">
        <v>19.329000000000001</v>
      </c>
      <c r="I2565" s="45" t="e">
        <f>IF(A2565&lt;&gt;0,VLOOKUP(A2565,#REF!,2,FALSE),"")</f>
        <v>#REF!</v>
      </c>
      <c r="K2565" s="237"/>
    </row>
    <row r="2566" spans="1:11" ht="30">
      <c r="A2566" s="24">
        <v>88264</v>
      </c>
      <c r="B2566" s="78" t="s">
        <v>379</v>
      </c>
      <c r="C2566" s="25" t="s">
        <v>12</v>
      </c>
      <c r="D2566" s="25" t="s">
        <v>19</v>
      </c>
      <c r="E2566" s="26">
        <v>0.15</v>
      </c>
      <c r="F2566" s="26">
        <f t="shared" si="807"/>
        <v>15.249000000000001</v>
      </c>
      <c r="G2566" s="26">
        <f t="shared" si="808"/>
        <v>2.29</v>
      </c>
      <c r="H2566" s="375">
        <v>15.249000000000001</v>
      </c>
      <c r="I2566" s="28" t="e">
        <f>IF(A2566&lt;&gt;0,VLOOKUP(A2566,#REF!,2,FALSE),"")</f>
        <v>#REF!</v>
      </c>
      <c r="K2566" s="237"/>
    </row>
    <row r="2567" spans="1:11" ht="30">
      <c r="A2567" s="24">
        <v>88316</v>
      </c>
      <c r="B2567" s="78" t="s">
        <v>377</v>
      </c>
      <c r="C2567" s="25" t="s">
        <v>12</v>
      </c>
      <c r="D2567" s="25" t="s">
        <v>19</v>
      </c>
      <c r="E2567" s="26">
        <v>0.15</v>
      </c>
      <c r="F2567" s="26">
        <f t="shared" si="807"/>
        <v>11.798000000000002</v>
      </c>
      <c r="G2567" s="26">
        <f t="shared" si="808"/>
        <v>1.77</v>
      </c>
      <c r="H2567" s="375">
        <v>11.798000000000002</v>
      </c>
      <c r="I2567" s="28" t="e">
        <f>IF(A2567&lt;&gt;0,VLOOKUP(A2567,#REF!,2,FALSE),"")</f>
        <v>#REF!</v>
      </c>
      <c r="K2567" s="237"/>
    </row>
    <row r="2568" spans="1:11">
      <c r="A2568" s="1017" t="s">
        <v>1894</v>
      </c>
      <c r="B2568" s="1017"/>
      <c r="C2568" s="1017"/>
      <c r="D2568" s="1017"/>
      <c r="E2568" s="1017"/>
      <c r="F2568" s="1017"/>
      <c r="G2568" s="96">
        <f>ROUND(SUM(G2565:G2567),2)</f>
        <v>23.78</v>
      </c>
      <c r="K2568" s="237"/>
    </row>
    <row r="2569" spans="1:11" ht="27.75" customHeight="1">
      <c r="A2569" s="27"/>
      <c r="B2569" s="27"/>
      <c r="C2569" s="27"/>
      <c r="D2569" s="27"/>
      <c r="E2569" s="27"/>
      <c r="F2569" s="27"/>
      <c r="G2569" s="27"/>
      <c r="K2569" s="237"/>
    </row>
    <row r="2570" spans="1:11">
      <c r="A2570" s="920" t="s">
        <v>3429</v>
      </c>
      <c r="B2570" s="921"/>
      <c r="C2570" s="921"/>
      <c r="D2570" s="921"/>
      <c r="E2570" s="922"/>
      <c r="F2570" s="77" t="s">
        <v>1915</v>
      </c>
      <c r="G2570" s="95">
        <v>971988</v>
      </c>
      <c r="K2570" s="237"/>
    </row>
    <row r="2571" spans="1:11" ht="28.5">
      <c r="A2571" s="920" t="s">
        <v>366</v>
      </c>
      <c r="B2571" s="959"/>
      <c r="C2571" s="77" t="s">
        <v>3</v>
      </c>
      <c r="D2571" s="77" t="s">
        <v>4</v>
      </c>
      <c r="E2571" s="77" t="s">
        <v>1826</v>
      </c>
      <c r="F2571" s="77" t="s">
        <v>367</v>
      </c>
      <c r="G2571" s="77" t="s">
        <v>368</v>
      </c>
      <c r="K2571" s="237"/>
    </row>
    <row r="2572" spans="1:11" ht="45">
      <c r="A2572" s="24" t="s">
        <v>1920</v>
      </c>
      <c r="B2572" s="78" t="s">
        <v>3430</v>
      </c>
      <c r="C2572" s="25" t="s">
        <v>634</v>
      </c>
      <c r="D2572" s="25" t="s">
        <v>13</v>
      </c>
      <c r="E2572" s="26">
        <v>1</v>
      </c>
      <c r="F2572" s="26">
        <f t="shared" ref="F2572:F2574" si="809">H2572</f>
        <v>496.51049999999998</v>
      </c>
      <c r="G2572" s="26">
        <f t="shared" ref="G2572:G2574" si="810">ROUND(F2572*E2572,2)</f>
        <v>496.51</v>
      </c>
      <c r="H2572" s="375">
        <v>496.51049999999998</v>
      </c>
      <c r="K2572" s="237"/>
    </row>
    <row r="2573" spans="1:11" ht="30">
      <c r="A2573" s="24" t="s">
        <v>1920</v>
      </c>
      <c r="B2573" s="78" t="s">
        <v>3431</v>
      </c>
      <c r="C2573" s="25" t="s">
        <v>634</v>
      </c>
      <c r="D2573" s="25" t="s">
        <v>13</v>
      </c>
      <c r="E2573" s="26">
        <v>1</v>
      </c>
      <c r="F2573" s="26">
        <f t="shared" si="809"/>
        <v>876.65599999999995</v>
      </c>
      <c r="G2573" s="26">
        <f t="shared" si="810"/>
        <v>876.66</v>
      </c>
      <c r="H2573" s="375">
        <v>876.65599999999995</v>
      </c>
      <c r="K2573" s="237"/>
    </row>
    <row r="2574" spans="1:11" ht="30">
      <c r="A2574" s="24" t="s">
        <v>1920</v>
      </c>
      <c r="B2574" s="78" t="s">
        <v>3449</v>
      </c>
      <c r="C2574" s="25" t="s">
        <v>634</v>
      </c>
      <c r="D2574" s="25" t="s">
        <v>13</v>
      </c>
      <c r="E2574" s="26">
        <v>1</v>
      </c>
      <c r="F2574" s="26">
        <f t="shared" si="809"/>
        <v>128.89399999999998</v>
      </c>
      <c r="G2574" s="26">
        <f t="shared" si="810"/>
        <v>128.88999999999999</v>
      </c>
      <c r="H2574" s="375">
        <v>128.89399999999998</v>
      </c>
      <c r="K2574" s="237"/>
    </row>
    <row r="2575" spans="1:11">
      <c r="A2575" s="1017" t="s">
        <v>1894</v>
      </c>
      <c r="B2575" s="1017"/>
      <c r="C2575" s="1017"/>
      <c r="D2575" s="1017"/>
      <c r="E2575" s="1017"/>
      <c r="F2575" s="1017"/>
      <c r="G2575" s="96">
        <f>ROUND(SUM(G2572:G2574),2)</f>
        <v>1502.06</v>
      </c>
      <c r="K2575" s="237"/>
    </row>
    <row r="2576" spans="1:11" ht="19.5" customHeight="1">
      <c r="A2576" s="27"/>
      <c r="B2576" s="27"/>
      <c r="C2576" s="27"/>
      <c r="D2576" s="27"/>
      <c r="E2576" s="27"/>
      <c r="F2576" s="27"/>
      <c r="G2576" s="27"/>
      <c r="K2576" s="237"/>
    </row>
    <row r="2577" spans="1:11">
      <c r="A2577" s="920" t="e">
        <f>UPPER(B2579)</f>
        <v>#REF!</v>
      </c>
      <c r="B2577" s="921"/>
      <c r="C2577" s="921"/>
      <c r="D2577" s="921"/>
      <c r="E2577" s="922"/>
      <c r="F2577" s="77" t="s">
        <v>44</v>
      </c>
      <c r="G2577" s="95">
        <v>11903</v>
      </c>
      <c r="K2577" s="237"/>
    </row>
    <row r="2578" spans="1:11" ht="28.5">
      <c r="A2578" s="920" t="s">
        <v>366</v>
      </c>
      <c r="B2578" s="959"/>
      <c r="C2578" s="77" t="s">
        <v>3</v>
      </c>
      <c r="D2578" s="77" t="s">
        <v>4</v>
      </c>
      <c r="E2578" s="77" t="s">
        <v>1826</v>
      </c>
      <c r="F2578" s="77" t="s">
        <v>367</v>
      </c>
      <c r="G2578" s="77" t="s">
        <v>368</v>
      </c>
      <c r="K2578" s="237"/>
    </row>
    <row r="2579" spans="1:11">
      <c r="A2579" s="24">
        <v>12728</v>
      </c>
      <c r="B2579" s="78" t="e">
        <f>I2579</f>
        <v>#REF!</v>
      </c>
      <c r="C2579" s="25" t="s">
        <v>44</v>
      </c>
      <c r="D2579" s="25" t="s">
        <v>52</v>
      </c>
      <c r="E2579" s="26">
        <v>1</v>
      </c>
      <c r="F2579" s="26">
        <f t="shared" ref="F2579:F2582" si="811">H2579</f>
        <v>109.65</v>
      </c>
      <c r="G2579" s="26">
        <f t="shared" ref="G2579:G2582" si="812">ROUND(F2579*E2579,2)</f>
        <v>109.65</v>
      </c>
      <c r="H2579" s="375">
        <v>109.65</v>
      </c>
      <c r="I2579" s="45" t="e">
        <f>IF(A2579&lt;&gt;0,VLOOKUP(A2579,#REF!,2,FALSE),"")</f>
        <v>#REF!</v>
      </c>
      <c r="K2579" s="237"/>
    </row>
    <row r="2580" spans="1:11">
      <c r="A2580" s="24">
        <v>12743</v>
      </c>
      <c r="B2580" s="78" t="e">
        <f>I2580</f>
        <v>#REF!</v>
      </c>
      <c r="C2580" s="25" t="s">
        <v>44</v>
      </c>
      <c r="D2580" s="25" t="s">
        <v>3434</v>
      </c>
      <c r="E2580" s="26">
        <v>0.13</v>
      </c>
      <c r="F2580" s="26">
        <f t="shared" ref="F2580" si="813">H2580</f>
        <v>53.414000000000001</v>
      </c>
      <c r="G2580" s="26">
        <f t="shared" ref="G2580" si="814">ROUND(F2580*E2580,2)</f>
        <v>6.94</v>
      </c>
      <c r="H2580" s="375">
        <v>53.414000000000001</v>
      </c>
      <c r="I2580" s="45" t="e">
        <f>IF(A2580&lt;&gt;0,VLOOKUP(A2580,#REF!,2,FALSE),"")</f>
        <v>#REF!</v>
      </c>
      <c r="K2580" s="237"/>
    </row>
    <row r="2581" spans="1:11">
      <c r="A2581" s="24">
        <v>88309</v>
      </c>
      <c r="B2581" s="78" t="e">
        <f>I2581</f>
        <v>#REF!</v>
      </c>
      <c r="C2581" s="25" t="s">
        <v>12</v>
      </c>
      <c r="D2581" s="25" t="s">
        <v>19</v>
      </c>
      <c r="E2581" s="26">
        <v>0.5</v>
      </c>
      <c r="F2581" s="26">
        <f t="shared" si="811"/>
        <v>15.121499999999999</v>
      </c>
      <c r="G2581" s="26">
        <f t="shared" si="812"/>
        <v>7.56</v>
      </c>
      <c r="H2581" s="375">
        <v>15.121499999999999</v>
      </c>
      <c r="I2581" s="28" t="e">
        <f>IF(A2581&lt;&gt;0,VLOOKUP(A2581,#REF!,2,FALSE),"")</f>
        <v>#REF!</v>
      </c>
      <c r="K2581" s="237"/>
    </row>
    <row r="2582" spans="1:11" ht="30">
      <c r="A2582" s="24">
        <v>88316</v>
      </c>
      <c r="B2582" s="78" t="s">
        <v>377</v>
      </c>
      <c r="C2582" s="25" t="s">
        <v>12</v>
      </c>
      <c r="D2582" s="25" t="s">
        <v>19</v>
      </c>
      <c r="E2582" s="26">
        <v>0.6</v>
      </c>
      <c r="F2582" s="26">
        <f t="shared" si="811"/>
        <v>11.798000000000002</v>
      </c>
      <c r="G2582" s="26">
        <f t="shared" si="812"/>
        <v>7.08</v>
      </c>
      <c r="H2582" s="375">
        <v>11.798000000000002</v>
      </c>
      <c r="I2582" s="28" t="e">
        <f>IF(A2582&lt;&gt;0,VLOOKUP(A2582,#REF!,2,FALSE),"")</f>
        <v>#REF!</v>
      </c>
      <c r="K2582" s="237"/>
    </row>
    <row r="2583" spans="1:11">
      <c r="A2583" s="1017" t="s">
        <v>1894</v>
      </c>
      <c r="B2583" s="1017"/>
      <c r="C2583" s="1017"/>
      <c r="D2583" s="1017"/>
      <c r="E2583" s="1017"/>
      <c r="F2583" s="1017"/>
      <c r="G2583" s="96">
        <f>ROUND(SUM(G2579:G2582),2)</f>
        <v>131.22999999999999</v>
      </c>
      <c r="K2583" s="237"/>
    </row>
  </sheetData>
  <mergeCells count="988">
    <mergeCell ref="A2517:F2517"/>
    <mergeCell ref="A2515:B2515"/>
    <mergeCell ref="A2563:E2563"/>
    <mergeCell ref="A2564:B2564"/>
    <mergeCell ref="A2568:F2568"/>
    <mergeCell ref="A2556:E2556"/>
    <mergeCell ref="A2561:F2561"/>
    <mergeCell ref="A2541:E2541"/>
    <mergeCell ref="A2542:B2542"/>
    <mergeCell ref="A2546:F2546"/>
    <mergeCell ref="A2548:E2548"/>
    <mergeCell ref="A2549:B2549"/>
    <mergeCell ref="A2554:F2554"/>
    <mergeCell ref="A1969:E1969"/>
    <mergeCell ref="A2045:F2045"/>
    <mergeCell ref="A2032:F2032"/>
    <mergeCell ref="A2034:E2034"/>
    <mergeCell ref="A2248:E2248"/>
    <mergeCell ref="A2249:B2249"/>
    <mergeCell ref="A2251:F2251"/>
    <mergeCell ref="A1983:F1983"/>
    <mergeCell ref="A1985:E1985"/>
    <mergeCell ref="A1991:F1991"/>
    <mergeCell ref="A1993:E1993"/>
    <mergeCell ref="A1997:F1997"/>
    <mergeCell ref="A1999:E1999"/>
    <mergeCell ref="A2052:F2052"/>
    <mergeCell ref="A2054:E2054"/>
    <mergeCell ref="A2060:F2060"/>
    <mergeCell ref="A2004:F2004"/>
    <mergeCell ref="A2006:E2006"/>
    <mergeCell ref="A2010:F2010"/>
    <mergeCell ref="A2012:E2012"/>
    <mergeCell ref="A2017:F2017"/>
    <mergeCell ref="A2027:E2027"/>
    <mergeCell ref="A2047:E2047"/>
    <mergeCell ref="A2038:F2038"/>
    <mergeCell ref="C1752:D1752"/>
    <mergeCell ref="C1746:D1746"/>
    <mergeCell ref="A1748:B1748"/>
    <mergeCell ref="C1769:D1769"/>
    <mergeCell ref="C1764:D1764"/>
    <mergeCell ref="A1886:F1886"/>
    <mergeCell ref="A1935:E1935"/>
    <mergeCell ref="A1933:F1933"/>
    <mergeCell ref="A1905:E1905"/>
    <mergeCell ref="A1923:E1923"/>
    <mergeCell ref="A1928:F1928"/>
    <mergeCell ref="A1823:F1823"/>
    <mergeCell ref="A1805:F1805"/>
    <mergeCell ref="A1808:E1808"/>
    <mergeCell ref="A1811:F1811"/>
    <mergeCell ref="A1814:E1814"/>
    <mergeCell ref="A1921:F1921"/>
    <mergeCell ref="A1917:E1917"/>
    <mergeCell ref="A1841:E1841"/>
    <mergeCell ref="A1844:F1844"/>
    <mergeCell ref="A1826:E1826"/>
    <mergeCell ref="A1830:F1830"/>
    <mergeCell ref="A1833:E1833"/>
    <mergeCell ref="A1838:F1838"/>
    <mergeCell ref="C1647:D1647"/>
    <mergeCell ref="A1608:F1608"/>
    <mergeCell ref="A1614:F1614"/>
    <mergeCell ref="A1610:E1610"/>
    <mergeCell ref="A1620:F1620"/>
    <mergeCell ref="A1616:E1616"/>
    <mergeCell ref="A1626:F1626"/>
    <mergeCell ref="A1622:E1622"/>
    <mergeCell ref="A1631:F1631"/>
    <mergeCell ref="A1628:E1628"/>
    <mergeCell ref="C1621:D1621"/>
    <mergeCell ref="C1627:D1627"/>
    <mergeCell ref="A1629:B1629"/>
    <mergeCell ref="A1960:F1960"/>
    <mergeCell ref="A1751:F1751"/>
    <mergeCell ref="A1747:E1747"/>
    <mergeCell ref="A1726:F1726"/>
    <mergeCell ref="C1711:D1711"/>
    <mergeCell ref="A1718:F1718"/>
    <mergeCell ref="A1661:F1661"/>
    <mergeCell ref="A1668:F1668"/>
    <mergeCell ref="A1663:E1663"/>
    <mergeCell ref="A1737:E1737"/>
    <mergeCell ref="A1738:B1738"/>
    <mergeCell ref="C1736:D1736"/>
    <mergeCell ref="A1729:B1729"/>
    <mergeCell ref="C1727:D1727"/>
    <mergeCell ref="A1735:F1735"/>
    <mergeCell ref="C1693:D1693"/>
    <mergeCell ref="C1681:D1681"/>
    <mergeCell ref="A1897:E1897"/>
    <mergeCell ref="A1903:F1903"/>
    <mergeCell ref="A1915:F1915"/>
    <mergeCell ref="A1757:F1757"/>
    <mergeCell ref="C1719:D1719"/>
    <mergeCell ref="A1721:B1721"/>
    <mergeCell ref="A1671:B1671"/>
    <mergeCell ref="C1758:D1758"/>
    <mergeCell ref="A1760:B1760"/>
    <mergeCell ref="A1754:B1754"/>
    <mergeCell ref="A1348:E1348"/>
    <mergeCell ref="A1350:F1350"/>
    <mergeCell ref="C1501:D1501"/>
    <mergeCell ref="C1492:D1492"/>
    <mergeCell ref="A1494:B1494"/>
    <mergeCell ref="A1467:B1467"/>
    <mergeCell ref="C1450:D1450"/>
    <mergeCell ref="A1488:E1488"/>
    <mergeCell ref="A1633:E1633"/>
    <mergeCell ref="C1506:D1506"/>
    <mergeCell ref="A1503:B1503"/>
    <mergeCell ref="A1634:B1634"/>
    <mergeCell ref="A1648:E1648"/>
    <mergeCell ref="A1641:F1641"/>
    <mergeCell ref="C1609:D1609"/>
    <mergeCell ref="A1712:E1712"/>
    <mergeCell ref="A1713:B1713"/>
    <mergeCell ref="A1659:B1659"/>
    <mergeCell ref="C1662:D1662"/>
    <mergeCell ref="A1664:B1664"/>
    <mergeCell ref="A1649:B1649"/>
    <mergeCell ref="A1790:E1790"/>
    <mergeCell ref="A1799:F1799"/>
    <mergeCell ref="A1802:E1802"/>
    <mergeCell ref="A1552:B1552"/>
    <mergeCell ref="C1550:D1550"/>
    <mergeCell ref="A1776:E1776"/>
    <mergeCell ref="A1777:B1777"/>
    <mergeCell ref="A1781:F1781"/>
    <mergeCell ref="A1784:E1784"/>
    <mergeCell ref="A1785:B1785"/>
    <mergeCell ref="A1611:B1611"/>
    <mergeCell ref="C1642:D1642"/>
    <mergeCell ref="C1632:D1632"/>
    <mergeCell ref="A1617:B1617"/>
    <mergeCell ref="C1615:D1615"/>
    <mergeCell ref="A1623:B1623"/>
    <mergeCell ref="A1744:F1744"/>
    <mergeCell ref="C1745:D1745"/>
    <mergeCell ref="A1787:F1787"/>
    <mergeCell ref="A1556:F1556"/>
    <mergeCell ref="A1581:F1581"/>
    <mergeCell ref="A1771:B1771"/>
    <mergeCell ref="A1728:E1728"/>
    <mergeCell ref="A1636:F1636"/>
    <mergeCell ref="A2040:E2040"/>
    <mergeCell ref="A1846:E1846"/>
    <mergeCell ref="A1855:F1855"/>
    <mergeCell ref="A1857:E1857"/>
    <mergeCell ref="A1862:F1862"/>
    <mergeCell ref="A1864:E1864"/>
    <mergeCell ref="A1869:F1869"/>
    <mergeCell ref="A1872:E1872"/>
    <mergeCell ref="A1877:F1877"/>
    <mergeCell ref="A1880:E1880"/>
    <mergeCell ref="A1974:F1974"/>
    <mergeCell ref="A1976:E1976"/>
    <mergeCell ref="A1967:F1967"/>
    <mergeCell ref="A1962:E1962"/>
    <mergeCell ref="A1888:E1888"/>
    <mergeCell ref="A1895:F1895"/>
    <mergeCell ref="A1940:F1940"/>
    <mergeCell ref="A1942:E1942"/>
    <mergeCell ref="A1947:F1947"/>
    <mergeCell ref="A1949:E1949"/>
    <mergeCell ref="A1954:F1954"/>
    <mergeCell ref="A1956:E1956"/>
    <mergeCell ref="A1930:E1930"/>
    <mergeCell ref="A2019:E2019"/>
    <mergeCell ref="A1766:C1766"/>
    <mergeCell ref="C1582:D1582"/>
    <mergeCell ref="A1573:B1573"/>
    <mergeCell ref="C1571:D1571"/>
    <mergeCell ref="C1564:D1564"/>
    <mergeCell ref="A1566:B1566"/>
    <mergeCell ref="A1559:B1559"/>
    <mergeCell ref="C1557:D1557"/>
    <mergeCell ref="A1720:E1720"/>
    <mergeCell ref="A1598:E1598"/>
    <mergeCell ref="A1604:E1604"/>
    <mergeCell ref="A1753:E1753"/>
    <mergeCell ref="A1763:F1763"/>
    <mergeCell ref="A1759:E1759"/>
    <mergeCell ref="A1658:E1658"/>
    <mergeCell ref="A1638:E1638"/>
    <mergeCell ref="A1646:F1646"/>
    <mergeCell ref="A1707:B1707"/>
    <mergeCell ref="A1706:E1706"/>
    <mergeCell ref="A1710:F1710"/>
    <mergeCell ref="C1705:D1705"/>
    <mergeCell ref="A1695:B1695"/>
    <mergeCell ref="A1653:E1653"/>
    <mergeCell ref="C1669:D1669"/>
    <mergeCell ref="A1535:E1535"/>
    <mergeCell ref="C1528:D1528"/>
    <mergeCell ref="A1530:B1530"/>
    <mergeCell ref="C1534:D1534"/>
    <mergeCell ref="A1545:B1545"/>
    <mergeCell ref="A1544:E1544"/>
    <mergeCell ref="C1543:D1543"/>
    <mergeCell ref="A1536:B1536"/>
    <mergeCell ref="A1502:E1502"/>
    <mergeCell ref="A1542:F1542"/>
    <mergeCell ref="A1507:E1507"/>
    <mergeCell ref="A1527:F1527"/>
    <mergeCell ref="A1521:E1521"/>
    <mergeCell ref="C1520:D1520"/>
    <mergeCell ref="A1522:B1522"/>
    <mergeCell ref="C1513:D1513"/>
    <mergeCell ref="A1515:B1515"/>
    <mergeCell ref="A1508:B1508"/>
    <mergeCell ref="A1512:F1512"/>
    <mergeCell ref="A1514:E1514"/>
    <mergeCell ref="A393:E393"/>
    <mergeCell ref="A396:F396"/>
    <mergeCell ref="C722:D722"/>
    <mergeCell ref="A724:B724"/>
    <mergeCell ref="A715:B715"/>
    <mergeCell ref="C713:D713"/>
    <mergeCell ref="C712:D712"/>
    <mergeCell ref="A442:F442"/>
    <mergeCell ref="A398:E398"/>
    <mergeCell ref="A406:E406"/>
    <mergeCell ref="A658:B658"/>
    <mergeCell ref="A648:E648"/>
    <mergeCell ref="A662:F662"/>
    <mergeCell ref="A657:E657"/>
    <mergeCell ref="A669:F669"/>
    <mergeCell ref="A664:E664"/>
    <mergeCell ref="A721:F721"/>
    <mergeCell ref="A714:E714"/>
    <mergeCell ref="A723:E723"/>
    <mergeCell ref="A655:F655"/>
    <mergeCell ref="A711:F711"/>
    <mergeCell ref="A704:E704"/>
    <mergeCell ref="A404:F404"/>
    <mergeCell ref="C670:D670"/>
    <mergeCell ref="A1431:B1431"/>
    <mergeCell ref="C1457:D1457"/>
    <mergeCell ref="A1452:B1452"/>
    <mergeCell ref="A1459:B1459"/>
    <mergeCell ref="C1473:D1473"/>
    <mergeCell ref="C1465:D1465"/>
    <mergeCell ref="A1505:F1505"/>
    <mergeCell ref="A1605:B1605"/>
    <mergeCell ref="A1599:B1599"/>
    <mergeCell ref="C1597:D1597"/>
    <mergeCell ref="A1596:F1596"/>
    <mergeCell ref="A1602:F1602"/>
    <mergeCell ref="A1572:E1572"/>
    <mergeCell ref="A1474:E1474"/>
    <mergeCell ref="A1482:B1482"/>
    <mergeCell ref="A1475:B1475"/>
    <mergeCell ref="C1443:D1443"/>
    <mergeCell ref="A1445:B1445"/>
    <mergeCell ref="C1436:D1436"/>
    <mergeCell ref="A1438:B1438"/>
    <mergeCell ref="C1487:D1487"/>
    <mergeCell ref="A1533:F1533"/>
    <mergeCell ref="A1529:E1529"/>
    <mergeCell ref="A1519:F1519"/>
    <mergeCell ref="A194:E194"/>
    <mergeCell ref="A184:E184"/>
    <mergeCell ref="A192:F192"/>
    <mergeCell ref="A354:F354"/>
    <mergeCell ref="A351:E351"/>
    <mergeCell ref="A299:F299"/>
    <mergeCell ref="A313:F313"/>
    <mergeCell ref="A301:E301"/>
    <mergeCell ref="A337:F337"/>
    <mergeCell ref="A349:F349"/>
    <mergeCell ref="A339:E339"/>
    <mergeCell ref="A197:F197"/>
    <mergeCell ref="A249:F249"/>
    <mergeCell ref="A199:E199"/>
    <mergeCell ref="A16:F16"/>
    <mergeCell ref="A13:E13"/>
    <mergeCell ref="A18:E18"/>
    <mergeCell ref="A22:F22"/>
    <mergeCell ref="A24:E24"/>
    <mergeCell ref="A30:F30"/>
    <mergeCell ref="A32:E32"/>
    <mergeCell ref="A101:E101"/>
    <mergeCell ref="A40:E40"/>
    <mergeCell ref="A47:F47"/>
    <mergeCell ref="A50:E50"/>
    <mergeCell ref="A55:F55"/>
    <mergeCell ref="A38:F38"/>
    <mergeCell ref="A67:F67"/>
    <mergeCell ref="A70:E70"/>
    <mergeCell ref="A78:F78"/>
    <mergeCell ref="A81:E81"/>
    <mergeCell ref="A88:F88"/>
    <mergeCell ref="A91:E91"/>
    <mergeCell ref="A99:F99"/>
    <mergeCell ref="A1:G1"/>
    <mergeCell ref="A2:A3"/>
    <mergeCell ref="B2:D3"/>
    <mergeCell ref="A4:A5"/>
    <mergeCell ref="B4:D5"/>
    <mergeCell ref="E2:G5"/>
    <mergeCell ref="C7:D7"/>
    <mergeCell ref="A8:E8"/>
    <mergeCell ref="A11:F11"/>
    <mergeCell ref="A1589:F1589"/>
    <mergeCell ref="A1591:E1591"/>
    <mergeCell ref="A1549:F1549"/>
    <mergeCell ref="A1551:E1551"/>
    <mergeCell ref="A1563:F1563"/>
    <mergeCell ref="A1558:E1558"/>
    <mergeCell ref="A1570:F1570"/>
    <mergeCell ref="A1565:E1565"/>
    <mergeCell ref="A1583:E1583"/>
    <mergeCell ref="A1584:B1584"/>
    <mergeCell ref="A1489:B1489"/>
    <mergeCell ref="A1491:F1491"/>
    <mergeCell ref="A1500:F1500"/>
    <mergeCell ref="A1493:E1493"/>
    <mergeCell ref="A1466:E1466"/>
    <mergeCell ref="A1486:F1486"/>
    <mergeCell ref="A1479:F1479"/>
    <mergeCell ref="A1481:E1481"/>
    <mergeCell ref="C1480:D1480"/>
    <mergeCell ref="A1464:F1464"/>
    <mergeCell ref="A1458:E1458"/>
    <mergeCell ref="A1428:F1428"/>
    <mergeCell ref="A1430:E1430"/>
    <mergeCell ref="A1435:F1435"/>
    <mergeCell ref="A1456:F1456"/>
    <mergeCell ref="A1451:E1451"/>
    <mergeCell ref="A1385:F1385"/>
    <mergeCell ref="A1393:F1393"/>
    <mergeCell ref="A1387:E1387"/>
    <mergeCell ref="A1399:F1399"/>
    <mergeCell ref="A1395:E1395"/>
    <mergeCell ref="A1401:E1401"/>
    <mergeCell ref="A1415:E1415"/>
    <mergeCell ref="A1420:F1420"/>
    <mergeCell ref="A1422:E1422"/>
    <mergeCell ref="C1407:D1407"/>
    <mergeCell ref="A1442:F1442"/>
    <mergeCell ref="A1437:E1437"/>
    <mergeCell ref="A1444:E1444"/>
    <mergeCell ref="A1449:F1449"/>
    <mergeCell ref="C1429:D1429"/>
    <mergeCell ref="C1421:D1421"/>
    <mergeCell ref="A1423:B1423"/>
    <mergeCell ref="A1416:B1416"/>
    <mergeCell ref="A1406:F1406"/>
    <mergeCell ref="A1472:F1472"/>
    <mergeCell ref="A1324:B1324"/>
    <mergeCell ref="C1322:D1322"/>
    <mergeCell ref="C1316:D1316"/>
    <mergeCell ref="A1318:B1318"/>
    <mergeCell ref="A1317:E1317"/>
    <mergeCell ref="A1321:F1321"/>
    <mergeCell ref="C1347:D1347"/>
    <mergeCell ref="C1343:D1343"/>
    <mergeCell ref="A1344:E1344"/>
    <mergeCell ref="A1346:F1346"/>
    <mergeCell ref="C1351:D1351"/>
    <mergeCell ref="A1364:F1364"/>
    <mergeCell ref="A1366:E1366"/>
    <mergeCell ref="C1358:D1358"/>
    <mergeCell ref="A1360:B1360"/>
    <mergeCell ref="A1338:B1338"/>
    <mergeCell ref="C1336:D1336"/>
    <mergeCell ref="A1331:B1331"/>
    <mergeCell ref="C1329:D1329"/>
    <mergeCell ref="A1335:F1335"/>
    <mergeCell ref="A1330:E1330"/>
    <mergeCell ref="A1342:F1342"/>
    <mergeCell ref="A1337:E1337"/>
    <mergeCell ref="A1378:F1378"/>
    <mergeCell ref="A1374:B1374"/>
    <mergeCell ref="A1380:E1380"/>
    <mergeCell ref="C1379:D1379"/>
    <mergeCell ref="A1352:E1352"/>
    <mergeCell ref="A1359:E1359"/>
    <mergeCell ref="A1357:F1357"/>
    <mergeCell ref="A1353:B1353"/>
    <mergeCell ref="C1372:D1372"/>
    <mergeCell ref="C1414:D1414"/>
    <mergeCell ref="A1409:B1409"/>
    <mergeCell ref="A1413:F1413"/>
    <mergeCell ref="A1408:E1408"/>
    <mergeCell ref="C1294:D1294"/>
    <mergeCell ref="A1296:B1296"/>
    <mergeCell ref="A1289:B1289"/>
    <mergeCell ref="A1307:F1307"/>
    <mergeCell ref="C1308:D1308"/>
    <mergeCell ref="A1309:E1309"/>
    <mergeCell ref="A1323:E1323"/>
    <mergeCell ref="A1328:F1328"/>
    <mergeCell ref="C1315:D1315"/>
    <mergeCell ref="A1367:B1367"/>
    <mergeCell ref="C1365:D1365"/>
    <mergeCell ref="C1386:D1386"/>
    <mergeCell ref="A1381:B1381"/>
    <mergeCell ref="C1394:D1394"/>
    <mergeCell ref="A1388:B1388"/>
    <mergeCell ref="A1396:B1396"/>
    <mergeCell ref="A1402:B1402"/>
    <mergeCell ref="C1400:D1400"/>
    <mergeCell ref="A1371:F1371"/>
    <mergeCell ref="A1373:E1373"/>
    <mergeCell ref="A1279:F1279"/>
    <mergeCell ref="A1281:E1281"/>
    <mergeCell ref="A1286:F1286"/>
    <mergeCell ref="A1282:B1282"/>
    <mergeCell ref="C1273:D1273"/>
    <mergeCell ref="A1275:B1275"/>
    <mergeCell ref="A1314:F1314"/>
    <mergeCell ref="A1310:B1310"/>
    <mergeCell ref="A1295:E1295"/>
    <mergeCell ref="A1300:F1300"/>
    <mergeCell ref="A1302:E1302"/>
    <mergeCell ref="C1301:D1301"/>
    <mergeCell ref="A1303:B1303"/>
    <mergeCell ref="C1245:D1245"/>
    <mergeCell ref="A1240:B1240"/>
    <mergeCell ref="A1247:B1247"/>
    <mergeCell ref="A1288:E1288"/>
    <mergeCell ref="A1293:F1293"/>
    <mergeCell ref="A1244:F1244"/>
    <mergeCell ref="A1239:E1239"/>
    <mergeCell ref="A1251:F1251"/>
    <mergeCell ref="A1246:E1246"/>
    <mergeCell ref="A1253:E1253"/>
    <mergeCell ref="A1258:F1258"/>
    <mergeCell ref="A1260:E1260"/>
    <mergeCell ref="C1266:D1266"/>
    <mergeCell ref="C1259:D1259"/>
    <mergeCell ref="A1261:B1261"/>
    <mergeCell ref="A1254:B1254"/>
    <mergeCell ref="C1252:D1252"/>
    <mergeCell ref="C1287:D1287"/>
    <mergeCell ref="C1280:D1280"/>
    <mergeCell ref="A1268:B1268"/>
    <mergeCell ref="A1265:F1265"/>
    <mergeCell ref="A1267:E1267"/>
    <mergeCell ref="A1272:F1272"/>
    <mergeCell ref="A1274:E1274"/>
    <mergeCell ref="C1238:D1238"/>
    <mergeCell ref="A1233:B1233"/>
    <mergeCell ref="C1231:D1231"/>
    <mergeCell ref="A1230:F1230"/>
    <mergeCell ref="A1232:E1232"/>
    <mergeCell ref="A1237:F1237"/>
    <mergeCell ref="C1224:D1224"/>
    <mergeCell ref="A1226:B1226"/>
    <mergeCell ref="C1217:D1217"/>
    <mergeCell ref="A1219:B1219"/>
    <mergeCell ref="A1212:B1212"/>
    <mergeCell ref="C1210:D1210"/>
    <mergeCell ref="A1209:F1209"/>
    <mergeCell ref="A1211:E1211"/>
    <mergeCell ref="A1216:F1216"/>
    <mergeCell ref="A1218:E1218"/>
    <mergeCell ref="A1223:F1223"/>
    <mergeCell ref="A1225:E1225"/>
    <mergeCell ref="A1174:E1174"/>
    <mergeCell ref="A1182:B1182"/>
    <mergeCell ref="C1180:D1180"/>
    <mergeCell ref="A1175:B1175"/>
    <mergeCell ref="A1179:F1179"/>
    <mergeCell ref="A1188:F1188"/>
    <mergeCell ref="A1181:E1181"/>
    <mergeCell ref="C1203:D1203"/>
    <mergeCell ref="A1205:B1205"/>
    <mergeCell ref="A1198:B1198"/>
    <mergeCell ref="C1196:D1196"/>
    <mergeCell ref="C1189:D1189"/>
    <mergeCell ref="A1191:B1191"/>
    <mergeCell ref="A1195:F1195"/>
    <mergeCell ref="A1190:E1190"/>
    <mergeCell ref="A1202:F1202"/>
    <mergeCell ref="A1197:E1197"/>
    <mergeCell ref="A1204:E1204"/>
    <mergeCell ref="C1173:D1173"/>
    <mergeCell ref="C1166:D1166"/>
    <mergeCell ref="A1168:B1168"/>
    <mergeCell ref="A1161:B1161"/>
    <mergeCell ref="C1159:D1159"/>
    <mergeCell ref="A1158:F1158"/>
    <mergeCell ref="A1165:F1165"/>
    <mergeCell ref="A1160:E1160"/>
    <mergeCell ref="A1167:E1167"/>
    <mergeCell ref="A1172:F1172"/>
    <mergeCell ref="C1152:D1152"/>
    <mergeCell ref="A1154:B1154"/>
    <mergeCell ref="C1145:D1145"/>
    <mergeCell ref="A1147:B1147"/>
    <mergeCell ref="A1140:B1140"/>
    <mergeCell ref="C1138:D1138"/>
    <mergeCell ref="A1137:F1137"/>
    <mergeCell ref="A1144:F1144"/>
    <mergeCell ref="A1139:E1139"/>
    <mergeCell ref="A1151:F1151"/>
    <mergeCell ref="A1146:E1146"/>
    <mergeCell ref="A1153:E1153"/>
    <mergeCell ref="C1131:D1131"/>
    <mergeCell ref="A1133:B1133"/>
    <mergeCell ref="A1126:B1126"/>
    <mergeCell ref="C1124:D1124"/>
    <mergeCell ref="C1117:D1117"/>
    <mergeCell ref="A1119:B1119"/>
    <mergeCell ref="A1116:F1116"/>
    <mergeCell ref="A1132:E1132"/>
    <mergeCell ref="A1130:F1130"/>
    <mergeCell ref="A1125:E1125"/>
    <mergeCell ref="A1123:F1123"/>
    <mergeCell ref="A1118:E1118"/>
    <mergeCell ref="C1110:D1110"/>
    <mergeCell ref="A1112:B1112"/>
    <mergeCell ref="A1105:B1105"/>
    <mergeCell ref="C1103:D1103"/>
    <mergeCell ref="C1096:D1096"/>
    <mergeCell ref="A1098:B1098"/>
    <mergeCell ref="A1102:F1102"/>
    <mergeCell ref="A1097:E1097"/>
    <mergeCell ref="A1109:F1109"/>
    <mergeCell ref="A1104:E1104"/>
    <mergeCell ref="A1111:E1111"/>
    <mergeCell ref="A1091:B1091"/>
    <mergeCell ref="C1089:D1089"/>
    <mergeCell ref="C1082:D1082"/>
    <mergeCell ref="A1084:B1084"/>
    <mergeCell ref="C1075:D1075"/>
    <mergeCell ref="A1077:B1077"/>
    <mergeCell ref="A1081:F1081"/>
    <mergeCell ref="A1076:E1076"/>
    <mergeCell ref="A1095:F1095"/>
    <mergeCell ref="A1090:E1090"/>
    <mergeCell ref="A1088:F1088"/>
    <mergeCell ref="A1083:E1083"/>
    <mergeCell ref="A1055:E1055"/>
    <mergeCell ref="A1070:B1070"/>
    <mergeCell ref="C1068:D1068"/>
    <mergeCell ref="C1061:D1061"/>
    <mergeCell ref="A1063:B1063"/>
    <mergeCell ref="A1056:B1056"/>
    <mergeCell ref="A1074:F1074"/>
    <mergeCell ref="A1069:E1069"/>
    <mergeCell ref="A1060:F1060"/>
    <mergeCell ref="A1062:E1062"/>
    <mergeCell ref="A1067:F1067"/>
    <mergeCell ref="A970:F970"/>
    <mergeCell ref="A986:E986"/>
    <mergeCell ref="A972:E972"/>
    <mergeCell ref="A980:E980"/>
    <mergeCell ref="A984:F984"/>
    <mergeCell ref="A978:F978"/>
    <mergeCell ref="A1021:E1021"/>
    <mergeCell ref="A1025:F1025"/>
    <mergeCell ref="C1054:D1054"/>
    <mergeCell ref="A1049:B1049"/>
    <mergeCell ref="C1047:D1047"/>
    <mergeCell ref="A1042:B1042"/>
    <mergeCell ref="A1046:F1046"/>
    <mergeCell ref="C1040:D1040"/>
    <mergeCell ref="C1033:D1033"/>
    <mergeCell ref="A1035:B1035"/>
    <mergeCell ref="A1028:B1028"/>
    <mergeCell ref="A1039:F1039"/>
    <mergeCell ref="A1041:E1041"/>
    <mergeCell ref="A1034:E1034"/>
    <mergeCell ref="A1053:F1053"/>
    <mergeCell ref="A1048:E1048"/>
    <mergeCell ref="A1027:E1027"/>
    <mergeCell ref="A1032:F1032"/>
    <mergeCell ref="A1019:F1019"/>
    <mergeCell ref="A991:F991"/>
    <mergeCell ref="A993:E993"/>
    <mergeCell ref="A998:F998"/>
    <mergeCell ref="A1000:E1000"/>
    <mergeCell ref="A1005:F1005"/>
    <mergeCell ref="A1012:F1012"/>
    <mergeCell ref="A1007:E1007"/>
    <mergeCell ref="A1014:E1014"/>
    <mergeCell ref="A939:F939"/>
    <mergeCell ref="A946:F946"/>
    <mergeCell ref="A941:E941"/>
    <mergeCell ref="A953:F953"/>
    <mergeCell ref="A948:E948"/>
    <mergeCell ref="A960:F960"/>
    <mergeCell ref="A955:E955"/>
    <mergeCell ref="A963:E963"/>
    <mergeCell ref="A901:F901"/>
    <mergeCell ref="A909:F909"/>
    <mergeCell ref="A904:E904"/>
    <mergeCell ref="A916:F916"/>
    <mergeCell ref="A911:E911"/>
    <mergeCell ref="A923:F923"/>
    <mergeCell ref="A918:E918"/>
    <mergeCell ref="A925:E925"/>
    <mergeCell ref="A930:F930"/>
    <mergeCell ref="A932:E932"/>
    <mergeCell ref="A855:F855"/>
    <mergeCell ref="A857:E857"/>
    <mergeCell ref="A866:F866"/>
    <mergeCell ref="A868:E868"/>
    <mergeCell ref="A883:F883"/>
    <mergeCell ref="A885:E885"/>
    <mergeCell ref="A893:F893"/>
    <mergeCell ref="A896:E896"/>
    <mergeCell ref="A817:F817"/>
    <mergeCell ref="A819:E819"/>
    <mergeCell ref="A836:F836"/>
    <mergeCell ref="A845:F845"/>
    <mergeCell ref="A838:E838"/>
    <mergeCell ref="A847:E847"/>
    <mergeCell ref="A796:F796"/>
    <mergeCell ref="A790:E790"/>
    <mergeCell ref="A805:F805"/>
    <mergeCell ref="A798:E798"/>
    <mergeCell ref="C731:D731"/>
    <mergeCell ref="A733:B733"/>
    <mergeCell ref="A750:E750"/>
    <mergeCell ref="A807:E807"/>
    <mergeCell ref="C776:D776"/>
    <mergeCell ref="A778:B778"/>
    <mergeCell ref="C767:D767"/>
    <mergeCell ref="A769:B769"/>
    <mergeCell ref="A775:F775"/>
    <mergeCell ref="A768:E768"/>
    <mergeCell ref="A777:E777"/>
    <mergeCell ref="C806:D806"/>
    <mergeCell ref="C797:D797"/>
    <mergeCell ref="A799:B799"/>
    <mergeCell ref="A791:B791"/>
    <mergeCell ref="C789:D789"/>
    <mergeCell ref="A788:F788"/>
    <mergeCell ref="C740:D740"/>
    <mergeCell ref="A760:B760"/>
    <mergeCell ref="C758:D758"/>
    <mergeCell ref="A766:F766"/>
    <mergeCell ref="A759:E759"/>
    <mergeCell ref="A730:F730"/>
    <mergeCell ref="A732:E732"/>
    <mergeCell ref="A739:F739"/>
    <mergeCell ref="A748:F748"/>
    <mergeCell ref="A741:E741"/>
    <mergeCell ref="A757:F757"/>
    <mergeCell ref="C749:D749"/>
    <mergeCell ref="A751:B751"/>
    <mergeCell ref="A742:B742"/>
    <mergeCell ref="A672:B672"/>
    <mergeCell ref="C663:D663"/>
    <mergeCell ref="A665:B665"/>
    <mergeCell ref="A705:B705"/>
    <mergeCell ref="A695:B695"/>
    <mergeCell ref="A632:B632"/>
    <mergeCell ref="A631:E631"/>
    <mergeCell ref="A638:F638"/>
    <mergeCell ref="A682:F682"/>
    <mergeCell ref="A671:E671"/>
    <mergeCell ref="A702:F702"/>
    <mergeCell ref="A694:E694"/>
    <mergeCell ref="C693:D693"/>
    <mergeCell ref="A685:B685"/>
    <mergeCell ref="C683:D683"/>
    <mergeCell ref="C703:D703"/>
    <mergeCell ref="A684:E684"/>
    <mergeCell ref="A692:F692"/>
    <mergeCell ref="A640:E640"/>
    <mergeCell ref="A646:F646"/>
    <mergeCell ref="A580:F580"/>
    <mergeCell ref="A582:E582"/>
    <mergeCell ref="A602:F602"/>
    <mergeCell ref="A604:E604"/>
    <mergeCell ref="A614:F614"/>
    <mergeCell ref="C630:D630"/>
    <mergeCell ref="C656:D656"/>
    <mergeCell ref="C647:D647"/>
    <mergeCell ref="A649:B649"/>
    <mergeCell ref="C639:D639"/>
    <mergeCell ref="A641:B641"/>
    <mergeCell ref="C603:D603"/>
    <mergeCell ref="C591:D591"/>
    <mergeCell ref="A593:B593"/>
    <mergeCell ref="C581:D581"/>
    <mergeCell ref="A583:B583"/>
    <mergeCell ref="A590:F590"/>
    <mergeCell ref="A592:E592"/>
    <mergeCell ref="C615:D615"/>
    <mergeCell ref="A617:B617"/>
    <mergeCell ref="A605:B605"/>
    <mergeCell ref="A616:E616"/>
    <mergeCell ref="A628:F628"/>
    <mergeCell ref="C629:D629"/>
    <mergeCell ref="C539:D539"/>
    <mergeCell ref="C529:D529"/>
    <mergeCell ref="A551:E551"/>
    <mergeCell ref="A478:F478"/>
    <mergeCell ref="A471:E471"/>
    <mergeCell ref="A480:E480"/>
    <mergeCell ref="A487:F487"/>
    <mergeCell ref="A490:E490"/>
    <mergeCell ref="A500:F500"/>
    <mergeCell ref="A507:F507"/>
    <mergeCell ref="A502:E502"/>
    <mergeCell ref="A481:B481"/>
    <mergeCell ref="C479:D479"/>
    <mergeCell ref="A491:B491"/>
    <mergeCell ref="C489:D489"/>
    <mergeCell ref="A503:B503"/>
    <mergeCell ref="C501:D501"/>
    <mergeCell ref="C550:D550"/>
    <mergeCell ref="A542:B542"/>
    <mergeCell ref="C540:D540"/>
    <mergeCell ref="A531:B531"/>
    <mergeCell ref="A445:B445"/>
    <mergeCell ref="C443:D443"/>
    <mergeCell ref="A413:F413"/>
    <mergeCell ref="A415:E415"/>
    <mergeCell ref="A424:F424"/>
    <mergeCell ref="A430:F430"/>
    <mergeCell ref="C431:D431"/>
    <mergeCell ref="C426:D426"/>
    <mergeCell ref="A428:B428"/>
    <mergeCell ref="A427:E427"/>
    <mergeCell ref="A433:B433"/>
    <mergeCell ref="A432:E432"/>
    <mergeCell ref="A444:E444"/>
    <mergeCell ref="A388:E388"/>
    <mergeCell ref="A391:F391"/>
    <mergeCell ref="A356:E356"/>
    <mergeCell ref="A367:F367"/>
    <mergeCell ref="A325:F325"/>
    <mergeCell ref="A315:E315"/>
    <mergeCell ref="A327:E327"/>
    <mergeCell ref="A288:F288"/>
    <mergeCell ref="A279:E279"/>
    <mergeCell ref="A290:E290"/>
    <mergeCell ref="A378:E378"/>
    <mergeCell ref="A376:F376"/>
    <mergeCell ref="A386:F386"/>
    <mergeCell ref="A369:E369"/>
    <mergeCell ref="A182:F182"/>
    <mergeCell ref="A143:E143"/>
    <mergeCell ref="A152:F152"/>
    <mergeCell ref="A154:E154"/>
    <mergeCell ref="A160:F160"/>
    <mergeCell ref="A171:F171"/>
    <mergeCell ref="A111:E111"/>
    <mergeCell ref="A119:F119"/>
    <mergeCell ref="A122:E122"/>
    <mergeCell ref="A130:F130"/>
    <mergeCell ref="A132:E132"/>
    <mergeCell ref="A162:E162"/>
    <mergeCell ref="A141:F141"/>
    <mergeCell ref="A108:F108"/>
    <mergeCell ref="A58:E58"/>
    <mergeCell ref="A173:E173"/>
    <mergeCell ref="A462:E462"/>
    <mergeCell ref="A469:F469"/>
    <mergeCell ref="A251:E251"/>
    <mergeCell ref="A263:F263"/>
    <mergeCell ref="A277:F277"/>
    <mergeCell ref="A265:E265"/>
    <mergeCell ref="A206:F206"/>
    <mergeCell ref="A216:F216"/>
    <mergeCell ref="A208:E208"/>
    <mergeCell ref="A226:F226"/>
    <mergeCell ref="A218:E218"/>
    <mergeCell ref="A235:F235"/>
    <mergeCell ref="A228:E228"/>
    <mergeCell ref="A237:E237"/>
    <mergeCell ref="C461:D461"/>
    <mergeCell ref="C450:D450"/>
    <mergeCell ref="A452:B452"/>
    <mergeCell ref="A463:B463"/>
    <mergeCell ref="A449:F449"/>
    <mergeCell ref="A451:E451"/>
    <mergeCell ref="A460:F460"/>
    <mergeCell ref="C470:D470"/>
    <mergeCell ref="A472:B472"/>
    <mergeCell ref="C488:D488"/>
    <mergeCell ref="A510:B510"/>
    <mergeCell ref="C508:D508"/>
    <mergeCell ref="A570:F570"/>
    <mergeCell ref="A562:E562"/>
    <mergeCell ref="A572:E572"/>
    <mergeCell ref="A552:B552"/>
    <mergeCell ref="C560:D560"/>
    <mergeCell ref="C561:D561"/>
    <mergeCell ref="A563:B563"/>
    <mergeCell ref="A509:E509"/>
    <mergeCell ref="A517:F517"/>
    <mergeCell ref="A528:F528"/>
    <mergeCell ref="A520:E520"/>
    <mergeCell ref="A530:E530"/>
    <mergeCell ref="A538:F538"/>
    <mergeCell ref="A549:F549"/>
    <mergeCell ref="A541:E541"/>
    <mergeCell ref="A559:F559"/>
    <mergeCell ref="A521:B521"/>
    <mergeCell ref="C519:D519"/>
    <mergeCell ref="C518:D518"/>
    <mergeCell ref="A573:B573"/>
    <mergeCell ref="C571:D571"/>
    <mergeCell ref="A1768:F1768"/>
    <mergeCell ref="A1765:E1765"/>
    <mergeCell ref="A1774:F1774"/>
    <mergeCell ref="A1770:E1770"/>
    <mergeCell ref="C1590:D1590"/>
    <mergeCell ref="A1592:B1592"/>
    <mergeCell ref="A1670:E1670"/>
    <mergeCell ref="A1680:F1680"/>
    <mergeCell ref="A1692:F1692"/>
    <mergeCell ref="A1682:E1682"/>
    <mergeCell ref="A1694:E1694"/>
    <mergeCell ref="A1704:F1704"/>
    <mergeCell ref="A1644:B1644"/>
    <mergeCell ref="C1637:D1637"/>
    <mergeCell ref="A1639:B1639"/>
    <mergeCell ref="A1643:E1643"/>
    <mergeCell ref="A1651:F1651"/>
    <mergeCell ref="C1657:D1657"/>
    <mergeCell ref="C1652:D1652"/>
    <mergeCell ref="A1654:B1654"/>
    <mergeCell ref="A1656:F1656"/>
    <mergeCell ref="A1683:B1683"/>
    <mergeCell ref="A2177:E2177"/>
    <mergeCell ref="A2180:F2180"/>
    <mergeCell ref="A2188:F2188"/>
    <mergeCell ref="A2182:E2182"/>
    <mergeCell ref="A2190:E2190"/>
    <mergeCell ref="A2198:F2198"/>
    <mergeCell ref="A2200:E2200"/>
    <mergeCell ref="A2175:F2175"/>
    <mergeCell ref="A2172:E2172"/>
    <mergeCell ref="A2136:F2136"/>
    <mergeCell ref="A2062:E2062"/>
    <mergeCell ref="A2066:F2066"/>
    <mergeCell ref="A2068:E2068"/>
    <mergeCell ref="A2072:F2072"/>
    <mergeCell ref="A2074:E2074"/>
    <mergeCell ref="A2081:F2081"/>
    <mergeCell ref="A2099:E2099"/>
    <mergeCell ref="A2105:F2105"/>
    <mergeCell ref="A2108:E2108"/>
    <mergeCell ref="A2207:F2207"/>
    <mergeCell ref="A2025:F2025"/>
    <mergeCell ref="A2113:F2113"/>
    <mergeCell ref="A2121:F2121"/>
    <mergeCell ref="A2116:E2116"/>
    <mergeCell ref="A2123:E2123"/>
    <mergeCell ref="A2128:F2128"/>
    <mergeCell ref="A2130:E2130"/>
    <mergeCell ref="A2143:F2143"/>
    <mergeCell ref="A2138:E2138"/>
    <mergeCell ref="A2145:E2145"/>
    <mergeCell ref="A2150:F2150"/>
    <mergeCell ref="A2152:E2152"/>
    <mergeCell ref="A2083:E2083"/>
    <mergeCell ref="A2086:F2086"/>
    <mergeCell ref="A2097:F2097"/>
    <mergeCell ref="A2089:E2089"/>
    <mergeCell ref="A2155:F2155"/>
    <mergeCell ref="A2157:E2157"/>
    <mergeCell ref="A2160:F2160"/>
    <mergeCell ref="A2162:E2162"/>
    <mergeCell ref="A2167:E2167"/>
    <mergeCell ref="A2165:F2165"/>
    <mergeCell ref="A2170:F2170"/>
    <mergeCell ref="A2240:E2240"/>
    <mergeCell ref="A2241:B2241"/>
    <mergeCell ref="A2209:E2209"/>
    <mergeCell ref="A2213:F2213"/>
    <mergeCell ref="A2221:E2221"/>
    <mergeCell ref="A2219:F2219"/>
    <mergeCell ref="A2215:E2215"/>
    <mergeCell ref="A2229:F2229"/>
    <mergeCell ref="A2231:E2231"/>
    <mergeCell ref="A2238:F2238"/>
    <mergeCell ref="A2253:E2253"/>
    <mergeCell ref="A2254:B2254"/>
    <mergeCell ref="A2257:F2257"/>
    <mergeCell ref="A2260:E2260"/>
    <mergeCell ref="A2265:F2265"/>
    <mergeCell ref="A2268:E2268"/>
    <mergeCell ref="A2269:B2269"/>
    <mergeCell ref="A2272:F2272"/>
    <mergeCell ref="A2246:F2246"/>
    <mergeCell ref="A2317:E2317"/>
    <mergeCell ref="A2318:B2318"/>
    <mergeCell ref="A2323:F2323"/>
    <mergeCell ref="A2308:E2308"/>
    <mergeCell ref="A2309:B2309"/>
    <mergeCell ref="A2315:F2315"/>
    <mergeCell ref="A2274:E2274"/>
    <mergeCell ref="A2279:F2279"/>
    <mergeCell ref="A2301:E2301"/>
    <mergeCell ref="A2306:F2306"/>
    <mergeCell ref="A2281:E2281"/>
    <mergeCell ref="A2284:F2284"/>
    <mergeCell ref="A2286:E2286"/>
    <mergeCell ref="A2289:F2289"/>
    <mergeCell ref="A2291:E2291"/>
    <mergeCell ref="A2294:F2294"/>
    <mergeCell ref="A2296:E2296"/>
    <mergeCell ref="A2299:F2299"/>
    <mergeCell ref="A2443:F2443"/>
    <mergeCell ref="A2445:E2445"/>
    <mergeCell ref="A2446:B2446"/>
    <mergeCell ref="A2452:F2452"/>
    <mergeCell ref="A2454:E2454"/>
    <mergeCell ref="A2456:F2456"/>
    <mergeCell ref="A2458:E2458"/>
    <mergeCell ref="A2487:B2487"/>
    <mergeCell ref="A2491:F2491"/>
    <mergeCell ref="A2479:E2479"/>
    <mergeCell ref="A2480:B2480"/>
    <mergeCell ref="A2459:B2459"/>
    <mergeCell ref="A2463:F2463"/>
    <mergeCell ref="A2465:E2465"/>
    <mergeCell ref="A2466:B2466"/>
    <mergeCell ref="A2470:F2470"/>
    <mergeCell ref="A2472:E2472"/>
    <mergeCell ref="A2473:B2473"/>
    <mergeCell ref="A2477:F2477"/>
    <mergeCell ref="A2430:B2430"/>
    <mergeCell ref="A2429:E2429"/>
    <mergeCell ref="A2325:E2325"/>
    <mergeCell ref="A2326:B2326"/>
    <mergeCell ref="A2333:F2333"/>
    <mergeCell ref="A2335:E2335"/>
    <mergeCell ref="A2338:F2338"/>
    <mergeCell ref="A2340:E2340"/>
    <mergeCell ref="A2341:B2341"/>
    <mergeCell ref="A2346:F2346"/>
    <mergeCell ref="A2348:E2348"/>
    <mergeCell ref="A2349:B2349"/>
    <mergeCell ref="A2354:F2354"/>
    <mergeCell ref="A2356:E2356"/>
    <mergeCell ref="A2359:F2359"/>
    <mergeCell ref="A2361:E2361"/>
    <mergeCell ref="A2394:B2394"/>
    <mergeCell ref="A2402:F2402"/>
    <mergeCell ref="A2404:E2404"/>
    <mergeCell ref="A2405:B2405"/>
    <mergeCell ref="A2414:F2414"/>
    <mergeCell ref="A2416:E2416"/>
    <mergeCell ref="A2417:B2417"/>
    <mergeCell ref="A2427:F2427"/>
    <mergeCell ref="A2362:B2362"/>
    <mergeCell ref="A2370:F2370"/>
    <mergeCell ref="A2372:E2372"/>
    <mergeCell ref="A2373:B2373"/>
    <mergeCell ref="A2381:F2381"/>
    <mergeCell ref="A2383:E2383"/>
    <mergeCell ref="A2384:B2384"/>
    <mergeCell ref="A2391:F2391"/>
    <mergeCell ref="A2393:E2393"/>
    <mergeCell ref="A2500:E2500"/>
    <mergeCell ref="A2501:B2501"/>
    <mergeCell ref="A2505:F2505"/>
    <mergeCell ref="A2507:E2507"/>
    <mergeCell ref="A2508:B2508"/>
    <mergeCell ref="A2512:F2512"/>
    <mergeCell ref="A2514:E2514"/>
    <mergeCell ref="A2484:F2484"/>
    <mergeCell ref="A2486:E2486"/>
    <mergeCell ref="A2493:E2493"/>
    <mergeCell ref="A2494:B2494"/>
    <mergeCell ref="A2498:F2498"/>
    <mergeCell ref="A2570:E2570"/>
    <mergeCell ref="A2571:B2571"/>
    <mergeCell ref="A2575:F2575"/>
    <mergeCell ref="A2577:E2577"/>
    <mergeCell ref="A2578:B2578"/>
    <mergeCell ref="A2583:F2583"/>
    <mergeCell ref="C2518:D2518"/>
    <mergeCell ref="A2519:E2519"/>
    <mergeCell ref="A2520:B2520"/>
    <mergeCell ref="A2522:F2522"/>
    <mergeCell ref="C2523:D2523"/>
    <mergeCell ref="A2524:E2524"/>
    <mergeCell ref="A2525:B2525"/>
    <mergeCell ref="A2527:F2527"/>
    <mergeCell ref="A2534:E2534"/>
    <mergeCell ref="A2535:B2535"/>
    <mergeCell ref="A2539:F2539"/>
    <mergeCell ref="A2529:E2529"/>
    <mergeCell ref="A2532:F2532"/>
  </mergeCells>
  <pageMargins left="0.98425196850393704" right="0.39370078740157483" top="0.39370078740157483" bottom="0.39370078740157483" header="0" footer="0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12</vt:i4>
      </vt:variant>
    </vt:vector>
  </HeadingPairs>
  <TitlesOfParts>
    <vt:vector size="20" baseType="lpstr">
      <vt:lpstr>PLANILHA ORÇA - CORREGEDORIA</vt:lpstr>
      <vt:lpstr>PLANILHA ORÇA - EJUD</vt:lpstr>
      <vt:lpstr>COMP MEDIDOS</vt:lpstr>
      <vt:lpstr>COMPOSIÇÃO AB</vt:lpstr>
      <vt:lpstr>CRONOGRAMA</vt:lpstr>
      <vt:lpstr>BDI</vt:lpstr>
      <vt:lpstr>ENCARGOS SOCIAIS</vt:lpstr>
      <vt:lpstr>COMPOSIÇÃO DE CUSTOS</vt:lpstr>
      <vt:lpstr>BDI!Area_de_impressao</vt:lpstr>
      <vt:lpstr>'COMP MEDIDOS'!Area_de_impressao</vt:lpstr>
      <vt:lpstr>'COMPOSIÇÃO AB'!Area_de_impressao</vt:lpstr>
      <vt:lpstr>'COMPOSIÇÃO DE CUSTOS'!Area_de_impressao</vt:lpstr>
      <vt:lpstr>CRONOGRAMA!Area_de_impressao</vt:lpstr>
      <vt:lpstr>'PLANILHA ORÇA - CORREGEDORIA'!Area_de_impressao</vt:lpstr>
      <vt:lpstr>'PLANILHA ORÇA - EJUD'!Area_de_impressao</vt:lpstr>
      <vt:lpstr>'COMP MEDIDOS'!Titulos_de_impressao</vt:lpstr>
      <vt:lpstr>'COMPOSIÇÃO AB'!Titulos_de_impressao</vt:lpstr>
      <vt:lpstr>'COMPOSIÇÃO DE CUSTOS'!Titulos_de_impressao</vt:lpstr>
      <vt:lpstr>'PLANILHA ORÇA - CORREGEDORIA'!Titulos_de_impressao</vt:lpstr>
      <vt:lpstr>'PLANILHA ORÇA - EJUD'!Titulos_de_impressao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2018-07-27T06:19:14Z</dcterms:created>
  <dcterms:modified xsi:type="dcterms:W3CDTF">2022-10-06T12:45:02Z</dcterms:modified>
</cp:coreProperties>
</file>